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ustomProperty4.bin" ContentType="application/vnd.openxmlformats-officedocument.spreadsheetml.customProperty"/>
  <Override PartName="/xl/drawings/drawing3.xml" ContentType="application/vnd.openxmlformats-officedocument.drawing+xml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ml.chartshapes+xml"/>
  <Override PartName="/xl/customProperty10.bin" ContentType="application/vnd.openxmlformats-officedocument.spreadsheetml.customProperty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ml.chartshapes+xml"/>
  <Override PartName="/xl/charts/chart3.xml" ContentType="application/vnd.openxmlformats-officedocument.drawingml.chart+xml"/>
  <Override PartName="/xl/drawings/drawing9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ustomProperty11.bin" ContentType="application/vnd.openxmlformats-officedocument.spreadsheetml.customProperty"/>
  <Override PartName="/xl/drawings/drawing10.xml" ContentType="application/vnd.openxmlformats-officedocument.drawing+xml"/>
  <Override PartName="/xl/customProperty12.bin" ContentType="application/vnd.openxmlformats-officedocument.spreadsheetml.customProperty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2.xml" ContentType="application/vnd.openxmlformats-officedocument.drawingml.chartshape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3.xml" ContentType="application/vnd.openxmlformats-officedocument.drawingml.chartshapes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5.xml" ContentType="application/vnd.openxmlformats-officedocument.drawingml.chartshapes+xml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drawings/drawing16.xml" ContentType="application/vnd.openxmlformats-officedocument.drawing+xml"/>
  <Override PartName="/xl/activeX/activeX1.xml" ContentType="application/vnd.ms-office.activeX+xml"/>
  <Override PartName="/xl/comments2.xml" ContentType="application/vnd.openxmlformats-officedocument.spreadsheetml.comments+xml"/>
  <Override PartName="/xl/customProperty15.bin" ContentType="application/vnd.openxmlformats-officedocument.spreadsheetml.customProperty"/>
  <Override PartName="/xl/drawings/drawing17.xml" ContentType="application/vnd.openxmlformats-officedocument.drawing+xml"/>
  <Override PartName="/xl/comments3.xml" ContentType="application/vnd.openxmlformats-officedocument.spreadsheetml.comments+xml"/>
  <Override PartName="/xl/customProperty16.bin" ContentType="application/vnd.openxmlformats-officedocument.spreadsheetml.customProperty"/>
  <Override PartName="/xl/drawings/drawing18.xml" ContentType="application/vnd.openxmlformats-officedocument.drawing+xml"/>
  <Override PartName="/xl/comments4.xml" ContentType="application/vnd.openxmlformats-officedocument.spreadsheetml.comments+xml"/>
  <Override PartName="/xl/customProperty17.bin" ContentType="application/vnd.openxmlformats-officedocument.spreadsheetml.customProperty"/>
  <Override PartName="/xl/drawings/drawing19.xml" ContentType="application/vnd.openxmlformats-officedocument.drawing+xml"/>
  <Override PartName="/xl/comments5.xml" ContentType="application/vnd.openxmlformats-officedocument.spreadsheetml.comments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0.xml" ContentType="application/vnd.openxmlformats-officedocument.drawingml.chartshapes+xml"/>
  <Override PartName="/xl/customProperty18.bin" ContentType="application/vnd.openxmlformats-officedocument.spreadsheetml.customProperty"/>
  <Override PartName="/xl/drawings/drawing21.xml" ContentType="application/vnd.openxmlformats-officedocument.drawing+xml"/>
  <Override PartName="/xl/comments6.xml" ContentType="application/vnd.openxmlformats-officedocument.spreadsheetml.comments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2.xml" ContentType="application/vnd.openxmlformats-officedocument.drawingml.chartshapes+xml"/>
  <Override PartName="/xl/customProperty19.bin" ContentType="application/vnd.openxmlformats-officedocument.spreadsheetml.customProperty"/>
  <Override PartName="/xl/drawings/drawing23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4.xml" ContentType="application/vnd.openxmlformats-officedocument.drawingml.chartshapes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5.xml" ContentType="application/vnd.openxmlformats-officedocument.drawingml.chartshapes+xml"/>
  <Override PartName="/xl/customProperty20.bin" ContentType="application/vnd.openxmlformats-officedocument.spreadsheetml.customProperty"/>
  <Override PartName="/xl/drawings/drawing26.xml" ContentType="application/vnd.openxmlformats-officedocument.drawing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ustomProperty21.bin" ContentType="application/vnd.openxmlformats-officedocument.spreadsheetml.customProperty"/>
  <Override PartName="/xl/customProperty22.bin" ContentType="application/vnd.openxmlformats-officedocument.spreadsheetml.customProperty"/>
  <Override PartName="/xl/comments7.xml" ContentType="application/vnd.openxmlformats-officedocument.spreadsheetml.comments+xml"/>
  <Override PartName="/xl/customProperty23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firmwide.corp.gs.com\irroot\projects\hk\hkchina_consumer\Lincoln K\Diversified F&amp;B\Published Models\"/>
    </mc:Choice>
  </mc:AlternateContent>
  <xr:revisionPtr revIDLastSave="0" documentId="13_ncr:1_{BECC6543-CFC6-440B-8AA2-20487C9AC138}" xr6:coauthVersionLast="47" xr6:coauthVersionMax="47" xr10:uidLastSave="{00000000-0000-0000-0000-000000000000}"/>
  <bookViews>
    <workbookView xWindow="1125" yWindow="600" windowWidth="28425" windowHeight="19920" tabRatio="852" xr2:uid="{091F21CE-25A9-4858-AFC8-E7C3D5DDE8E0}"/>
  </bookViews>
  <sheets>
    <sheet name="Coversheet" sheetId="67" r:id="rId1"/>
    <sheet name="Summary financial" sheetId="66" r:id="rId2"/>
    <sheet name="Act Vs Est" sheetId="18" state="veryHidden" r:id="rId3"/>
    <sheet name="Model" sheetId="12" r:id="rId4"/>
    <sheet name="New vs. Old" sheetId="4" state="veryHidden" r:id="rId5"/>
    <sheet name="Segment" sheetId="10" r:id="rId6"/>
    <sheet name="Quarterly" sheetId="11" r:id="rId7"/>
    <sheet name="Valuation" sheetId="16" r:id="rId8"/>
    <sheet name="Breakdown" sheetId="83" state="veryHidden" r:id="rId9"/>
    <sheet name="CROCI" sheetId="63" state="veryHidden" r:id="rId10"/>
    <sheet name="Raw Data" sheetId="24" state="veryHidden" r:id="rId11"/>
    <sheet name="Wind" sheetId="13" state="veryHidden" r:id="rId12"/>
    <sheet name="Capacity projects" sheetId="82" state="veryHidden" r:id="rId13"/>
    <sheet name="Capex" sheetId="38" state="veryHidden" r:id="rId14"/>
    <sheet name="waterfall" sheetId="80" state="veryHidden" r:id="rId15"/>
    <sheet name="Key charts" sheetId="75" state="veryHidden" r:id="rId16"/>
    <sheet name="Ratios" sheetId="17" state="veryHidden" r:id="rId17"/>
    <sheet name="shareholders" sheetId="81" state="veryHidden" r:id="rId18"/>
  </sheets>
  <definedNames>
    <definedName name="\0" localSheetId="1">#REF!</definedName>
    <definedName name="\0">#REF!</definedName>
    <definedName name="\a" localSheetId="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s">#REF!</definedName>
    <definedName name="\u">#REF!</definedName>
    <definedName name="\z">#REF!</definedName>
    <definedName name="____ABS93">#REF!</definedName>
    <definedName name="____ABS94">#REF!</definedName>
    <definedName name="____ABS95">#REF!</definedName>
    <definedName name="____ABS96">#REF!</definedName>
    <definedName name="____ABS97">#REF!</definedName>
    <definedName name="____DEP93">#REF!</definedName>
    <definedName name="____DEP94">#REF!</definedName>
    <definedName name="____DEP95">#REF!</definedName>
    <definedName name="____DEP96">#REF!</definedName>
    <definedName name="____DEP97">#REF!</definedName>
    <definedName name="____DPS93">#REF!</definedName>
    <definedName name="____DPS94">#REF!</definedName>
    <definedName name="____DPS95">#REF!</definedName>
    <definedName name="____DPS96">#REF!</definedName>
    <definedName name="____DPS97">#REF!</definedName>
    <definedName name="___ABS93">#REF!</definedName>
    <definedName name="___ABS94">#REF!</definedName>
    <definedName name="___ABS95">#REF!</definedName>
    <definedName name="___ABS96">#REF!</definedName>
    <definedName name="___ABS97">#REF!</definedName>
    <definedName name="___DEP93">#REF!</definedName>
    <definedName name="___DEP94">#REF!</definedName>
    <definedName name="___DEP95">#REF!</definedName>
    <definedName name="___DEP96">#REF!</definedName>
    <definedName name="___DEP97">#REF!</definedName>
    <definedName name="___DPS93">#REF!</definedName>
    <definedName name="___DPS94">#REF!</definedName>
    <definedName name="___DPS95">#REF!</definedName>
    <definedName name="___DPS96">#REF!</definedName>
    <definedName name="___DPS97">#REF!</definedName>
    <definedName name="__ABS93">#REF!</definedName>
    <definedName name="__ABS94">#REF!</definedName>
    <definedName name="__ABS95">#REF!</definedName>
    <definedName name="__ABS96">#REF!</definedName>
    <definedName name="__ABS97">#REF!</definedName>
    <definedName name="__APW_RESTORE_DATA0__" localSheetId="1" hidden="1">#REF!,#REF!,#REF!,#REF!,#REF!,#REF!,#REF!,#REF!,#REF!,#REF!,#REF!,#REF!,#REF!,#REF!,#REF!,#REF!,#REF!</definedName>
    <definedName name="__APW_RESTORE_DATA0__" hidden="1">#REF!,#REF!,#REF!,#REF!,#REF!,#REF!,#REF!,#REF!,#REF!,#REF!,#REF!,#REF!,#REF!,#REF!,#REF!,#REF!,#REF!</definedName>
    <definedName name="__APW_RESTORE_DATA1__" localSheetId="1" hidden="1">#REF!,#REF!,#REF!,#REF!,#REF!,#REF!,#REF!,#REF!,#REF!,#REF!,#REF!,#REF!,#REF!,#REF!,#REF!,#REF!</definedName>
    <definedName name="__APW_RESTORE_DATA1__" hidden="1">#REF!,#REF!,#REF!,#REF!,#REF!,#REF!,#REF!,#REF!,#REF!,#REF!,#REF!,#REF!,#REF!,#REF!,#REF!,#REF!</definedName>
    <definedName name="__APW_RESTORE_DATA10__" localSheetId="1" hidden="1">#REF!,#REF!,#REF!,#REF!,#REF!,#REF!,#REF!,#REF!,#REF!,#REF!,#REF!,#REF!,#REF!,#REF!,#REF!</definedName>
    <definedName name="__APW_RESTORE_DATA10__" hidden="1">#REF!,#REF!,#REF!,#REF!,#REF!,#REF!,#REF!,#REF!,#REF!,#REF!,#REF!,#REF!,#REF!,#REF!,#REF!</definedName>
    <definedName name="__APW_RESTORE_DATA100__" hidden="1">#REF!,#REF!,#REF!,#REF!,#REF!,#REF!,#REF!,#REF!,#REF!,#REF!,#REF!,#REF!,#REF!,#REF!,#REF!,#REF!</definedName>
    <definedName name="__APW_RESTORE_DATA101__" hidden="1">#REF!,#REF!,#REF!,#REF!,#REF!,#REF!,#REF!,#REF!,#REF!,#REF!,#REF!,#REF!,#REF!,#REF!,#REF!,#REF!</definedName>
    <definedName name="__APW_RESTORE_DATA102__" hidden="1">#REF!,#REF!,#REF!,#REF!,#REF!,#REF!,#REF!,#REF!,#REF!,#REF!,#REF!,#REF!,#REF!,#REF!,#REF!</definedName>
    <definedName name="__APW_RESTORE_DATA103__" hidden="1">#REF!,#REF!,#REF!,#REF!,#REF!,#REF!,#REF!,#REF!,#REF!,#REF!,#REF!,#REF!,#REF!,#REF!,#REF!</definedName>
    <definedName name="__APW_RESTORE_DATA104__" hidden="1">#REF!,#REF!,#REF!,#REF!,#REF!,#REF!,#REF!,#REF!,#REF!,#REF!,#REF!,#REF!,#REF!,#REF!,#REF!</definedName>
    <definedName name="__APW_RESTORE_DATA105__" hidden="1">#REF!,#REF!,#REF!,#REF!,#REF!,#REF!,#REF!,#REF!,#REF!,#REF!,#REF!,#REF!,#REF!,#REF!,#REF!</definedName>
    <definedName name="__APW_RESTORE_DATA106__" hidden="1">#REF!,#REF!,#REF!,#REF!,#REF!,#REF!,#REF!,#REF!,#REF!,#REF!,#REF!,#REF!,#REF!,#REF!,#REF!</definedName>
    <definedName name="__APW_RESTORE_DATA107__" hidden="1">#REF!,#REF!,#REF!,#REF!,#REF!,#REF!</definedName>
    <definedName name="__APW_RESTORE_DATA108__" hidden="1">#REF!,#REF!,#REF!,#REF!,#REF!,#REF!,#REF!,#REF!,#REF!,#REF!,#REF!,#REF!,#REF!,#REF!,#REF!,#REF!,#REF!</definedName>
    <definedName name="__APW_RESTORE_DATA109__" hidden="1">#REF!,#REF!,#REF!,#REF!,#REF!,#REF!,#REF!,#REF!,#REF!,#REF!,#REF!,#REF!,#REF!,#REF!,#REF!,#REF!</definedName>
    <definedName name="__APW_RESTORE_DATA11__" hidden="1">#REF!,#REF!,#REF!,#REF!,#REF!,#REF!</definedName>
    <definedName name="__APW_RESTORE_DATA110__" hidden="1">#REF!,#REF!,#REF!,#REF!,#REF!,#REF!,#REF!,#REF!,#REF!,#REF!,#REF!,#REF!,#REF!,#REF!,#REF!,#REF!</definedName>
    <definedName name="__APW_RESTORE_DATA111__" hidden="1">#REF!,#REF!,#REF!,#REF!,#REF!,#REF!,#REF!,#REF!,#REF!,#REF!,#REF!,#REF!,#REF!,#REF!,#REF!,#REF!</definedName>
    <definedName name="__APW_RESTORE_DATA112__" hidden="1">#REF!,#REF!,#REF!,#REF!,#REF!,#REF!,#REF!,#REF!,#REF!,#REF!,#REF!,#REF!,#REF!,#REF!,#REF!,#REF!</definedName>
    <definedName name="__APW_RESTORE_DATA113__" hidden="1">#REF!,#REF!,#REF!,#REF!,#REF!,#REF!,#REF!,#REF!,#REF!,#REF!,#REF!,#REF!,#REF!,#REF!,#REF!,#REF!</definedName>
    <definedName name="__APW_RESTORE_DATA114__" hidden="1">#REF!,#REF!,#REF!,#REF!,#REF!,#REF!,#REF!,#REF!,#REF!,#REF!,#REF!,#REF!,#REF!,#REF!,#REF!</definedName>
    <definedName name="__APW_RESTORE_DATA115__" hidden="1">#REF!,#REF!,#REF!,#REF!,#REF!,#REF!,#REF!,#REF!,#REF!,#REF!,#REF!,#REF!,#REF!,#REF!,#REF!</definedName>
    <definedName name="__APW_RESTORE_DATA116__" hidden="1">#REF!,#REF!,#REF!,#REF!,#REF!,#REF!,#REF!,#REF!,#REF!,#REF!,#REF!,#REF!,#REF!,#REF!,#REF!</definedName>
    <definedName name="__APW_RESTORE_DATA117__" hidden="1">#REF!,#REF!,#REF!,#REF!,#REF!,#REF!,#REF!,#REF!,#REF!,#REF!,#REF!,#REF!,#REF!,#REF!,#REF!</definedName>
    <definedName name="__APW_RESTORE_DATA118__" hidden="1">#REF!,#REF!,#REF!,#REF!,#REF!,#REF!,#REF!,#REF!,#REF!,#REF!,#REF!,#REF!,#REF!,#REF!,#REF!</definedName>
    <definedName name="__APW_RESTORE_DATA119__" hidden="1">#REF!,#REF!,#REF!,#REF!,#REF!,#REF!</definedName>
    <definedName name="__APW_RESTORE_DATA12__" hidden="1">#REF!,#REF!,#REF!,#REF!,#REF!,#REF!,#REF!,#REF!,#REF!,#REF!,#REF!,#REF!,#REF!,#REF!,#REF!,#REF!,#REF!</definedName>
    <definedName name="__APW_RESTORE_DATA120__" hidden="1">#REF!,#REF!,#REF!,#REF!,#REF!,#REF!,#REF!,#REF!,#REF!,#REF!,#REF!,#REF!,#REF!,#REF!,#REF!,#REF!,#REF!</definedName>
    <definedName name="__APW_RESTORE_DATA121__" hidden="1">#REF!,#REF!,#REF!,#REF!,#REF!,#REF!,#REF!,#REF!,#REF!,#REF!,#REF!,#REF!,#REF!,#REF!,#REF!,#REF!</definedName>
    <definedName name="__APW_RESTORE_DATA122__" hidden="1">#REF!,#REF!,#REF!,#REF!,#REF!,#REF!,#REF!,#REF!,#REF!,#REF!,#REF!,#REF!,#REF!,#REF!,#REF!,#REF!</definedName>
    <definedName name="__APW_RESTORE_DATA123__" hidden="1">#REF!,#REF!,#REF!,#REF!,#REF!,#REF!,#REF!,#REF!,#REF!,#REF!,#REF!,#REF!,#REF!,#REF!,#REF!,#REF!</definedName>
    <definedName name="__APW_RESTORE_DATA124__" hidden="1">#REF!,#REF!,#REF!,#REF!,#REF!,#REF!,#REF!,#REF!,#REF!,#REF!,#REF!,#REF!,#REF!,#REF!,#REF!,#REF!</definedName>
    <definedName name="__APW_RESTORE_DATA125__" hidden="1">#REF!,#REF!,#REF!,#REF!,#REF!,#REF!,#REF!,#REF!,#REF!,#REF!,#REF!,#REF!,#REF!,#REF!,#REF!,#REF!</definedName>
    <definedName name="__APW_RESTORE_DATA126__" hidden="1">#REF!,#REF!,#REF!,#REF!,#REF!,#REF!,#REF!,#REF!,#REF!,#REF!,#REF!,#REF!,#REF!,#REF!,#REF!</definedName>
    <definedName name="__APW_RESTORE_DATA127__" hidden="1">#REF!,#REF!,#REF!,#REF!,#REF!,#REF!,#REF!,#REF!,#REF!,#REF!,#REF!,#REF!,#REF!,#REF!,#REF!</definedName>
    <definedName name="__APW_RESTORE_DATA128__" hidden="1">#REF!,#REF!,#REF!,#REF!,#REF!,#REF!,#REF!,#REF!,#REF!,#REF!,#REF!,#REF!,#REF!,#REF!,#REF!</definedName>
    <definedName name="__APW_RESTORE_DATA129__" hidden="1">#REF!,#REF!,#REF!,#REF!,#REF!,#REF!,#REF!,#REF!,#REF!,#REF!,#REF!,#REF!,#REF!,#REF!,#REF!</definedName>
    <definedName name="__APW_RESTORE_DATA13__" hidden="1">#REF!,#REF!,#REF!,#REF!,#REF!,#REF!,#REF!,#REF!,#REF!,#REF!,#REF!,#REF!,#REF!,#REF!,#REF!,#REF!</definedName>
    <definedName name="__APW_RESTORE_DATA130__" hidden="1">#REF!,#REF!,#REF!,#REF!,#REF!,#REF!,#REF!,#REF!,#REF!,#REF!,#REF!,#REF!,#REF!,#REF!,#REF!</definedName>
    <definedName name="__APW_RESTORE_DATA131__" hidden="1">#REF!,#REF!,#REF!,#REF!,#REF!,#REF!</definedName>
    <definedName name="__APW_RESTORE_DATA132__" hidden="1">#REF!,#REF!,#REF!,#REF!,#REF!,#REF!,#REF!,#REF!,#REF!,#REF!,#REF!,#REF!,#REF!,#REF!,#REF!,#REF!,#REF!</definedName>
    <definedName name="__APW_RESTORE_DATA133__" hidden="1">#REF!,#REF!,#REF!,#REF!,#REF!,#REF!,#REF!,#REF!,#REF!,#REF!,#REF!,#REF!,#REF!,#REF!,#REF!,#REF!</definedName>
    <definedName name="__APW_RESTORE_DATA134__" hidden="1">#REF!,#REF!,#REF!,#REF!,#REF!,#REF!,#REF!,#REF!,#REF!,#REF!,#REF!,#REF!,#REF!,#REF!,#REF!,#REF!</definedName>
    <definedName name="__APW_RESTORE_DATA135__" hidden="1">#REF!,#REF!,#REF!,#REF!,#REF!,#REF!,#REF!,#REF!,#REF!,#REF!,#REF!,#REF!,#REF!,#REF!,#REF!,#REF!</definedName>
    <definedName name="__APW_RESTORE_DATA136__" hidden="1">#REF!,#REF!,#REF!,#REF!,#REF!,#REF!,#REF!,#REF!,#REF!,#REF!,#REF!,#REF!,#REF!,#REF!,#REF!,#REF!</definedName>
    <definedName name="__APW_RESTORE_DATA137__" hidden="1">#REF!,#REF!,#REF!,#REF!,#REF!,#REF!,#REF!,#REF!,#REF!,#REF!,#REF!,#REF!,#REF!,#REF!,#REF!,#REF!</definedName>
    <definedName name="__APW_RESTORE_DATA138__" hidden="1">#REF!,#REF!,#REF!,#REF!,#REF!,#REF!,#REF!,#REF!,#REF!,#REF!,#REF!,#REF!,#REF!,#REF!,#REF!</definedName>
    <definedName name="__APW_RESTORE_DATA139__" hidden="1">#REF!,#REF!,#REF!,#REF!,#REF!,#REF!,#REF!,#REF!,#REF!,#REF!,#REF!,#REF!,#REF!,#REF!,#REF!</definedName>
    <definedName name="__APW_RESTORE_DATA14__" hidden="1">#REF!,#REF!,#REF!,#REF!,#REF!,#REF!,#REF!,#REF!,#REF!,#REF!,#REF!,#REF!,#REF!,#REF!,#REF!,#REF!</definedName>
    <definedName name="__APW_RESTORE_DATA140__" hidden="1">#REF!,#REF!,#REF!,#REF!,#REF!,#REF!,#REF!,#REF!,#REF!,#REF!,#REF!,#REF!,#REF!,#REF!,#REF!</definedName>
    <definedName name="__APW_RESTORE_DATA141__" hidden="1">#REF!,#REF!,#REF!,#REF!,#REF!,#REF!,#REF!,#REF!,#REF!,#REF!,#REF!,#REF!,#REF!,#REF!,#REF!</definedName>
    <definedName name="__APW_RESTORE_DATA142__" hidden="1">#REF!,#REF!,#REF!,#REF!,#REF!,#REF!,#REF!,#REF!,#REF!,#REF!,#REF!,#REF!,#REF!,#REF!,#REF!</definedName>
    <definedName name="__APW_RESTORE_DATA143__" hidden="1">#REF!,#REF!,#REF!,#REF!,#REF!,#REF!</definedName>
    <definedName name="__APW_RESTORE_DATA144__" hidden="1">#REF!,#REF!,#REF!,#REF!,#REF!,#REF!,#REF!,#REF!,#REF!,#REF!,#REF!,#REF!,#REF!,#REF!,#REF!,#REF!,#REF!</definedName>
    <definedName name="__APW_RESTORE_DATA145__" hidden="1">#REF!,#REF!,#REF!,#REF!,#REF!,#REF!,#REF!,#REF!,#REF!,#REF!,#REF!,#REF!,#REF!,#REF!,#REF!,#REF!</definedName>
    <definedName name="__APW_RESTORE_DATA146__" hidden="1">#REF!,#REF!,#REF!,#REF!,#REF!,#REF!,#REF!,#REF!,#REF!,#REF!,#REF!,#REF!,#REF!,#REF!,#REF!,#REF!</definedName>
    <definedName name="__APW_RESTORE_DATA147__" hidden="1">#REF!,#REF!,#REF!,#REF!,#REF!,#REF!,#REF!,#REF!,#REF!,#REF!,#REF!,#REF!,#REF!,#REF!,#REF!,#REF!</definedName>
    <definedName name="__APW_RESTORE_DATA148__" hidden="1">#REF!,#REF!,#REF!,#REF!,#REF!,#REF!,#REF!,#REF!,#REF!,#REF!,#REF!,#REF!,#REF!,#REF!,#REF!,#REF!</definedName>
    <definedName name="__APW_RESTORE_DATA149__" hidden="1">#REF!,#REF!,#REF!,#REF!,#REF!,#REF!,#REF!,#REF!,#REF!,#REF!,#REF!,#REF!,#REF!,#REF!,#REF!,#REF!</definedName>
    <definedName name="__APW_RESTORE_DATA15__" hidden="1">#REF!,#REF!,#REF!,#REF!,#REF!,#REF!,#REF!,#REF!,#REF!,#REF!,#REF!,#REF!,#REF!,#REF!,#REF!,#REF!</definedName>
    <definedName name="__APW_RESTORE_DATA150__" hidden="1">#REF!,#REF!,#REF!,#REF!,#REF!,#REF!,#REF!,#REF!,#REF!,#REF!,#REF!,#REF!,#REF!,#REF!,#REF!</definedName>
    <definedName name="__APW_RESTORE_DATA151__" hidden="1">#REF!,#REF!,#REF!,#REF!,#REF!,#REF!,#REF!,#REF!,#REF!,#REF!,#REF!,#REF!,#REF!,#REF!,#REF!</definedName>
    <definedName name="__APW_RESTORE_DATA152__" hidden="1">#REF!,#REF!,#REF!,#REF!,#REF!,#REF!,#REF!,#REF!,#REF!,#REF!,#REF!,#REF!,#REF!,#REF!,#REF!</definedName>
    <definedName name="__APW_RESTORE_DATA153__" hidden="1">#REF!,#REF!,#REF!,#REF!,#REF!,#REF!,#REF!,#REF!,#REF!,#REF!,#REF!,#REF!,#REF!,#REF!,#REF!</definedName>
    <definedName name="__APW_RESTORE_DATA154__" hidden="1">#REF!,#REF!,#REF!,#REF!,#REF!,#REF!,#REF!,#REF!,#REF!,#REF!,#REF!,#REF!,#REF!,#REF!,#REF!</definedName>
    <definedName name="__APW_RESTORE_DATA155__" hidden="1">#REF!,#REF!,#REF!,#REF!,#REF!,#REF!</definedName>
    <definedName name="__APW_RESTORE_DATA156__" hidden="1">#REF!,#REF!,#REF!,#REF!,#REF!,#REF!,#REF!,#REF!,#REF!,#REF!,#REF!,#REF!,#REF!,#REF!,#REF!,#REF!,#REF!</definedName>
    <definedName name="__APW_RESTORE_DATA157__" hidden="1">#REF!,#REF!,#REF!,#REF!,#REF!,#REF!,#REF!,#REF!,#REF!,#REF!,#REF!,#REF!,#REF!,#REF!,#REF!,#REF!</definedName>
    <definedName name="__APW_RESTORE_DATA158__" hidden="1">#REF!,#REF!,#REF!,#REF!,#REF!,#REF!,#REF!,#REF!,#REF!,#REF!,#REF!,#REF!,#REF!,#REF!,#REF!,#REF!</definedName>
    <definedName name="__APW_RESTORE_DATA159__" hidden="1">#REF!,#REF!,#REF!,#REF!,#REF!,#REF!,#REF!,#REF!,#REF!,#REF!,#REF!,#REF!,#REF!,#REF!,#REF!,#REF!</definedName>
    <definedName name="__APW_RESTORE_DATA16__" hidden="1">#REF!,#REF!,#REF!,#REF!,#REF!,#REF!,#REF!,#REF!,#REF!,#REF!,#REF!,#REF!,#REF!,#REF!,#REF!,#REF!</definedName>
    <definedName name="__APW_RESTORE_DATA160__" hidden="1">#REF!,#REF!,#REF!,#REF!,#REF!,#REF!,#REF!,#REF!,#REF!,#REF!,#REF!,#REF!,#REF!,#REF!,#REF!,#REF!</definedName>
    <definedName name="__APW_RESTORE_DATA161__" hidden="1">#REF!,#REF!,#REF!,#REF!,#REF!,#REF!,#REF!,#REF!,#REF!,#REF!,#REF!,#REF!,#REF!,#REF!,#REF!,#REF!</definedName>
    <definedName name="__APW_RESTORE_DATA162__" hidden="1">#REF!,#REF!,#REF!,#REF!,#REF!,#REF!,#REF!,#REF!,#REF!,#REF!,#REF!,#REF!,#REF!,#REF!,#REF!</definedName>
    <definedName name="__APW_RESTORE_DATA163__" hidden="1">#REF!,#REF!,#REF!,#REF!,#REF!,#REF!,#REF!,#REF!,#REF!,#REF!,#REF!,#REF!,#REF!,#REF!,#REF!</definedName>
    <definedName name="__APW_RESTORE_DATA164__" hidden="1">#REF!,#REF!,#REF!,#REF!,#REF!,#REF!,#REF!,#REF!,#REF!,#REF!,#REF!,#REF!,#REF!,#REF!,#REF!</definedName>
    <definedName name="__APW_RESTORE_DATA165__" hidden="1">#REF!,#REF!,#REF!,#REF!,#REF!,#REF!,#REF!,#REF!,#REF!,#REF!,#REF!,#REF!,#REF!,#REF!,#REF!</definedName>
    <definedName name="__APW_RESTORE_DATA166__" hidden="1">#REF!,#REF!,#REF!,#REF!,#REF!,#REF!,#REF!,#REF!,#REF!,#REF!,#REF!,#REF!,#REF!,#REF!,#REF!</definedName>
    <definedName name="__APW_RESTORE_DATA167__" hidden="1">#REF!,#REF!,#REF!,#REF!,#REF!,#REF!</definedName>
    <definedName name="__APW_RESTORE_DATA168__" hidden="1">#REF!,#REF!,#REF!,#REF!,#REF!,#REF!,#REF!,#REF!,#REF!,#REF!,#REF!,#REF!,#REF!,#REF!,#REF!,#REF!,#REF!</definedName>
    <definedName name="__APW_RESTORE_DATA169__" hidden="1">#REF!,#REF!,#REF!,#REF!,#REF!,#REF!,#REF!,#REF!,#REF!,#REF!,#REF!,#REF!,#REF!,#REF!,#REF!,#REF!</definedName>
    <definedName name="__APW_RESTORE_DATA17__" hidden="1">#REF!,#REF!,#REF!,#REF!,#REF!,#REF!,#REF!,#REF!,#REF!,#REF!,#REF!,#REF!,#REF!,#REF!,#REF!,#REF!</definedName>
    <definedName name="__APW_RESTORE_DATA170__" hidden="1">#REF!,#REF!,#REF!,#REF!,#REF!,#REF!,#REF!,#REF!,#REF!,#REF!,#REF!,#REF!,#REF!,#REF!,#REF!,#REF!</definedName>
    <definedName name="__APW_RESTORE_DATA171__" hidden="1">#REF!,#REF!,#REF!,#REF!,#REF!,#REF!,#REF!,#REF!,#REF!,#REF!,#REF!,#REF!,#REF!,#REF!,#REF!,#REF!</definedName>
    <definedName name="__APW_RESTORE_DATA172__" hidden="1">#REF!,#REF!,#REF!,#REF!,#REF!,#REF!,#REF!,#REF!,#REF!,#REF!,#REF!,#REF!,#REF!,#REF!,#REF!,#REF!</definedName>
    <definedName name="__APW_RESTORE_DATA173__" hidden="1">#REF!,#REF!,#REF!,#REF!,#REF!,#REF!,#REF!,#REF!,#REF!,#REF!,#REF!,#REF!,#REF!,#REF!,#REF!,#REF!</definedName>
    <definedName name="__APW_RESTORE_DATA174__" hidden="1">#REF!,#REF!,#REF!,#REF!,#REF!,#REF!,#REF!,#REF!,#REF!,#REF!,#REF!,#REF!,#REF!,#REF!,#REF!</definedName>
    <definedName name="__APW_RESTORE_DATA175__" hidden="1">#REF!,#REF!,#REF!,#REF!,#REF!,#REF!,#REF!,#REF!,#REF!,#REF!,#REF!,#REF!,#REF!,#REF!,#REF!</definedName>
    <definedName name="__APW_RESTORE_DATA176__" hidden="1">#REF!,#REF!,#REF!,#REF!,#REF!,#REF!,#REF!,#REF!,#REF!,#REF!,#REF!,#REF!,#REF!,#REF!,#REF!</definedName>
    <definedName name="__APW_RESTORE_DATA177__" hidden="1">#REF!,#REF!,#REF!,#REF!,#REF!,#REF!,#REF!,#REF!,#REF!,#REF!,#REF!,#REF!,#REF!,#REF!,#REF!</definedName>
    <definedName name="__APW_RESTORE_DATA178__" hidden="1">#REF!,#REF!,#REF!,#REF!,#REF!,#REF!,#REF!,#REF!,#REF!,#REF!,#REF!,#REF!,#REF!,#REF!,#REF!</definedName>
    <definedName name="__APW_RESTORE_DATA179__" hidden="1">#REF!,#REF!,#REF!,#REF!,#REF!,#REF!</definedName>
    <definedName name="__APW_RESTORE_DATA18__" hidden="1">#REF!,#REF!,#REF!,#REF!,#REF!,#REF!,#REF!,#REF!,#REF!,#REF!,#REF!,#REF!,#REF!,#REF!,#REF!</definedName>
    <definedName name="__APW_RESTORE_DATA180__" hidden="1">#REF!,#REF!,#REF!,#REF!,#REF!,#REF!,#REF!,#REF!,#REF!,#REF!,#REF!,#REF!,#REF!,#REF!,#REF!,#REF!,#REF!</definedName>
    <definedName name="__APW_RESTORE_DATA181__" hidden="1">#REF!,#REF!,#REF!,#REF!,#REF!,#REF!,#REF!,#REF!,#REF!,#REF!,#REF!,#REF!,#REF!,#REF!,#REF!,#REF!</definedName>
    <definedName name="__APW_RESTORE_DATA182__" hidden="1">#REF!,#REF!,#REF!,#REF!,#REF!,#REF!,#REF!,#REF!,#REF!,#REF!,#REF!,#REF!,#REF!,#REF!,#REF!,#REF!</definedName>
    <definedName name="__APW_RESTORE_DATA183__" hidden="1">#REF!,#REF!,#REF!,#REF!,#REF!,#REF!,#REF!,#REF!,#REF!,#REF!,#REF!,#REF!,#REF!,#REF!,#REF!,#REF!</definedName>
    <definedName name="__APW_RESTORE_DATA184__" hidden="1">#REF!,#REF!,#REF!,#REF!,#REF!,#REF!,#REF!,#REF!,#REF!,#REF!,#REF!,#REF!,#REF!,#REF!,#REF!,#REF!</definedName>
    <definedName name="__APW_RESTORE_DATA185__" hidden="1">#REF!,#REF!,#REF!,#REF!,#REF!,#REF!,#REF!,#REF!,#REF!,#REF!,#REF!,#REF!,#REF!,#REF!,#REF!,#REF!</definedName>
    <definedName name="__APW_RESTORE_DATA186__" hidden="1">#REF!,#REF!,#REF!,#REF!,#REF!,#REF!,#REF!,#REF!,#REF!,#REF!,#REF!,#REF!,#REF!,#REF!,#REF!</definedName>
    <definedName name="__APW_RESTORE_DATA187__" hidden="1">#REF!,#REF!,#REF!,#REF!,#REF!,#REF!,#REF!,#REF!,#REF!,#REF!,#REF!,#REF!,#REF!,#REF!,#REF!</definedName>
    <definedName name="__APW_RESTORE_DATA188__" hidden="1">#REF!,#REF!,#REF!,#REF!,#REF!,#REF!,#REF!,#REF!,#REF!,#REF!,#REF!,#REF!,#REF!,#REF!,#REF!</definedName>
    <definedName name="__APW_RESTORE_DATA189__" hidden="1">#REF!,#REF!,#REF!,#REF!,#REF!,#REF!,#REF!,#REF!,#REF!,#REF!,#REF!,#REF!,#REF!,#REF!,#REF!</definedName>
    <definedName name="__APW_RESTORE_DATA19__" hidden="1">#REF!,#REF!,#REF!,#REF!,#REF!,#REF!,#REF!,#REF!,#REF!,#REF!,#REF!,#REF!,#REF!,#REF!,#REF!</definedName>
    <definedName name="__APW_RESTORE_DATA190__" hidden="1">#REF!,#REF!,#REF!,#REF!,#REF!,#REF!,#REF!,#REF!,#REF!,#REF!,#REF!,#REF!,#REF!,#REF!,#REF!</definedName>
    <definedName name="__APW_RESTORE_DATA191__" hidden="1">#REF!,#REF!,#REF!,#REF!,#REF!,#REF!</definedName>
    <definedName name="__APW_RESTORE_DATA192__" hidden="1">#REF!,#REF!,#REF!,#REF!,#REF!,#REF!,#REF!,#REF!,#REF!,#REF!,#REF!,#REF!,#REF!,#REF!,#REF!,#REF!,#REF!</definedName>
    <definedName name="__APW_RESTORE_DATA193__" hidden="1">#REF!,#REF!,#REF!,#REF!,#REF!,#REF!,#REF!,#REF!,#REF!,#REF!,#REF!,#REF!,#REF!,#REF!,#REF!,#REF!</definedName>
    <definedName name="__APW_RESTORE_DATA194__" hidden="1">#REF!,#REF!,#REF!,#REF!,#REF!,#REF!,#REF!,#REF!,#REF!,#REF!,#REF!,#REF!,#REF!,#REF!,#REF!,#REF!</definedName>
    <definedName name="__APW_RESTORE_DATA195__" hidden="1">#REF!,#REF!,#REF!,#REF!,#REF!,#REF!,#REF!,#REF!,#REF!,#REF!,#REF!,#REF!,#REF!,#REF!,#REF!,#REF!</definedName>
    <definedName name="__APW_RESTORE_DATA196__" hidden="1">#REF!,#REF!,#REF!,#REF!,#REF!,#REF!,#REF!,#REF!,#REF!,#REF!,#REF!,#REF!,#REF!,#REF!,#REF!,#REF!</definedName>
    <definedName name="__APW_RESTORE_DATA197__" hidden="1">#REF!,#REF!,#REF!,#REF!,#REF!,#REF!,#REF!,#REF!,#REF!,#REF!,#REF!,#REF!,#REF!,#REF!,#REF!,#REF!</definedName>
    <definedName name="__APW_RESTORE_DATA198__" hidden="1">#REF!,#REF!,#REF!,#REF!,#REF!,#REF!,#REF!,#REF!,#REF!,#REF!,#REF!,#REF!,#REF!,#REF!,#REF!</definedName>
    <definedName name="__APW_RESTORE_DATA199__" hidden="1">#REF!,#REF!,#REF!,#REF!,#REF!,#REF!,#REF!,#REF!,#REF!,#REF!,#REF!,#REF!,#REF!,#REF!,#REF!,#REF!,#REF!</definedName>
    <definedName name="__APW_RESTORE_DATA2__" hidden="1">#REF!,#REF!,#REF!,#REF!,#REF!,#REF!,#REF!,#REF!,#REF!,#REF!,#REF!,#REF!,#REF!,#REF!,#REF!,#REF!</definedName>
    <definedName name="__APW_RESTORE_DATA20__" hidden="1">#REF!,#REF!,#REF!,#REF!,#REF!,#REF!,#REF!,#REF!,#REF!,#REF!,#REF!,#REF!,#REF!,#REF!,#REF!</definedName>
    <definedName name="__APW_RESTORE_DATA200__" hidden="1">#REF!,#REF!,#REF!,#REF!,#REF!,#REF!,#REF!,#REF!,#REF!,#REF!,#REF!,#REF!,#REF!,#REF!,#REF!,#REF!</definedName>
    <definedName name="__APW_RESTORE_DATA201__" hidden="1">#REF!,#REF!,#REF!,#REF!,#REF!,#REF!,#REF!,#REF!,#REF!,#REF!,#REF!,#REF!,#REF!,#REF!,#REF!,#REF!</definedName>
    <definedName name="__APW_RESTORE_DATA202__" hidden="1">#REF!,#REF!,#REF!,#REF!,#REF!,#REF!,#REF!,#REF!,#REF!,#REF!,#REF!,#REF!,#REF!,#REF!,#REF!,#REF!</definedName>
    <definedName name="__APW_RESTORE_DATA203__" hidden="1">#REF!,#REF!,#REF!,#REF!,#REF!,#REF!,#REF!,#REF!,#REF!,#REF!,#REF!,#REF!,#REF!,#REF!,#REF!,#REF!</definedName>
    <definedName name="__APW_RESTORE_DATA204__" hidden="1">#REF!,#REF!,#REF!,#REF!,#REF!,#REF!,#REF!,#REF!,#REF!,#REF!,#REF!,#REF!,#REF!,#REF!,#REF!,#REF!</definedName>
    <definedName name="__APW_RESTORE_DATA205__" hidden="1">#REF!,#REF!,#REF!,#REF!,#REF!,#REF!,#REF!,#REF!,#REF!,#REF!,#REF!,#REF!,#REF!,#REF!,#REF!</definedName>
    <definedName name="__APW_RESTORE_DATA206__" hidden="1">#REF!,#REF!,#REF!,#REF!,#REF!,#REF!,#REF!,#REF!,#REF!,#REF!,#REF!,#REF!,#REF!,#REF!,#REF!</definedName>
    <definedName name="__APW_RESTORE_DATA207__" hidden="1">#REF!,#REF!,#REF!,#REF!,#REF!,#REF!,#REF!,#REF!,#REF!,#REF!,#REF!,#REF!,#REF!,#REF!,#REF!</definedName>
    <definedName name="__APW_RESTORE_DATA208__" hidden="1">#REF!,#REF!,#REF!,#REF!,#REF!,#REF!,#REF!,#REF!,#REF!,#REF!,#REF!,#REF!,#REF!,#REF!,#REF!</definedName>
    <definedName name="__APW_RESTORE_DATA209__" hidden="1">#REF!,#REF!,#REF!,#REF!,#REF!,#REF!,#REF!,#REF!,#REF!,#REF!,#REF!,#REF!,#REF!,#REF!</definedName>
    <definedName name="__APW_RESTORE_DATA21__" hidden="1">#REF!,#REF!,#REF!,#REF!,#REF!,#REF!,#REF!,#REF!,#REF!,#REF!,#REF!,#REF!,#REF!,#REF!,#REF!</definedName>
    <definedName name="__APW_RESTORE_DATA210__" hidden="1">#REF!,#REF!,#REF!,#REF!,#REF!,#REF!,#REF!,#REF!,#REF!,#REF!,#REF!,#REF!,#REF!,#REF!,#REF!,#REF!,#REF!</definedName>
    <definedName name="__APW_RESTORE_DATA211__" hidden="1">#REF!,#REF!,#REF!,#REF!,#REF!,#REF!,#REF!,#REF!,#REF!,#REF!,#REF!,#REF!,#REF!,#REF!,#REF!,#REF!</definedName>
    <definedName name="__APW_RESTORE_DATA212__" hidden="1">#REF!,#REF!,#REF!,#REF!,#REF!,#REF!,#REF!,#REF!,#REF!,#REF!,#REF!,#REF!,#REF!,#REF!,#REF!,#REF!</definedName>
    <definedName name="__APW_RESTORE_DATA213__" hidden="1">#REF!,#REF!,#REF!,#REF!,#REF!,#REF!,#REF!,#REF!,#REF!,#REF!,#REF!,#REF!,#REF!,#REF!,#REF!,#REF!</definedName>
    <definedName name="__APW_RESTORE_DATA214__" hidden="1">#REF!,#REF!,#REF!,#REF!,#REF!,#REF!,#REF!,#REF!,#REF!,#REF!,#REF!,#REF!,#REF!,#REF!,#REF!,#REF!</definedName>
    <definedName name="__APW_RESTORE_DATA215__" hidden="1">#REF!,#REF!,#REF!,#REF!,#REF!,#REF!,#REF!,#REF!,#REF!,#REF!,#REF!,#REF!,#REF!,#REF!,#REF!,#REF!</definedName>
    <definedName name="__APW_RESTORE_DATA216__" hidden="1">#REF!,#REF!,#REF!,#REF!,#REF!,#REF!,#REF!,#REF!,#REF!,#REF!,#REF!,#REF!,#REF!,#REF!,#REF!</definedName>
    <definedName name="__APW_RESTORE_DATA217__" hidden="1">#REF!,#REF!,#REF!,#REF!,#REF!,#REF!,#REF!,#REF!,#REF!,#REF!,#REF!,#REF!,#REF!,#REF!,#REF!</definedName>
    <definedName name="__APW_RESTORE_DATA218__" hidden="1">#REF!,#REF!,#REF!,#REF!,#REF!,#REF!,#REF!,#REF!,#REF!,#REF!,#REF!,#REF!,#REF!,#REF!,#REF!</definedName>
    <definedName name="__APW_RESTORE_DATA219__" hidden="1">#REF!,#REF!,#REF!,#REF!,#REF!,#REF!,#REF!,#REF!,#REF!,#REF!,#REF!,#REF!,#REF!,#REF!,#REF!</definedName>
    <definedName name="__APW_RESTORE_DATA22__" hidden="1">#REF!,#REF!,#REF!,#REF!,#REF!,#REF!,#REF!,#REF!,#REF!,#REF!,#REF!,#REF!,#REF!,#REF!,#REF!</definedName>
    <definedName name="__APW_RESTORE_DATA220__" hidden="1">#REF!,#REF!,#REF!,#REF!,#REF!,#REF!,#REF!,#REF!,#REF!,#REF!,#REF!,#REF!,#REF!,#REF!</definedName>
    <definedName name="__APW_RESTORE_DATA221__" hidden="1">#REF!,#REF!,#REF!,#REF!,#REF!,#REF!,#REF!,#REF!,#REF!,#REF!,#REF!,#REF!,#REF!,#REF!,#REF!,#REF!,#REF!</definedName>
    <definedName name="__APW_RESTORE_DATA222__" hidden="1">#REF!,#REF!,#REF!,#REF!,#REF!,#REF!,#REF!,#REF!,#REF!,#REF!,#REF!,#REF!,#REF!,#REF!,#REF!,#REF!</definedName>
    <definedName name="__APW_RESTORE_DATA223__" hidden="1">#REF!,#REF!,#REF!,#REF!,#REF!,#REF!,#REF!,#REF!,#REF!,#REF!,#REF!,#REF!,#REF!,#REF!,#REF!,#REF!</definedName>
    <definedName name="__APW_RESTORE_DATA224__" hidden="1">#REF!,#REF!,#REF!,#REF!,#REF!,#REF!,#REF!,#REF!,#REF!,#REF!,#REF!,#REF!,#REF!,#REF!,#REF!,#REF!</definedName>
    <definedName name="__APW_RESTORE_DATA225__" hidden="1">#REF!,#REF!,#REF!,#REF!,#REF!,#REF!,#REF!,#REF!,#REF!,#REF!,#REF!,#REF!,#REF!,#REF!,#REF!,#REF!</definedName>
    <definedName name="__APW_RESTORE_DATA226__" hidden="1">#REF!,#REF!,#REF!,#REF!,#REF!,#REF!,#REF!,#REF!,#REF!,#REF!,#REF!,#REF!,#REF!,#REF!,#REF!,#REF!</definedName>
    <definedName name="__APW_RESTORE_DATA227__" hidden="1">#REF!,#REF!,#REF!,#REF!,#REF!,#REF!,#REF!,#REF!,#REF!,#REF!,#REF!,#REF!,#REF!,#REF!,#REF!</definedName>
    <definedName name="__APW_RESTORE_DATA228__" hidden="1">#REF!,#REF!,#REF!,#REF!,#REF!,#REF!,#REF!,#REF!,#REF!,#REF!,#REF!,#REF!,#REF!,#REF!,#REF!</definedName>
    <definedName name="__APW_RESTORE_DATA229__" hidden="1">#REF!,#REF!,#REF!,#REF!,#REF!,#REF!,#REF!,#REF!,#REF!,#REF!,#REF!,#REF!,#REF!,#REF!,#REF!</definedName>
    <definedName name="__APW_RESTORE_DATA23__" hidden="1">#REF!,#REF!,#REF!,#REF!,#REF!,#REF!</definedName>
    <definedName name="__APW_RESTORE_DATA230__" hidden="1">#REF!,#REF!,#REF!,#REF!,#REF!,#REF!,#REF!,#REF!,#REF!,#REF!,#REF!,#REF!,#REF!,#REF!,#REF!</definedName>
    <definedName name="__APW_RESTORE_DATA231__" hidden="1">#REF!,#REF!,#REF!,#REF!,#REF!,#REF!,#REF!,#REF!,#REF!,#REF!,#REF!,#REF!,#REF!,#REF!</definedName>
    <definedName name="__APW_RESTORE_DATA232__" hidden="1">#REF!,#REF!,#REF!,#REF!,#REF!,#REF!,#REF!,#REF!,#REF!,#REF!,#REF!,#REF!,#REF!,#REF!,#REF!,#REF!,#REF!</definedName>
    <definedName name="__APW_RESTORE_DATA233__" hidden="1">#REF!,#REF!,#REF!,#REF!,#REF!,#REF!,#REF!,#REF!,#REF!,#REF!,#REF!,#REF!,#REF!,#REF!,#REF!,#REF!</definedName>
    <definedName name="__APW_RESTORE_DATA234__" hidden="1">#REF!,#REF!,#REF!,#REF!,#REF!,#REF!,#REF!,#REF!,#REF!,#REF!,#REF!,#REF!,#REF!,#REF!,#REF!,#REF!</definedName>
    <definedName name="__APW_RESTORE_DATA235__" hidden="1">#REF!,#REF!,#REF!,#REF!,#REF!,#REF!,#REF!,#REF!,#REF!,#REF!,#REF!,#REF!,#REF!,#REF!,#REF!,#REF!</definedName>
    <definedName name="__APW_RESTORE_DATA236__" hidden="1">#REF!,#REF!,#REF!,#REF!,#REF!,#REF!,#REF!,#REF!,#REF!,#REF!,#REF!,#REF!,#REF!,#REF!,#REF!,#REF!</definedName>
    <definedName name="__APW_RESTORE_DATA237__" hidden="1">#REF!,#REF!,#REF!,#REF!,#REF!,#REF!,#REF!,#REF!,#REF!,#REF!,#REF!,#REF!,#REF!,#REF!,#REF!,#REF!</definedName>
    <definedName name="__APW_RESTORE_DATA238__" hidden="1">#REF!,#REF!,#REF!,#REF!,#REF!,#REF!,#REF!,#REF!,#REF!,#REF!,#REF!,#REF!,#REF!,#REF!,#REF!</definedName>
    <definedName name="__APW_RESTORE_DATA239__" hidden="1">#REF!,#REF!,#REF!,#REF!,#REF!,#REF!,#REF!,#REF!,#REF!,#REF!,#REF!,#REF!,#REF!,#REF!,#REF!</definedName>
    <definedName name="__APW_RESTORE_DATA24__" hidden="1">#REF!,#REF!,#REF!,#REF!,#REF!,#REF!,#REF!,#REF!,#REF!,#REF!,#REF!,#REF!,#REF!,#REF!,#REF!,#REF!,#REF!</definedName>
    <definedName name="__APW_RESTORE_DATA240__" hidden="1">#REF!,#REF!,#REF!,#REF!,#REF!,#REF!,#REF!,#REF!,#REF!,#REF!,#REF!,#REF!,#REF!,#REF!,#REF!</definedName>
    <definedName name="__APW_RESTORE_DATA241__" hidden="1">#REF!,#REF!,#REF!,#REF!,#REF!,#REF!,#REF!,#REF!,#REF!,#REF!,#REF!,#REF!,#REF!,#REF!,#REF!</definedName>
    <definedName name="__APW_RESTORE_DATA242__" hidden="1">#REF!,#REF!,#REF!,#REF!,#REF!,#REF!,#REF!,#REF!,#REF!,#REF!,#REF!,#REF!,#REF!,#REF!</definedName>
    <definedName name="__APW_RESTORE_DATA243__" hidden="1">#REF!,#REF!,#REF!,#REF!,#REF!,#REF!,#REF!,#REF!,#REF!,#REF!,#REF!,#REF!,#REF!,#REF!,#REF!,#REF!,#REF!</definedName>
    <definedName name="__APW_RESTORE_DATA244__" hidden="1">#REF!,#REF!,#REF!,#REF!,#REF!,#REF!,#REF!,#REF!,#REF!,#REF!,#REF!,#REF!,#REF!,#REF!,#REF!,#REF!</definedName>
    <definedName name="__APW_RESTORE_DATA245__" hidden="1">#REF!,#REF!,#REF!,#REF!,#REF!,#REF!,#REF!,#REF!,#REF!,#REF!,#REF!,#REF!,#REF!,#REF!,#REF!,#REF!</definedName>
    <definedName name="__APW_RESTORE_DATA246__" hidden="1">#REF!,#REF!,#REF!,#REF!,#REF!,#REF!,#REF!,#REF!,#REF!,#REF!,#REF!,#REF!,#REF!,#REF!,#REF!,#REF!</definedName>
    <definedName name="__APW_RESTORE_DATA247__" hidden="1">#REF!,#REF!,#REF!,#REF!,#REF!,#REF!,#REF!,#REF!,#REF!,#REF!,#REF!,#REF!,#REF!,#REF!,#REF!,#REF!</definedName>
    <definedName name="__APW_RESTORE_DATA248__" hidden="1">#REF!,#REF!,#REF!,#REF!,#REF!,#REF!,#REF!,#REF!,#REF!,#REF!,#REF!,#REF!,#REF!,#REF!,#REF!,#REF!</definedName>
    <definedName name="__APW_RESTORE_DATA249__" hidden="1">#REF!,#REF!,#REF!,#REF!,#REF!,#REF!,#REF!,#REF!,#REF!,#REF!,#REF!,#REF!,#REF!,#REF!,#REF!</definedName>
    <definedName name="__APW_RESTORE_DATA25__" hidden="1">#REF!,#REF!,#REF!,#REF!,#REF!,#REF!,#REF!,#REF!,#REF!,#REF!,#REF!,#REF!,#REF!,#REF!,#REF!,#REF!</definedName>
    <definedName name="__APW_RESTORE_DATA250__" hidden="1">#REF!,#REF!,#REF!,#REF!,#REF!,#REF!,#REF!,#REF!,#REF!,#REF!,#REF!,#REF!,#REF!,#REF!,#REF!</definedName>
    <definedName name="__APW_RESTORE_DATA251__" hidden="1">#REF!,#REF!,#REF!,#REF!,#REF!,#REF!,#REF!,#REF!,#REF!,#REF!,#REF!,#REF!,#REF!,#REF!,#REF!</definedName>
    <definedName name="__APW_RESTORE_DATA252__" hidden="1">#REF!,#REF!,#REF!,#REF!,#REF!,#REF!,#REF!,#REF!,#REF!,#REF!,#REF!,#REF!,#REF!,#REF!,#REF!</definedName>
    <definedName name="__APW_RESTORE_DATA253__" hidden="1">#REF!,#REF!,#REF!,#REF!,#REF!,#REF!,#REF!,#REF!,#REF!,#REF!,#REF!,#REF!,#REF!,#REF!</definedName>
    <definedName name="__APW_RESTORE_DATA254__" hidden="1">#REF!,#REF!,#REF!,#REF!,#REF!,#REF!,#REF!,#REF!,#REF!,#REF!,#REF!,#REF!,#REF!,#REF!,#REF!,#REF!,#REF!</definedName>
    <definedName name="__APW_RESTORE_DATA255__" hidden="1">#REF!,#REF!,#REF!,#REF!,#REF!,#REF!,#REF!,#REF!,#REF!,#REF!,#REF!,#REF!,#REF!,#REF!,#REF!,#REF!</definedName>
    <definedName name="__APW_RESTORE_DATA256__" hidden="1">#REF!,#REF!,#REF!,#REF!,#REF!,#REF!,#REF!,#REF!,#REF!,#REF!,#REF!,#REF!,#REF!,#REF!,#REF!,#REF!</definedName>
    <definedName name="__APW_RESTORE_DATA257__" hidden="1">#REF!,#REF!,#REF!,#REF!,#REF!,#REF!,#REF!,#REF!,#REF!,#REF!,#REF!,#REF!,#REF!,#REF!,#REF!,#REF!</definedName>
    <definedName name="__APW_RESTORE_DATA258__" hidden="1">#REF!,#REF!,#REF!,#REF!,#REF!,#REF!,#REF!,#REF!,#REF!,#REF!,#REF!,#REF!,#REF!,#REF!,#REF!,#REF!</definedName>
    <definedName name="__APW_RESTORE_DATA259__" hidden="1">#REF!,#REF!,#REF!,#REF!,#REF!,#REF!,#REF!,#REF!,#REF!,#REF!,#REF!,#REF!,#REF!,#REF!,#REF!,#REF!</definedName>
    <definedName name="__APW_RESTORE_DATA26__" hidden="1">#REF!,#REF!,#REF!,#REF!,#REF!,#REF!,#REF!,#REF!,#REF!,#REF!,#REF!,#REF!,#REF!,#REF!,#REF!,#REF!</definedName>
    <definedName name="__APW_RESTORE_DATA260__" hidden="1">#REF!,#REF!,#REF!,#REF!,#REF!,#REF!,#REF!,#REF!,#REF!,#REF!,#REF!,#REF!,#REF!,#REF!,#REF!</definedName>
    <definedName name="__APW_RESTORE_DATA261__" hidden="1">#REF!,#REF!,#REF!,#REF!,#REF!,#REF!,#REF!,#REF!,#REF!,#REF!,#REF!,#REF!,#REF!,#REF!,#REF!</definedName>
    <definedName name="__APW_RESTORE_DATA262__" hidden="1">#REF!,#REF!,#REF!,#REF!,#REF!,#REF!,#REF!,#REF!,#REF!,#REF!,#REF!,#REF!,#REF!,#REF!,#REF!</definedName>
    <definedName name="__APW_RESTORE_DATA263__" hidden="1">#REF!,#REF!,#REF!,#REF!,#REF!,#REF!,#REF!,#REF!,#REF!,#REF!,#REF!,#REF!,#REF!,#REF!,#REF!</definedName>
    <definedName name="__APW_RESTORE_DATA264__" hidden="1">#REF!,#REF!,#REF!,#REF!,#REF!,#REF!,#REF!,#REF!,#REF!,#REF!,#REF!,#REF!,#REF!,#REF!</definedName>
    <definedName name="__APW_RESTORE_DATA265__" hidden="1">#REF!,#REF!,#REF!,#REF!,#REF!,#REF!,#REF!,#REF!,#REF!,#REF!,#REF!,#REF!,#REF!,#REF!,#REF!,#REF!,#REF!</definedName>
    <definedName name="__APW_RESTORE_DATA266__" hidden="1">#REF!,#REF!,#REF!,#REF!,#REF!,#REF!,#REF!,#REF!,#REF!,#REF!,#REF!,#REF!,#REF!,#REF!,#REF!,#REF!</definedName>
    <definedName name="__APW_RESTORE_DATA267__" hidden="1">#REF!,#REF!,#REF!,#REF!,#REF!,#REF!,#REF!,#REF!,#REF!,#REF!,#REF!,#REF!,#REF!,#REF!,#REF!,#REF!</definedName>
    <definedName name="__APW_RESTORE_DATA268__" hidden="1">#REF!,#REF!,#REF!,#REF!,#REF!,#REF!,#REF!,#REF!,#REF!,#REF!,#REF!,#REF!,#REF!,#REF!,#REF!,#REF!</definedName>
    <definedName name="__APW_RESTORE_DATA269__" hidden="1">#REF!,#REF!,#REF!,#REF!,#REF!,#REF!,#REF!,#REF!,#REF!,#REF!,#REF!,#REF!,#REF!,#REF!,#REF!,#REF!</definedName>
    <definedName name="__APW_RESTORE_DATA27__" hidden="1">#REF!,#REF!,#REF!,#REF!,#REF!,#REF!,#REF!,#REF!,#REF!,#REF!,#REF!,#REF!,#REF!,#REF!,#REF!,#REF!</definedName>
    <definedName name="__APW_RESTORE_DATA270__" hidden="1">#REF!,#REF!,#REF!,#REF!,#REF!,#REF!,#REF!,#REF!,#REF!,#REF!,#REF!,#REF!,#REF!,#REF!,#REF!,#REF!</definedName>
    <definedName name="__APW_RESTORE_DATA271__" hidden="1">#REF!,#REF!,#REF!,#REF!,#REF!,#REF!,#REF!,#REF!,#REF!,#REF!,#REF!,#REF!,#REF!,#REF!,#REF!</definedName>
    <definedName name="__APW_RESTORE_DATA272__" hidden="1">#REF!,#REF!,#REF!,#REF!,#REF!,#REF!,#REF!,#REF!,#REF!,#REF!,#REF!,#REF!,#REF!,#REF!,#REF!</definedName>
    <definedName name="__APW_RESTORE_DATA273__" hidden="1">#REF!,#REF!,#REF!,#REF!,#REF!,#REF!,#REF!,#REF!,#REF!,#REF!,#REF!,#REF!,#REF!,#REF!,#REF!</definedName>
    <definedName name="__APW_RESTORE_DATA274__" hidden="1">#REF!,#REF!,#REF!,#REF!,#REF!,#REF!,#REF!,#REF!,#REF!,#REF!,#REF!,#REF!,#REF!,#REF!,#REF!</definedName>
    <definedName name="__APW_RESTORE_DATA275__" hidden="1">#REF!,#REF!,#REF!,#REF!,#REF!,#REF!,#REF!,#REF!,#REF!,#REF!,#REF!,#REF!,#REF!,#REF!</definedName>
    <definedName name="__APW_RESTORE_DATA276__" hidden="1">#REF!,#REF!,#REF!,#REF!,#REF!,#REF!,#REF!,#REF!,#REF!,#REF!,#REF!,#REF!,#REF!,#REF!,#REF!,#REF!,#REF!</definedName>
    <definedName name="__APW_RESTORE_DATA277__" hidden="1">#REF!,#REF!,#REF!,#REF!,#REF!,#REF!,#REF!,#REF!,#REF!,#REF!,#REF!,#REF!,#REF!,#REF!,#REF!,#REF!</definedName>
    <definedName name="__APW_RESTORE_DATA278__" hidden="1">#REF!,#REF!,#REF!,#REF!,#REF!,#REF!,#REF!,#REF!,#REF!,#REF!,#REF!,#REF!,#REF!,#REF!,#REF!,#REF!</definedName>
    <definedName name="__APW_RESTORE_DATA279__" hidden="1">#REF!,#REF!,#REF!,#REF!,#REF!,#REF!,#REF!,#REF!,#REF!,#REF!,#REF!,#REF!,#REF!,#REF!,#REF!,#REF!</definedName>
    <definedName name="__APW_RESTORE_DATA28__" hidden="1">#REF!,#REF!,#REF!,#REF!,#REF!,#REF!,#REF!,#REF!,#REF!,#REF!,#REF!,#REF!,#REF!,#REF!,#REF!,#REF!</definedName>
    <definedName name="__APW_RESTORE_DATA280__" hidden="1">#REF!,#REF!,#REF!,#REF!,#REF!,#REF!,#REF!,#REF!,#REF!,#REF!,#REF!,#REF!,#REF!,#REF!,#REF!,#REF!</definedName>
    <definedName name="__APW_RESTORE_DATA281__" hidden="1">#REF!,#REF!,#REF!,#REF!,#REF!,#REF!,#REF!,#REF!,#REF!,#REF!,#REF!,#REF!,#REF!,#REF!,#REF!,#REF!</definedName>
    <definedName name="__APW_RESTORE_DATA282__" hidden="1">#REF!,#REF!,#REF!,#REF!,#REF!,#REF!,#REF!,#REF!,#REF!,#REF!,#REF!,#REF!,#REF!,#REF!,#REF!</definedName>
    <definedName name="__APW_RESTORE_DATA283__" hidden="1">#REF!,#REF!,#REF!,#REF!,#REF!,#REF!,#REF!,#REF!,#REF!,#REF!,#REF!,#REF!,#REF!,#REF!,#REF!</definedName>
    <definedName name="__APW_RESTORE_DATA284__" hidden="1">#REF!,#REF!,#REF!,#REF!,#REF!,#REF!,#REF!,#REF!,#REF!,#REF!,#REF!,#REF!,#REF!,#REF!,#REF!</definedName>
    <definedName name="__APW_RESTORE_DATA285__" hidden="1">#REF!,#REF!,#REF!,#REF!,#REF!,#REF!,#REF!,#REF!,#REF!,#REF!,#REF!,#REF!,#REF!,#REF!,#REF!</definedName>
    <definedName name="__APW_RESTORE_DATA286__" hidden="1">#REF!,#REF!,#REF!,#REF!,#REF!,#REF!,#REF!,#REF!,#REF!,#REF!,#REF!,#REF!,#REF!,#REF!</definedName>
    <definedName name="__APW_RESTORE_DATA287__" hidden="1">#REF!,#REF!,#REF!,#REF!,#REF!,#REF!,#REF!,#REF!,#REF!,#REF!,#REF!,#REF!,#REF!,#REF!,#REF!,#REF!,#REF!</definedName>
    <definedName name="__APW_RESTORE_DATA288__" hidden="1">#REF!,#REF!,#REF!,#REF!,#REF!,#REF!,#REF!,#REF!,#REF!,#REF!,#REF!,#REF!,#REF!,#REF!,#REF!,#REF!</definedName>
    <definedName name="__APW_RESTORE_DATA289__" hidden="1">#REF!,#REF!,#REF!,#REF!,#REF!,#REF!,#REF!,#REF!,#REF!,#REF!,#REF!,#REF!,#REF!,#REF!,#REF!,#REF!</definedName>
    <definedName name="__APW_RESTORE_DATA29__" hidden="1">#REF!,#REF!,#REF!,#REF!,#REF!,#REF!,#REF!,#REF!,#REF!,#REF!,#REF!,#REF!,#REF!,#REF!,#REF!,#REF!</definedName>
    <definedName name="__APW_RESTORE_DATA290__" hidden="1">#REF!,#REF!,#REF!,#REF!,#REF!,#REF!,#REF!,#REF!,#REF!,#REF!,#REF!,#REF!,#REF!,#REF!,#REF!,#REF!</definedName>
    <definedName name="__APW_RESTORE_DATA291__" hidden="1">#REF!,#REF!,#REF!,#REF!,#REF!,#REF!,#REF!,#REF!,#REF!,#REF!,#REF!,#REF!,#REF!,#REF!,#REF!,#REF!</definedName>
    <definedName name="__APW_RESTORE_DATA292__" hidden="1">#REF!,#REF!,#REF!,#REF!,#REF!,#REF!,#REF!,#REF!,#REF!,#REF!,#REF!,#REF!,#REF!,#REF!,#REF!,#REF!</definedName>
    <definedName name="__APW_RESTORE_DATA293__" hidden="1">#REF!,#REF!,#REF!,#REF!,#REF!,#REF!,#REF!,#REF!,#REF!,#REF!,#REF!,#REF!,#REF!,#REF!,#REF!</definedName>
    <definedName name="__APW_RESTORE_DATA294__" hidden="1">#REF!,#REF!,#REF!,#REF!,#REF!,#REF!,#REF!,#REF!,#REF!,#REF!,#REF!,#REF!,#REF!,#REF!,#REF!</definedName>
    <definedName name="__APW_RESTORE_DATA295__" hidden="1">#REF!,#REF!,#REF!,#REF!,#REF!,#REF!,#REF!,#REF!,#REF!,#REF!,#REF!,#REF!,#REF!,#REF!,#REF!</definedName>
    <definedName name="__APW_RESTORE_DATA296__" hidden="1">#REF!,#REF!,#REF!,#REF!,#REF!,#REF!,#REF!,#REF!,#REF!,#REF!,#REF!,#REF!,#REF!,#REF!,#REF!</definedName>
    <definedName name="__APW_RESTORE_DATA297__" hidden="1">#REF!,#REF!,#REF!,#REF!,#REF!,#REF!,#REF!,#REF!,#REF!,#REF!,#REF!,#REF!,#REF!,#REF!</definedName>
    <definedName name="__APW_RESTORE_DATA298__" hidden="1">#REF!,#REF!,#REF!,#REF!,#REF!,#REF!,#REF!,#REF!,#REF!,#REF!,#REF!,#REF!,#REF!,#REF!,#REF!,#REF!,#REF!</definedName>
    <definedName name="__APW_RESTORE_DATA299__" hidden="1">#REF!,#REF!,#REF!,#REF!,#REF!,#REF!,#REF!,#REF!,#REF!,#REF!,#REF!,#REF!,#REF!,#REF!,#REF!,#REF!</definedName>
    <definedName name="__APW_RESTORE_DATA3__" hidden="1">#REF!,#REF!,#REF!,#REF!,#REF!,#REF!,#REF!,#REF!,#REF!,#REF!,#REF!,#REF!,#REF!,#REF!,#REF!,#REF!</definedName>
    <definedName name="__APW_RESTORE_DATA30__" hidden="1">#REF!,#REF!,#REF!,#REF!,#REF!,#REF!,#REF!,#REF!,#REF!,#REF!,#REF!,#REF!,#REF!,#REF!,#REF!</definedName>
    <definedName name="__APW_RESTORE_DATA300__" hidden="1">#REF!,#REF!,#REF!,#REF!,#REF!,#REF!,#REF!,#REF!,#REF!,#REF!,#REF!,#REF!,#REF!,#REF!,#REF!,#REF!</definedName>
    <definedName name="__APW_RESTORE_DATA301__" hidden="1">#REF!,#REF!,#REF!,#REF!,#REF!,#REF!,#REF!,#REF!,#REF!,#REF!,#REF!,#REF!,#REF!,#REF!,#REF!,#REF!</definedName>
    <definedName name="__APW_RESTORE_DATA302__" hidden="1">#REF!,#REF!,#REF!,#REF!,#REF!,#REF!,#REF!,#REF!,#REF!,#REF!,#REF!,#REF!,#REF!,#REF!,#REF!,#REF!</definedName>
    <definedName name="__APW_RESTORE_DATA303__" hidden="1">#REF!,#REF!,#REF!,#REF!,#REF!,#REF!,#REF!,#REF!,#REF!,#REF!,#REF!,#REF!,#REF!,#REF!,#REF!,#REF!</definedName>
    <definedName name="__APW_RESTORE_DATA304__" hidden="1">#REF!,#REF!,#REF!,#REF!,#REF!,#REF!,#REF!,#REF!,#REF!,#REF!,#REF!,#REF!,#REF!,#REF!,#REF!</definedName>
    <definedName name="__APW_RESTORE_DATA305__" hidden="1">#REF!,#REF!,#REF!,#REF!,#REF!,#REF!,#REF!,#REF!,#REF!,#REF!,#REF!,#REF!,#REF!,#REF!,#REF!</definedName>
    <definedName name="__APW_RESTORE_DATA306__" hidden="1">#REF!,#REF!,#REF!,#REF!,#REF!,#REF!,#REF!,#REF!,#REF!,#REF!,#REF!,#REF!,#REF!,#REF!,#REF!</definedName>
    <definedName name="__APW_RESTORE_DATA307__" hidden="1">#REF!,#REF!,#REF!,#REF!,#REF!,#REF!,#REF!,#REF!,#REF!,#REF!,#REF!,#REF!,#REF!,#REF!,#REF!</definedName>
    <definedName name="__APW_RESTORE_DATA308__" hidden="1">#REF!,#REF!,#REF!,#REF!,#REF!,#REF!,#REF!,#REF!,#REF!,#REF!,#REF!,#REF!,#REF!,#REF!</definedName>
    <definedName name="__APW_RESTORE_DATA309__" hidden="1">#REF!,#REF!,#REF!,#REF!,#REF!,#REF!,#REF!,#REF!,#REF!,#REF!,#REF!,#REF!,#REF!,#REF!,#REF!,#REF!,#REF!</definedName>
    <definedName name="__APW_RESTORE_DATA31__" hidden="1">#REF!,#REF!,#REF!,#REF!,#REF!,#REF!,#REF!,#REF!,#REF!,#REF!,#REF!,#REF!,#REF!,#REF!,#REF!</definedName>
    <definedName name="__APW_RESTORE_DATA310__" hidden="1">#REF!,#REF!,#REF!,#REF!,#REF!,#REF!,#REF!,#REF!,#REF!,#REF!,#REF!,#REF!,#REF!,#REF!,#REF!,#REF!</definedName>
    <definedName name="__APW_RESTORE_DATA311__" hidden="1">#REF!,#REF!,#REF!,#REF!,#REF!,#REF!,#REF!,#REF!,#REF!,#REF!,#REF!,#REF!,#REF!,#REF!,#REF!,#REF!</definedName>
    <definedName name="__APW_RESTORE_DATA312__" hidden="1">#REF!,#REF!,#REF!,#REF!,#REF!,#REF!,#REF!,#REF!,#REF!,#REF!,#REF!,#REF!,#REF!,#REF!,#REF!,#REF!</definedName>
    <definedName name="__APW_RESTORE_DATA313__" hidden="1">#REF!,#REF!,#REF!,#REF!,#REF!,#REF!,#REF!,#REF!,#REF!,#REF!,#REF!,#REF!,#REF!,#REF!,#REF!,#REF!</definedName>
    <definedName name="__APW_RESTORE_DATA314__" hidden="1">#REF!,#REF!,#REF!,#REF!,#REF!,#REF!,#REF!,#REF!,#REF!,#REF!,#REF!,#REF!,#REF!,#REF!,#REF!,#REF!</definedName>
    <definedName name="__APW_RESTORE_DATA315__" hidden="1">#REF!,#REF!,#REF!,#REF!,#REF!,#REF!,#REF!,#REF!,#REF!,#REF!,#REF!,#REF!,#REF!,#REF!,#REF!</definedName>
    <definedName name="__APW_RESTORE_DATA316__" hidden="1">#REF!,#REF!,#REF!,#REF!,#REF!,#REF!,#REF!,#REF!,#REF!,#REF!,#REF!,#REF!,#REF!,#REF!,#REF!</definedName>
    <definedName name="__APW_RESTORE_DATA317__" hidden="1">#REF!,#REF!,#REF!,#REF!,#REF!,#REF!,#REF!,#REF!,#REF!,#REF!,#REF!,#REF!,#REF!,#REF!,#REF!</definedName>
    <definedName name="__APW_RESTORE_DATA318__" hidden="1">#REF!,#REF!,#REF!,#REF!,#REF!,#REF!,#REF!,#REF!,#REF!,#REF!,#REF!,#REF!,#REF!,#REF!,#REF!</definedName>
    <definedName name="__APW_RESTORE_DATA319__" hidden="1">#REF!,#REF!,#REF!,#REF!,#REF!,#REF!,#REF!,#REF!,#REF!,#REF!,#REF!,#REF!,#REF!,#REF!</definedName>
    <definedName name="__APW_RESTORE_DATA32__" hidden="1">#REF!,#REF!,#REF!,#REF!,#REF!,#REF!,#REF!,#REF!,#REF!,#REF!,#REF!,#REF!,#REF!,#REF!,#REF!</definedName>
    <definedName name="__APW_RESTORE_DATA320__" hidden="1">#REF!,#REF!,#REF!,#REF!,#REF!,#REF!,#REF!,#REF!,#REF!,#REF!,#REF!,#REF!,#REF!,#REF!,#REF!,#REF!,#REF!</definedName>
    <definedName name="__APW_RESTORE_DATA321__" hidden="1">#REF!,#REF!,#REF!,#REF!,#REF!,#REF!,#REF!,#REF!,#REF!,#REF!,#REF!,#REF!,#REF!,#REF!,#REF!,#REF!</definedName>
    <definedName name="__APW_RESTORE_DATA322__" hidden="1">#REF!,#REF!,#REF!,#REF!,#REF!,#REF!,#REF!,#REF!,#REF!,#REF!,#REF!,#REF!,#REF!,#REF!,#REF!,#REF!</definedName>
    <definedName name="__APW_RESTORE_DATA323__" hidden="1">#REF!,#REF!,#REF!,#REF!,#REF!,#REF!,#REF!,#REF!,#REF!,#REF!,#REF!,#REF!,#REF!,#REF!,#REF!,#REF!</definedName>
    <definedName name="__APW_RESTORE_DATA324__" hidden="1">#REF!,#REF!,#REF!,#REF!,#REF!,#REF!,#REF!,#REF!,#REF!,#REF!,#REF!,#REF!,#REF!,#REF!,#REF!,#REF!</definedName>
    <definedName name="__APW_RESTORE_DATA325__" hidden="1">#REF!,#REF!,#REF!,#REF!,#REF!,#REF!,#REF!,#REF!,#REF!,#REF!,#REF!,#REF!,#REF!,#REF!,#REF!,#REF!</definedName>
    <definedName name="__APW_RESTORE_DATA326__" hidden="1">#REF!,#REF!,#REF!,#REF!,#REF!,#REF!,#REF!,#REF!,#REF!,#REF!,#REF!,#REF!,#REF!,#REF!,#REF!</definedName>
    <definedName name="__APW_RESTORE_DATA327__" hidden="1">#REF!,#REF!,#REF!,#REF!,#REF!,#REF!,#REF!,#REF!,#REF!,#REF!,#REF!,#REF!,#REF!,#REF!,#REF!</definedName>
    <definedName name="__APW_RESTORE_DATA328__" hidden="1">#REF!,#REF!,#REF!,#REF!,#REF!,#REF!,#REF!,#REF!,#REF!,#REF!,#REF!,#REF!,#REF!,#REF!,#REF!</definedName>
    <definedName name="__APW_RESTORE_DATA329__" hidden="1">#REF!,#REF!,#REF!,#REF!,#REF!,#REF!,#REF!,#REF!,#REF!,#REF!,#REF!,#REF!,#REF!,#REF!,#REF!</definedName>
    <definedName name="__APW_RESTORE_DATA33__" hidden="1">#REF!,#REF!,#REF!,#REF!,#REF!,#REF!,#REF!,#REF!,#REF!,#REF!,#REF!,#REF!,#REF!,#REF!,#REF!</definedName>
    <definedName name="__APW_RESTORE_DATA330__" hidden="1">#REF!,#REF!,#REF!,#REF!,#REF!,#REF!,#REF!,#REF!,#REF!,#REF!,#REF!,#REF!,#REF!,#REF!</definedName>
    <definedName name="__APW_RESTORE_DATA331__" hidden="1">#REF!,#REF!,#REF!,#REF!,#REF!,#REF!,#REF!,#REF!,#REF!,#REF!,#REF!,#REF!,#REF!,#REF!,#REF!,#REF!,#REF!</definedName>
    <definedName name="__APW_RESTORE_DATA332__" hidden="1">#REF!,#REF!,#REF!,#REF!,#REF!,#REF!,#REF!,#REF!,#REF!,#REF!,#REF!,#REF!,#REF!,#REF!,#REF!,#REF!</definedName>
    <definedName name="__APW_RESTORE_DATA333__" hidden="1">#REF!,#REF!,#REF!,#REF!,#REF!,#REF!,#REF!,#REF!,#REF!,#REF!,#REF!,#REF!,#REF!,#REF!,#REF!,#REF!</definedName>
    <definedName name="__APW_RESTORE_DATA334__" hidden="1">#REF!,#REF!,#REF!,#REF!,#REF!,#REF!,#REF!,#REF!,#REF!,#REF!,#REF!,#REF!,#REF!,#REF!,#REF!,#REF!</definedName>
    <definedName name="__APW_RESTORE_DATA335__" hidden="1">#REF!,#REF!,#REF!,#REF!,#REF!,#REF!,#REF!,#REF!,#REF!,#REF!,#REF!,#REF!,#REF!,#REF!,#REF!,#REF!</definedName>
    <definedName name="__APW_RESTORE_DATA336__" hidden="1">#REF!,#REF!,#REF!,#REF!,#REF!,#REF!,#REF!,#REF!,#REF!,#REF!,#REF!,#REF!,#REF!,#REF!,#REF!,#REF!</definedName>
    <definedName name="__APW_RESTORE_DATA337__" hidden="1">#REF!,#REF!,#REF!,#REF!,#REF!,#REF!,#REF!,#REF!,#REF!,#REF!,#REF!,#REF!,#REF!,#REF!,#REF!</definedName>
    <definedName name="__APW_RESTORE_DATA338__" hidden="1">#REF!,#REF!,#REF!,#REF!,#REF!,#REF!,#REF!,#REF!,#REF!,#REF!,#REF!,#REF!,#REF!,#REF!,#REF!</definedName>
    <definedName name="__APW_RESTORE_DATA339__" hidden="1">#REF!,#REF!,#REF!,#REF!,#REF!,#REF!,#REF!,#REF!,#REF!,#REF!,#REF!,#REF!,#REF!,#REF!,#REF!</definedName>
    <definedName name="__APW_RESTORE_DATA34__" hidden="1">#REF!,#REF!,#REF!,#REF!,#REF!,#REF!,#REF!,#REF!,#REF!,#REF!,#REF!,#REF!,#REF!,#REF!,#REF!</definedName>
    <definedName name="__APW_RESTORE_DATA340__" hidden="1">#REF!,#REF!,#REF!,#REF!,#REF!,#REF!,#REF!,#REF!,#REF!,#REF!,#REF!,#REF!,#REF!,#REF!,#REF!</definedName>
    <definedName name="__APW_RESTORE_DATA341__" hidden="1">#REF!,#REF!,#REF!,#REF!,#REF!,#REF!,#REF!,#REF!,#REF!,#REF!,#REF!,#REF!,#REF!,#REF!</definedName>
    <definedName name="__APW_RESTORE_DATA342__" hidden="1">#REF!,#REF!,#REF!,#REF!,#REF!,#REF!,#REF!,#REF!,#REF!,#REF!,#REF!,#REF!,#REF!,#REF!,#REF!,#REF!,#REF!</definedName>
    <definedName name="__APW_RESTORE_DATA343__" hidden="1">#REF!,#REF!,#REF!,#REF!,#REF!,#REF!,#REF!,#REF!,#REF!,#REF!,#REF!,#REF!,#REF!,#REF!,#REF!,#REF!</definedName>
    <definedName name="__APW_RESTORE_DATA344__" hidden="1">#REF!,#REF!,#REF!,#REF!,#REF!,#REF!,#REF!,#REF!,#REF!,#REF!,#REF!,#REF!,#REF!,#REF!,#REF!,#REF!</definedName>
    <definedName name="__APW_RESTORE_DATA345__" hidden="1">#REF!,#REF!,#REF!,#REF!,#REF!,#REF!,#REF!,#REF!,#REF!,#REF!,#REF!,#REF!,#REF!,#REF!,#REF!,#REF!</definedName>
    <definedName name="__APW_RESTORE_DATA346__" hidden="1">#REF!,#REF!,#REF!,#REF!,#REF!,#REF!,#REF!,#REF!,#REF!,#REF!,#REF!,#REF!,#REF!,#REF!,#REF!,#REF!</definedName>
    <definedName name="__APW_RESTORE_DATA347__" hidden="1">#REF!,#REF!,#REF!,#REF!,#REF!,#REF!,#REF!,#REF!,#REF!,#REF!,#REF!,#REF!,#REF!,#REF!,#REF!,#REF!</definedName>
    <definedName name="__APW_RESTORE_DATA348__" hidden="1">#REF!,#REF!,#REF!,#REF!,#REF!,#REF!,#REF!,#REF!,#REF!,#REF!,#REF!,#REF!,#REF!,#REF!,#REF!</definedName>
    <definedName name="__APW_RESTORE_DATA349__" hidden="1">#REF!,#REF!,#REF!,#REF!,#REF!,#REF!,#REF!,#REF!,#REF!,#REF!,#REF!,#REF!,#REF!,#REF!,#REF!</definedName>
    <definedName name="__APW_RESTORE_DATA35__" hidden="1">#REF!,#REF!,#REF!,#REF!,#REF!,#REF!</definedName>
    <definedName name="__APW_RESTORE_DATA350__" hidden="1">#REF!,#REF!,#REF!,#REF!,#REF!,#REF!,#REF!,#REF!,#REF!,#REF!,#REF!,#REF!,#REF!,#REF!,#REF!</definedName>
    <definedName name="__APW_RESTORE_DATA351__" hidden="1">#REF!,#REF!,#REF!,#REF!,#REF!,#REF!,#REF!,#REF!,#REF!,#REF!,#REF!,#REF!,#REF!,#REF!,#REF!</definedName>
    <definedName name="__APW_RESTORE_DATA352__" hidden="1">#REF!,#REF!,#REF!,#REF!,#REF!,#REF!,#REF!,#REF!,#REF!,#REF!,#REF!,#REF!,#REF!,#REF!</definedName>
    <definedName name="__APW_RESTORE_DATA353__" hidden="1">#REF!,#REF!,#REF!,#REF!,#REF!,#REF!,#REF!,#REF!,#REF!,#REF!,#REF!,#REF!,#REF!,#REF!,#REF!,#REF!,#REF!</definedName>
    <definedName name="__APW_RESTORE_DATA354__" hidden="1">#REF!,#REF!,#REF!,#REF!,#REF!,#REF!,#REF!,#REF!,#REF!,#REF!,#REF!,#REF!,#REF!,#REF!,#REF!,#REF!</definedName>
    <definedName name="__APW_RESTORE_DATA355__" hidden="1">#REF!,#REF!,#REF!,#REF!,#REF!,#REF!,#REF!,#REF!,#REF!,#REF!,#REF!,#REF!,#REF!,#REF!,#REF!,#REF!</definedName>
    <definedName name="__APW_RESTORE_DATA356__" hidden="1">#REF!,#REF!,#REF!,#REF!,#REF!,#REF!,#REF!,#REF!,#REF!,#REF!,#REF!,#REF!,#REF!,#REF!,#REF!,#REF!</definedName>
    <definedName name="__APW_RESTORE_DATA357__" hidden="1">#REF!,#REF!,#REF!,#REF!,#REF!,#REF!,#REF!,#REF!,#REF!,#REF!,#REF!,#REF!,#REF!,#REF!,#REF!,#REF!</definedName>
    <definedName name="__APW_RESTORE_DATA358__" hidden="1">#REF!,#REF!,#REF!,#REF!,#REF!,#REF!,#REF!,#REF!,#REF!,#REF!,#REF!,#REF!,#REF!,#REF!,#REF!,#REF!</definedName>
    <definedName name="__APW_RESTORE_DATA359__" hidden="1">#REF!,#REF!,#REF!,#REF!,#REF!,#REF!,#REF!,#REF!,#REF!,#REF!,#REF!,#REF!,#REF!,#REF!,#REF!</definedName>
    <definedName name="__APW_RESTORE_DATA36__" hidden="1">#REF!,#REF!,#REF!,#REF!,#REF!,#REF!,#REF!,#REF!,#REF!,#REF!,#REF!,#REF!,#REF!,#REF!,#REF!,#REF!,#REF!</definedName>
    <definedName name="__APW_RESTORE_DATA360__" hidden="1">#REF!,#REF!,#REF!,#REF!,#REF!,#REF!,#REF!,#REF!,#REF!,#REF!,#REF!,#REF!,#REF!,#REF!,#REF!</definedName>
    <definedName name="__APW_RESTORE_DATA361__" hidden="1">#REF!,#REF!,#REF!,#REF!,#REF!,#REF!,#REF!,#REF!,#REF!,#REF!,#REF!,#REF!,#REF!,#REF!,#REF!</definedName>
    <definedName name="__APW_RESTORE_DATA362__" hidden="1">#REF!,#REF!,#REF!,#REF!,#REF!,#REF!,#REF!,#REF!,#REF!,#REF!,#REF!,#REF!,#REF!,#REF!,#REF!</definedName>
    <definedName name="__APW_RESTORE_DATA363__" hidden="1">#REF!,#REF!,#REF!,#REF!,#REF!,#REF!,#REF!,#REF!,#REF!,#REF!,#REF!,#REF!,#REF!,#REF!</definedName>
    <definedName name="__APW_RESTORE_DATA364__" hidden="1">#REF!,#REF!,#REF!,#REF!,#REF!,#REF!,#REF!,#REF!,#REF!,#REF!,#REF!,#REF!,#REF!,#REF!,#REF!,#REF!,#REF!</definedName>
    <definedName name="__APW_RESTORE_DATA365__" hidden="1">#REF!,#REF!,#REF!,#REF!,#REF!,#REF!,#REF!,#REF!,#REF!,#REF!,#REF!,#REF!,#REF!,#REF!,#REF!,#REF!</definedName>
    <definedName name="__APW_RESTORE_DATA366__" hidden="1">#REF!,#REF!,#REF!,#REF!,#REF!,#REF!,#REF!,#REF!,#REF!,#REF!,#REF!,#REF!,#REF!,#REF!,#REF!,#REF!</definedName>
    <definedName name="__APW_RESTORE_DATA367__" hidden="1">#REF!,#REF!,#REF!,#REF!,#REF!,#REF!,#REF!,#REF!,#REF!,#REF!,#REF!,#REF!,#REF!,#REF!,#REF!,#REF!</definedName>
    <definedName name="__APW_RESTORE_DATA368__" hidden="1">#REF!,#REF!,#REF!,#REF!,#REF!,#REF!,#REF!,#REF!,#REF!,#REF!,#REF!,#REF!,#REF!,#REF!,#REF!,#REF!</definedName>
    <definedName name="__APW_RESTORE_DATA369__" hidden="1">#REF!,#REF!,#REF!,#REF!,#REF!,#REF!,#REF!,#REF!,#REF!,#REF!,#REF!,#REF!,#REF!,#REF!,#REF!,#REF!</definedName>
    <definedName name="__APW_RESTORE_DATA37__" hidden="1">#REF!,#REF!,#REF!,#REF!,#REF!,#REF!,#REF!,#REF!,#REF!,#REF!,#REF!,#REF!,#REF!,#REF!,#REF!,#REF!</definedName>
    <definedName name="__APW_RESTORE_DATA370__" hidden="1">#REF!,#REF!,#REF!,#REF!,#REF!,#REF!,#REF!,#REF!,#REF!,#REF!,#REF!,#REF!,#REF!,#REF!,#REF!</definedName>
    <definedName name="__APW_RESTORE_DATA371__" hidden="1">#REF!,#REF!,#REF!,#REF!,#REF!,#REF!,#REF!,#REF!,#REF!,#REF!,#REF!,#REF!,#REF!,#REF!,#REF!</definedName>
    <definedName name="__APW_RESTORE_DATA372__" hidden="1">#REF!,#REF!,#REF!,#REF!,#REF!,#REF!,#REF!,#REF!,#REF!,#REF!,#REF!,#REF!,#REF!,#REF!,#REF!</definedName>
    <definedName name="__APW_RESTORE_DATA373__" hidden="1">#REF!,#REF!,#REF!,#REF!,#REF!,#REF!,#REF!,#REF!,#REF!,#REF!,#REF!,#REF!,#REF!,#REF!,#REF!</definedName>
    <definedName name="__APW_RESTORE_DATA374__" hidden="1">#REF!,#REF!,#REF!,#REF!,#REF!,#REF!,#REF!,#REF!,#REF!,#REF!,#REF!,#REF!,#REF!,#REF!</definedName>
    <definedName name="__APW_RESTORE_DATA375__" hidden="1">#REF!,#REF!,#REF!,#REF!,#REF!,#REF!,#REF!,#REF!,#REF!,#REF!,#REF!,#REF!,#REF!,#REF!,#REF!,#REF!,#REF!</definedName>
    <definedName name="__APW_RESTORE_DATA376__" hidden="1">#REF!,#REF!,#REF!,#REF!,#REF!,#REF!,#REF!,#REF!,#REF!,#REF!,#REF!,#REF!,#REF!,#REF!,#REF!,#REF!</definedName>
    <definedName name="__APW_RESTORE_DATA377__" hidden="1">#REF!,#REF!,#REF!,#REF!,#REF!,#REF!,#REF!,#REF!,#REF!,#REF!,#REF!,#REF!,#REF!,#REF!,#REF!,#REF!</definedName>
    <definedName name="__APW_RESTORE_DATA378__" hidden="1">#REF!,#REF!,#REF!,#REF!,#REF!,#REF!,#REF!,#REF!,#REF!,#REF!,#REF!,#REF!,#REF!,#REF!,#REF!,#REF!</definedName>
    <definedName name="__APW_RESTORE_DATA379__" hidden="1">#REF!,#REF!,#REF!,#REF!,#REF!,#REF!,#REF!,#REF!,#REF!,#REF!,#REF!,#REF!,#REF!,#REF!,#REF!,#REF!</definedName>
    <definedName name="__APW_RESTORE_DATA38__" hidden="1">#REF!,#REF!,#REF!,#REF!,#REF!,#REF!,#REF!,#REF!,#REF!,#REF!,#REF!,#REF!,#REF!,#REF!,#REF!,#REF!</definedName>
    <definedName name="__APW_RESTORE_DATA380__" hidden="1">#REF!,#REF!,#REF!,#REF!,#REF!,#REF!,#REF!,#REF!,#REF!,#REF!,#REF!,#REF!,#REF!,#REF!,#REF!,#REF!</definedName>
    <definedName name="__APW_RESTORE_DATA381__" hidden="1">#REF!,#REF!,#REF!,#REF!,#REF!,#REF!,#REF!,#REF!,#REF!,#REF!,#REF!,#REF!,#REF!,#REF!,#REF!</definedName>
    <definedName name="__APW_RESTORE_DATA382__" hidden="1">#REF!,#REF!,#REF!,#REF!,#REF!,#REF!,#REF!,#REF!,#REF!,#REF!,#REF!,#REF!,#REF!,#REF!,#REF!</definedName>
    <definedName name="__APW_RESTORE_DATA383__" hidden="1">#REF!,#REF!,#REF!,#REF!,#REF!,#REF!,#REF!,#REF!,#REF!,#REF!,#REF!,#REF!,#REF!,#REF!,#REF!</definedName>
    <definedName name="__APW_RESTORE_DATA384__" hidden="1">#REF!,#REF!,#REF!,#REF!,#REF!,#REF!,#REF!,#REF!,#REF!,#REF!,#REF!,#REF!,#REF!,#REF!,#REF!</definedName>
    <definedName name="__APW_RESTORE_DATA385__" hidden="1">#REF!,#REF!,#REF!,#REF!,#REF!,#REF!,#REF!,#REF!,#REF!,#REF!,#REF!,#REF!,#REF!,#REF!</definedName>
    <definedName name="__APW_RESTORE_DATA386__" hidden="1">#REF!,#REF!,#REF!,#REF!,#REF!,#REF!,#REF!,#REF!,#REF!,#REF!,#REF!,#REF!,#REF!,#REF!,#REF!,#REF!</definedName>
    <definedName name="__APW_RESTORE_DATA387__" hidden="1">#REF!,#REF!,#REF!,#REF!,#REF!,#REF!,#REF!,#REF!,#REF!,#REF!,#REF!,#REF!,#REF!,#REF!,#REF!</definedName>
    <definedName name="__APW_RESTORE_DATA388__" hidden="1">#REF!,#REF!,#REF!,#REF!,#REF!,#REF!,#REF!,#REF!,#REF!,#REF!,#REF!,#REF!,#REF!,#REF!,#REF!</definedName>
    <definedName name="__APW_RESTORE_DATA389__" hidden="1">#REF!,#REF!,#REF!,#REF!,#REF!,#REF!,#REF!,#REF!,#REF!,#REF!,#REF!,#REF!,#REF!,#REF!,#REF!</definedName>
    <definedName name="__APW_RESTORE_DATA39__" hidden="1">#REF!,#REF!,#REF!,#REF!,#REF!,#REF!,#REF!,#REF!,#REF!,#REF!,#REF!,#REF!,#REF!,#REF!,#REF!,#REF!</definedName>
    <definedName name="__APW_RESTORE_DATA390__" hidden="1">#REF!,#REF!,#REF!,#REF!,#REF!,#REF!,#REF!,#REF!,#REF!,#REF!,#REF!,#REF!,#REF!,#REF!,#REF!</definedName>
    <definedName name="__APW_RESTORE_DATA391__" hidden="1">#REF!,#REF!,#REF!,#REF!,#REF!,#REF!,#REF!,#REF!,#REF!,#REF!,#REF!,#REF!,#REF!,#REF!,#REF!</definedName>
    <definedName name="__APW_RESTORE_DATA392__" hidden="1">#REF!,#REF!,#REF!,#REF!,#REF!,#REF!,#REF!,#REF!,#REF!,#REF!,#REF!,#REF!,#REF!,#REF!,#REF!</definedName>
    <definedName name="__APW_RESTORE_DATA393__" hidden="1">#REF!,#REF!,#REF!,#REF!,#REF!,#REF!,#REF!,#REF!,#REF!,#REF!,#REF!,#REF!,#REF!,#REF!</definedName>
    <definedName name="__APW_RESTORE_DATA394__" hidden="1">#REF!,#REF!,#REF!,#REF!,#REF!,#REF!,#REF!,#REF!,#REF!,#REF!,#REF!,#REF!,#REF!,#REF!</definedName>
    <definedName name="__APW_RESTORE_DATA395__" hidden="1">#REF!,#REF!,#REF!,#REF!,#REF!,#REF!,#REF!,#REF!,#REF!,#REF!,#REF!,#REF!,#REF!,#REF!</definedName>
    <definedName name="__APW_RESTORE_DATA396__" hidden="1">#REF!,#REF!,#REF!,#REF!,#REF!,#REF!,#REF!,#REF!,#REF!,#REF!,#REF!,#REF!,#REF!,#REF!</definedName>
    <definedName name="__APW_RESTORE_DATA397__" hidden="1">#REF!,#REF!,#REF!,#REF!,#REF!,#REF!,#REF!,#REF!,#REF!</definedName>
    <definedName name="__APW_RESTORE_DATA398__" hidden="1">#REF!,#REF!,#REF!,#REF!,#REF!,#REF!,#REF!,#REF!,#REF!,#REF!,#REF!,#REF!,#REF!,#REF!,#REF!,#REF!</definedName>
    <definedName name="__APW_RESTORE_DATA399__" hidden="1">#REF!,#REF!,#REF!,#REF!,#REF!,#REF!,#REF!,#REF!,#REF!,#REF!,#REF!,#REF!,#REF!,#REF!,#REF!,#REF!</definedName>
    <definedName name="__APW_RESTORE_DATA4__" hidden="1">#REF!,#REF!,#REF!,#REF!,#REF!,#REF!,#REF!,#REF!,#REF!,#REF!,#REF!,#REF!,#REF!,#REF!,#REF!,#REF!</definedName>
    <definedName name="__APW_RESTORE_DATA40__" hidden="1">#REF!,#REF!,#REF!,#REF!,#REF!,#REF!,#REF!,#REF!,#REF!,#REF!,#REF!,#REF!,#REF!,#REF!,#REF!,#REF!</definedName>
    <definedName name="__APW_RESTORE_DATA400__" hidden="1">#REF!,#REF!,#REF!,#REF!,#REF!,#REF!,#REF!,#REF!,#REF!,#REF!,#REF!,#REF!,#REF!,#REF!,#REF!,#REF!</definedName>
    <definedName name="__APW_RESTORE_DATA401__" hidden="1">#REF!,#REF!,#REF!,#REF!,#REF!,#REF!,#REF!,#REF!,#REF!,#REF!,#REF!,#REF!,#REF!,#REF!,#REF!,#REF!</definedName>
    <definedName name="__APW_RESTORE_DATA402__" hidden="1">#REF!,#REF!,#REF!,#REF!,#REF!,#REF!,#REF!,#REF!,#REF!,#REF!,#REF!,#REF!,#REF!,#REF!,#REF!,#REF!</definedName>
    <definedName name="__APW_RESTORE_DATA403__" hidden="1">#REF!,#REF!,#REF!,#REF!,#REF!,#REF!,#REF!,#REF!,#REF!,#REF!,#REF!,#REF!,#REF!,#REF!,#REF!</definedName>
    <definedName name="__APW_RESTORE_DATA404__" hidden="1">#REF!,#REF!,#REF!,#REF!,#REF!,#REF!,#REF!,#REF!,#REF!,#REF!,#REF!,#REF!,#REF!,#REF!,#REF!</definedName>
    <definedName name="__APW_RESTORE_DATA405__" hidden="1">#REF!,#REF!,#REF!,#REF!,#REF!,#REF!,#REF!,#REF!,#REF!,#REF!,#REF!,#REF!,#REF!,#REF!,#REF!</definedName>
    <definedName name="__APW_RESTORE_DATA406__" hidden="1">#REF!,#REF!,#REF!,#REF!,#REF!,#REF!,#REF!,#REF!,#REF!,#REF!,#REF!,#REF!,#REF!,#REF!,#REF!</definedName>
    <definedName name="__APW_RESTORE_DATA407__" hidden="1">#REF!,#REF!,#REF!,#REF!,#REF!,#REF!,#REF!,#REF!,#REF!,#REF!,#REF!,#REF!,#REF!,#REF!,#REF!</definedName>
    <definedName name="__APW_RESTORE_DATA408__" hidden="1">#REF!,#REF!,#REF!,#REF!,#REF!,#REF!,#REF!,#REF!,#REF!,#REF!,#REF!</definedName>
    <definedName name="__APW_RESTORE_DATA409__" hidden="1">#REF!,#REF!,#REF!,#REF!,#REF!,#REF!,#REF!,#REF!,#REF!,#REF!,#REF!,#REF!,#REF!,#REF!,#REF!,#REF!,#REF!</definedName>
    <definedName name="__APW_RESTORE_DATA41__" hidden="1">#REF!,#REF!,#REF!,#REF!,#REF!,#REF!,#REF!,#REF!,#REF!,#REF!,#REF!,#REF!,#REF!,#REF!,#REF!,#REF!</definedName>
    <definedName name="__APW_RESTORE_DATA410__" hidden="1">#REF!,#REF!,#REF!,#REF!,#REF!,#REF!,#REF!,#REF!,#REF!,#REF!,#REF!,#REF!,#REF!,#REF!,#REF!,#REF!</definedName>
    <definedName name="__APW_RESTORE_DATA411__" hidden="1">#REF!,#REF!,#REF!,#REF!,#REF!,#REF!,#REF!,#REF!,#REF!,#REF!,#REF!,#REF!,#REF!,#REF!,#REF!,#REF!</definedName>
    <definedName name="__APW_RESTORE_DATA412__" hidden="1">#REF!,#REF!,#REF!,#REF!,#REF!,#REF!,#REF!,#REF!,#REF!,#REF!,#REF!,#REF!,#REF!,#REF!,#REF!,#REF!</definedName>
    <definedName name="__APW_RESTORE_DATA413__" hidden="1">#REF!,#REF!,#REF!,#REF!,#REF!,#REF!,#REF!,#REF!,#REF!,#REF!,#REF!,#REF!,#REF!,#REF!,#REF!,#REF!</definedName>
    <definedName name="__APW_RESTORE_DATA414__" hidden="1">#REF!,#REF!,#REF!,#REF!,#REF!,#REF!,#REF!,#REF!,#REF!,#REF!,#REF!,#REF!,#REF!,#REF!,#REF!,#REF!</definedName>
    <definedName name="__APW_RESTORE_DATA415__" hidden="1">#REF!,#REF!,#REF!,#REF!,#REF!,#REF!,#REF!,#REF!,#REF!,#REF!,#REF!,#REF!,#REF!,#REF!,#REF!</definedName>
    <definedName name="__APW_RESTORE_DATA416__" hidden="1">#REF!,#REF!,#REF!,#REF!,#REF!,#REF!,#REF!,#REF!,#REF!,#REF!,#REF!,#REF!,#REF!,#REF!,#REF!</definedName>
    <definedName name="__APW_RESTORE_DATA417__" hidden="1">#REF!,#REF!,#REF!,#REF!,#REF!,#REF!,#REF!,#REF!,#REF!,#REF!,#REF!,#REF!,#REF!,#REF!,#REF!</definedName>
    <definedName name="__APW_RESTORE_DATA418__" hidden="1">#REF!,#REF!,#REF!,#REF!,#REF!,#REF!,#REF!,#REF!,#REF!,#REF!,#REF!,#REF!,#REF!,#REF!,#REF!</definedName>
    <definedName name="__APW_RESTORE_DATA419__" hidden="1">#REF!,#REF!,#REF!,#REF!,#REF!,#REF!,#REF!,#REF!,#REF!,#REF!,#REF!,#REF!,#REF!,#REF!,#REF!</definedName>
    <definedName name="__APW_RESTORE_DATA42__" hidden="1">#REF!,#REF!,#REF!,#REF!,#REF!,#REF!,#REF!,#REF!,#REF!,#REF!,#REF!,#REF!,#REF!,#REF!,#REF!</definedName>
    <definedName name="__APW_RESTORE_DATA420__" hidden="1">#REF!,#REF!,#REF!,#REF!,#REF!,#REF!,#REF!,#REF!,#REF!,#REF!,#REF!</definedName>
    <definedName name="__APW_RESTORE_DATA421__" hidden="1">#REF!,#REF!,#REF!,#REF!,#REF!,#REF!,#REF!,#REF!,#REF!,#REF!,#REF!,#REF!,#REF!,#REF!,#REF!,#REF!</definedName>
    <definedName name="__APW_RESTORE_DATA422__" hidden="1">#REF!,#REF!,#REF!,#REF!,#REF!,#REF!,#REF!,#REF!,#REF!,#REF!,#REF!,#REF!,#REF!,#REF!,#REF!</definedName>
    <definedName name="__APW_RESTORE_DATA423__" hidden="1">#REF!,#REF!,#REF!,#REF!,#REF!,#REF!,#REF!,#REF!,#REF!,#REF!,#REF!,#REF!,#REF!,#REF!,#REF!</definedName>
    <definedName name="__APW_RESTORE_DATA424__" hidden="1">#REF!,#REF!,#REF!,#REF!,#REF!,#REF!,#REF!,#REF!,#REF!,#REF!,#REF!,#REF!,#REF!,#REF!,#REF!</definedName>
    <definedName name="__APW_RESTORE_DATA425__" hidden="1">#REF!,#REF!,#REF!,#REF!,#REF!,#REF!,#REF!,#REF!,#REF!,#REF!,#REF!,#REF!,#REF!,#REF!,#REF!</definedName>
    <definedName name="__APW_RESTORE_DATA426__" hidden="1">#REF!,#REF!,#REF!,#REF!,#REF!,#REF!,#REF!,#REF!,#REF!,#REF!,#REF!,#REF!,#REF!,#REF!,#REF!</definedName>
    <definedName name="__APW_RESTORE_DATA427__" hidden="1">#REF!,#REF!,#REF!,#REF!,#REF!,#REF!,#REF!,#REF!,#REF!,#REF!,#REF!,#REF!,#REF!,#REF!,#REF!</definedName>
    <definedName name="__APW_RESTORE_DATA428__" hidden="1">#REF!,#REF!,#REF!,#REF!,#REF!,#REF!,#REF!,#REF!,#REF!,#REF!,#REF!,#REF!,#REF!,#REF!</definedName>
    <definedName name="__APW_RESTORE_DATA429__" hidden="1">#REF!,#REF!,#REF!,#REF!,#REF!,#REF!,#REF!,#REF!,#REF!,#REF!,#REF!,#REF!,#REF!,#REF!</definedName>
    <definedName name="__APW_RESTORE_DATA43__" hidden="1">#REF!,#REF!,#REF!,#REF!,#REF!,#REF!,#REF!,#REF!,#REF!,#REF!,#REF!,#REF!,#REF!,#REF!,#REF!</definedName>
    <definedName name="__APW_RESTORE_DATA430__" hidden="1">#REF!,#REF!,#REF!,#REF!,#REF!,#REF!,#REF!,#REF!,#REF!,#REF!,#REF!,#REF!,#REF!,#REF!</definedName>
    <definedName name="__APW_RESTORE_DATA431__" hidden="1">#REF!,#REF!,#REF!,#REF!,#REF!,#REF!,#REF!,#REF!,#REF!,#REF!,#REF!,#REF!,#REF!,#REF!</definedName>
    <definedName name="__APW_RESTORE_DATA432__" hidden="1">#REF!,#REF!,#REF!,#REF!,#REF!,#REF!,#REF!,#REF!,#REF!,#REF!,#REF!,#REF!,#REF!,#REF!</definedName>
    <definedName name="__APW_RESTORE_DATA433__" hidden="1">#REF!,#REF!,#REF!,#REF!,#REF!,#REF!,#REF!</definedName>
    <definedName name="__APW_RESTORE_DATA44__" hidden="1">#REF!,#REF!,#REF!,#REF!,#REF!,#REF!,#REF!,#REF!,#REF!,#REF!,#REF!,#REF!,#REF!,#REF!,#REF!</definedName>
    <definedName name="__APW_RESTORE_DATA45__" hidden="1">#REF!,#REF!,#REF!,#REF!,#REF!,#REF!,#REF!,#REF!,#REF!,#REF!,#REF!,#REF!,#REF!,#REF!,#REF!</definedName>
    <definedName name="__APW_RESTORE_DATA46__" hidden="1">#REF!,#REF!,#REF!,#REF!,#REF!,#REF!,#REF!,#REF!,#REF!,#REF!,#REF!,#REF!,#REF!,#REF!,#REF!</definedName>
    <definedName name="__APW_RESTORE_DATA47__" hidden="1">#REF!,#REF!,#REF!,#REF!,#REF!,#REF!</definedName>
    <definedName name="__APW_RESTORE_DATA48__" hidden="1">#REF!,#REF!,#REF!,#REF!,#REF!,#REF!,#REF!,#REF!,#REF!,#REF!,#REF!,#REF!,#REF!,#REF!,#REF!,#REF!,#REF!</definedName>
    <definedName name="__APW_RESTORE_DATA49__" hidden="1">#REF!,#REF!,#REF!,#REF!,#REF!,#REF!,#REF!,#REF!,#REF!,#REF!,#REF!,#REF!,#REF!,#REF!,#REF!,#REF!</definedName>
    <definedName name="__APW_RESTORE_DATA5__" hidden="1">#REF!,#REF!,#REF!,#REF!,#REF!,#REF!,#REF!,#REF!,#REF!,#REF!,#REF!,#REF!,#REF!,#REF!,#REF!,#REF!</definedName>
    <definedName name="__APW_RESTORE_DATA50__" hidden="1">#REF!,#REF!,#REF!,#REF!,#REF!,#REF!,#REF!,#REF!,#REF!,#REF!,#REF!,#REF!,#REF!,#REF!,#REF!,#REF!</definedName>
    <definedName name="__APW_RESTORE_DATA51__" hidden="1">#REF!,#REF!,#REF!,#REF!,#REF!,#REF!,#REF!,#REF!,#REF!,#REF!,#REF!,#REF!,#REF!,#REF!,#REF!,#REF!</definedName>
    <definedName name="__APW_RESTORE_DATA52__" hidden="1">#REF!,#REF!,#REF!,#REF!,#REF!,#REF!,#REF!,#REF!,#REF!,#REF!,#REF!,#REF!,#REF!,#REF!,#REF!,#REF!</definedName>
    <definedName name="__APW_RESTORE_DATA53__" hidden="1">#REF!,#REF!,#REF!,#REF!,#REF!,#REF!,#REF!,#REF!,#REF!,#REF!,#REF!,#REF!,#REF!,#REF!,#REF!,#REF!</definedName>
    <definedName name="__APW_RESTORE_DATA54__" hidden="1">#REF!,#REF!,#REF!,#REF!,#REF!,#REF!,#REF!,#REF!,#REF!,#REF!,#REF!,#REF!,#REF!,#REF!,#REF!</definedName>
    <definedName name="__APW_RESTORE_DATA55__" hidden="1">#REF!,#REF!,#REF!,#REF!,#REF!,#REF!,#REF!,#REF!,#REF!,#REF!,#REF!,#REF!,#REF!,#REF!,#REF!</definedName>
    <definedName name="__APW_RESTORE_DATA56__" hidden="1">#REF!,#REF!,#REF!,#REF!,#REF!,#REF!,#REF!,#REF!,#REF!,#REF!,#REF!,#REF!,#REF!,#REF!,#REF!</definedName>
    <definedName name="__APW_RESTORE_DATA57__" hidden="1">#REF!,#REF!,#REF!,#REF!,#REF!,#REF!,#REF!,#REF!,#REF!,#REF!,#REF!,#REF!,#REF!,#REF!,#REF!</definedName>
    <definedName name="__APW_RESTORE_DATA58__" hidden="1">#REF!,#REF!,#REF!,#REF!,#REF!,#REF!,#REF!,#REF!,#REF!,#REF!,#REF!,#REF!,#REF!,#REF!,#REF!</definedName>
    <definedName name="__APW_RESTORE_DATA59__" hidden="1">#REF!,#REF!,#REF!,#REF!,#REF!,#REF!</definedName>
    <definedName name="__APW_RESTORE_DATA596__" hidden="1">#REF!,#REF!,#REF!,#REF!,#REF!,#REF!,#REF!,#REF!,#REF!,#REF!,#REF!,#REF!,#REF!,#REF!,#REF!,#REF!,#REF!</definedName>
    <definedName name="__APW_RESTORE_DATA597__" hidden="1">#REF!,#REF!,#REF!,#REF!,#REF!,#REF!,#REF!,#REF!,#REF!,#REF!,#REF!,#REF!,#REF!,#REF!,#REF!,#REF!</definedName>
    <definedName name="__APW_RESTORE_DATA598__" hidden="1">#REF!,#REF!,#REF!,#REF!,#REF!,#REF!,#REF!,#REF!,#REF!,#REF!,#REF!,#REF!,#REF!,#REF!,#REF!,#REF!</definedName>
    <definedName name="__APW_RESTORE_DATA599__" hidden="1">#REF!,#REF!,#REF!,#REF!,#REF!,#REF!,#REF!,#REF!,#REF!,#REF!,#REF!,#REF!,#REF!,#REF!,#REF!,#REF!</definedName>
    <definedName name="__APW_RESTORE_DATA6__" hidden="1">#REF!,#REF!,#REF!,#REF!,#REF!,#REF!,#REF!,#REF!,#REF!,#REF!,#REF!,#REF!,#REF!,#REF!,#REF!</definedName>
    <definedName name="__APW_RESTORE_DATA60__" hidden="1">#REF!,#REF!,#REF!,#REF!,#REF!,#REF!,#REF!,#REF!,#REF!,#REF!,#REF!,#REF!,#REF!,#REF!,#REF!,#REF!,#REF!</definedName>
    <definedName name="__APW_RESTORE_DATA600__" hidden="1">#REF!,#REF!,#REF!,#REF!,#REF!,#REF!,#REF!,#REF!,#REF!,#REF!,#REF!,#REF!,#REF!,#REF!,#REF!,#REF!</definedName>
    <definedName name="__APW_RESTORE_DATA601__" hidden="1">#REF!,#REF!,#REF!,#REF!,#REF!,#REF!,#REF!,#REF!,#REF!,#REF!,#REF!,#REF!,#REF!,#REF!,#REF!,#REF!</definedName>
    <definedName name="__APW_RESTORE_DATA602__" hidden="1">#REF!,#REF!,#REF!,#REF!,#REF!,#REF!,#REF!,#REF!,#REF!,#REF!,#REF!,#REF!,#REF!,#REF!,#REF!</definedName>
    <definedName name="__APW_RESTORE_DATA603__" hidden="1">#REF!,#REF!,#REF!,#REF!,#REF!,#REF!,#REF!,#REF!,#REF!,#REF!,#REF!,#REF!,#REF!,#REF!,#REF!</definedName>
    <definedName name="__APW_RESTORE_DATA604__" hidden="1">#REF!,#REF!,#REF!,#REF!,#REF!,#REF!,#REF!,#REF!,#REF!,#REF!,#REF!,#REF!,#REF!,#REF!,#REF!</definedName>
    <definedName name="__APW_RESTORE_DATA605__" hidden="1">#REF!,#REF!,#REF!,#REF!,#REF!,#REF!,#REF!,#REF!,#REF!,#REF!,#REF!,#REF!,#REF!,#REF!,#REF!</definedName>
    <definedName name="__APW_RESTORE_DATA606__" hidden="1">#REF!,#REF!,#REF!,#REF!,#REF!,#REF!,#REF!,#REF!,#REF!,#REF!,#REF!,#REF!,#REF!,#REF!,#REF!</definedName>
    <definedName name="__APW_RESTORE_DATA607__" hidden="1">#REF!,#REF!,#REF!,#REF!,#REF!,#REF!,#REF!,#REF!,#REF!,#REF!,#REF!,#REF!,#REF!,#REF!,#REF!</definedName>
    <definedName name="__APW_RESTORE_DATA608__" hidden="1">#REF!,#REF!,#REF!,#REF!,#REF!,#REF!,#REF!,#REF!,#REF!,#REF!,#REF!,#REF!,#REF!,#REF!,#REF!</definedName>
    <definedName name="__APW_RESTORE_DATA609__" hidden="1">#REF!,#REF!,#REF!,#REF!,#REF!,#REF!,#REF!,#REF!,#REF!,#REF!,#REF!,#REF!,#REF!,#REF!,#REF!</definedName>
    <definedName name="__APW_RESTORE_DATA61__" hidden="1">#REF!,#REF!,#REF!,#REF!,#REF!,#REF!,#REF!,#REF!,#REF!,#REF!,#REF!,#REF!,#REF!,#REF!,#REF!,#REF!</definedName>
    <definedName name="__APW_RESTORE_DATA610__" hidden="1">#REF!,#REF!,#REF!,#REF!,#REF!,#REF!,#REF!,#REF!,#REF!,#REF!,#REF!,#REF!,#REF!,#REF!,#REF!</definedName>
    <definedName name="__APW_RESTORE_DATA611__" hidden="1">#REF!,#REF!,#REF!,#REF!,#REF!,#REF!,#REF!,#REF!,#REF!,#REF!,#REF!,#REF!,#REF!,#REF!,#REF!</definedName>
    <definedName name="__APW_RESTORE_DATA612__" hidden="1">#REF!,#REF!,#REF!,#REF!,#REF!</definedName>
    <definedName name="__APW_RESTORE_DATA613__" hidden="1">#REF!,#REF!,#REF!,#REF!,#REF!,#REF!,#REF!,#REF!,#REF!,#REF!,#REF!,#REF!,#REF!,#REF!,#REF!,#REF!,#REF!</definedName>
    <definedName name="__APW_RESTORE_DATA614__" hidden="1">#REF!,#REF!,#REF!,#REF!,#REF!,#REF!,#REF!,#REF!,#REF!,#REF!,#REF!,#REF!,#REF!,#REF!,#REF!,#REF!</definedName>
    <definedName name="__APW_RESTORE_DATA615__" hidden="1">#REF!,#REF!,#REF!,#REF!,#REF!,#REF!,#REF!,#REF!,#REF!,#REF!,#REF!,#REF!,#REF!,#REF!,#REF!,#REF!</definedName>
    <definedName name="__APW_RESTORE_DATA616__" hidden="1">#REF!,#REF!,#REF!,#REF!,#REF!,#REF!,#REF!,#REF!,#REF!,#REF!,#REF!,#REF!,#REF!,#REF!,#REF!,#REF!</definedName>
    <definedName name="__APW_RESTORE_DATA617__" hidden="1">#REF!,#REF!,#REF!,#REF!,#REF!,#REF!,#REF!,#REF!,#REF!,#REF!,#REF!,#REF!,#REF!,#REF!,#REF!,#REF!</definedName>
    <definedName name="__APW_RESTORE_DATA618__" hidden="1">#REF!,#REF!,#REF!,#REF!,#REF!,#REF!,#REF!,#REF!,#REF!,#REF!,#REF!,#REF!,#REF!,#REF!,#REF!,#REF!</definedName>
    <definedName name="__APW_RESTORE_DATA619__" hidden="1">#REF!,#REF!,#REF!,#REF!,#REF!,#REF!,#REF!,#REF!,#REF!,#REF!,#REF!,#REF!,#REF!,#REF!,#REF!</definedName>
    <definedName name="__APW_RESTORE_DATA62__" hidden="1">#REF!,#REF!,#REF!,#REF!,#REF!,#REF!,#REF!,#REF!,#REF!,#REF!,#REF!,#REF!,#REF!,#REF!,#REF!,#REF!</definedName>
    <definedName name="__APW_RESTORE_DATA620__" hidden="1">#REF!,#REF!,#REF!,#REF!,#REF!,#REF!,#REF!,#REF!,#REF!,#REF!,#REF!,#REF!,#REF!,#REF!,#REF!</definedName>
    <definedName name="__APW_RESTORE_DATA621__" hidden="1">#REF!,#REF!,#REF!,#REF!,#REF!,#REF!,#REF!,#REF!,#REF!,#REF!,#REF!,#REF!,#REF!,#REF!,#REF!</definedName>
    <definedName name="__APW_RESTORE_DATA622__" hidden="1">#REF!,#REF!,#REF!,#REF!,#REF!,#REF!,#REF!,#REF!,#REF!,#REF!,#REF!,#REF!,#REF!,#REF!,#REF!</definedName>
    <definedName name="__APW_RESTORE_DATA623__" hidden="1">#REF!,#REF!,#REF!,#REF!,#REF!,#REF!,#REF!,#REF!,#REF!,#REF!,#REF!,#REF!,#REF!,#REF!,#REF!</definedName>
    <definedName name="__APW_RESTORE_DATA624__" hidden="1">#REF!,#REF!,#REF!,#REF!,#REF!,#REF!,#REF!,#REF!,#REF!,#REF!,#REF!,#REF!,#REF!,#REF!,#REF!</definedName>
    <definedName name="__APW_RESTORE_DATA625__" hidden="1">#REF!,#REF!,#REF!,#REF!,#REF!,#REF!,#REF!,#REF!,#REF!,#REF!,#REF!,#REF!,#REF!,#REF!,#REF!</definedName>
    <definedName name="__APW_RESTORE_DATA626__" hidden="1">#REF!,#REF!,#REF!,#REF!,#REF!,#REF!,#REF!,#REF!,#REF!,#REF!,#REF!,#REF!,#REF!,#REF!,#REF!</definedName>
    <definedName name="__APW_RESTORE_DATA627__" hidden="1">#REF!,#REF!,#REF!,#REF!,#REF!,#REF!,#REF!,#REF!,#REF!,#REF!,#REF!,#REF!,#REF!,#REF!,#REF!</definedName>
    <definedName name="__APW_RESTORE_DATA628__" hidden="1">#REF!,#REF!,#REF!,#REF!,#REF!,#REF!,#REF!,#REF!,#REF!,#REF!,#REF!,#REF!,#REF!,#REF!,#REF!</definedName>
    <definedName name="__APW_RESTORE_DATA629__" hidden="1">#REF!,#REF!,#REF!,#REF!,#REF!</definedName>
    <definedName name="__APW_RESTORE_DATA63__" hidden="1">#REF!,#REF!,#REF!,#REF!,#REF!,#REF!,#REF!,#REF!,#REF!,#REF!,#REF!,#REF!,#REF!,#REF!,#REF!,#REF!</definedName>
    <definedName name="__APW_RESTORE_DATA630__" hidden="1">#REF!,#REF!,#REF!,#REF!,#REF!,#REF!,#REF!,#REF!,#REF!,#REF!,#REF!,#REF!,#REF!,#REF!,#REF!,#REF!,#REF!</definedName>
    <definedName name="__APW_RESTORE_DATA631__" hidden="1">#REF!,#REF!,#REF!,#REF!,#REF!,#REF!,#REF!,#REF!,#REF!,#REF!,#REF!,#REF!,#REF!,#REF!,#REF!,#REF!</definedName>
    <definedName name="__APW_RESTORE_DATA632__" hidden="1">#REF!,#REF!,#REF!,#REF!,#REF!,#REF!,#REF!,#REF!,#REF!,#REF!,#REF!,#REF!,#REF!,#REF!,#REF!,#REF!</definedName>
    <definedName name="__APW_RESTORE_DATA633__" hidden="1">#REF!,#REF!,#REF!,#REF!,#REF!,#REF!,#REF!,#REF!,#REF!,#REF!,#REF!,#REF!,#REF!,#REF!,#REF!,#REF!</definedName>
    <definedName name="__APW_RESTORE_DATA634__" hidden="1">#REF!,#REF!,#REF!,#REF!,#REF!,#REF!,#REF!,#REF!,#REF!,#REF!,#REF!,#REF!,#REF!,#REF!,#REF!,#REF!</definedName>
    <definedName name="__APW_RESTORE_DATA635__" hidden="1">#REF!,#REF!,#REF!,#REF!,#REF!,#REF!,#REF!,#REF!,#REF!,#REF!,#REF!,#REF!,#REF!,#REF!,#REF!,#REF!</definedName>
    <definedName name="__APW_RESTORE_DATA636__" hidden="1">#REF!,#REF!,#REF!,#REF!,#REF!,#REF!,#REF!,#REF!,#REF!,#REF!,#REF!,#REF!,#REF!,#REF!,#REF!</definedName>
    <definedName name="__APW_RESTORE_DATA637__" hidden="1">#REF!,#REF!,#REF!,#REF!,#REF!,#REF!,#REF!,#REF!,#REF!,#REF!,#REF!,#REF!,#REF!,#REF!,#REF!</definedName>
    <definedName name="__APW_RESTORE_DATA638__" hidden="1">#REF!,#REF!,#REF!,#REF!,#REF!,#REF!,#REF!,#REF!,#REF!,#REF!,#REF!,#REF!,#REF!,#REF!,#REF!</definedName>
    <definedName name="__APW_RESTORE_DATA639__" hidden="1">#REF!,#REF!,#REF!,#REF!,#REF!,#REF!,#REF!,#REF!,#REF!,#REF!,#REF!,#REF!,#REF!,#REF!,#REF!</definedName>
    <definedName name="__APW_RESTORE_DATA64__" hidden="1">#REF!,#REF!,#REF!,#REF!,#REF!,#REF!,#REF!,#REF!,#REF!,#REF!,#REF!,#REF!,#REF!,#REF!,#REF!,#REF!</definedName>
    <definedName name="__APW_RESTORE_DATA640__" hidden="1">#REF!,#REF!,#REF!,#REF!,#REF!,#REF!,#REF!,#REF!,#REF!,#REF!,#REF!,#REF!,#REF!,#REF!,#REF!</definedName>
    <definedName name="__APW_RESTORE_DATA641__" hidden="1">#REF!,#REF!,#REF!,#REF!,#REF!,#REF!,#REF!,#REF!,#REF!,#REF!,#REF!,#REF!,#REF!,#REF!,#REF!</definedName>
    <definedName name="__APW_RESTORE_DATA642__" hidden="1">#REF!,#REF!,#REF!,#REF!,#REF!,#REF!,#REF!,#REF!,#REF!,#REF!,#REF!,#REF!,#REF!,#REF!,#REF!</definedName>
    <definedName name="__APW_RESTORE_DATA643__" hidden="1">#REF!,#REF!,#REF!,#REF!,#REF!,#REF!,#REF!,#REF!,#REF!,#REF!,#REF!,#REF!,#REF!,#REF!,#REF!</definedName>
    <definedName name="__APW_RESTORE_DATA644__" hidden="1">#REF!,#REF!,#REF!,#REF!,#REF!,#REF!,#REF!,#REF!,#REF!,#REF!,#REF!,#REF!,#REF!,#REF!,#REF!</definedName>
    <definedName name="__APW_RESTORE_DATA645__" hidden="1">#REF!,#REF!,#REF!,#REF!,#REF!,#REF!,#REF!,#REF!,#REF!,#REF!,#REF!,#REF!,#REF!,#REF!,#REF!</definedName>
    <definedName name="__APW_RESTORE_DATA646__" hidden="1">#REF!,#REF!,#REF!,#REF!,#REF!</definedName>
    <definedName name="__APW_RESTORE_DATA647__" hidden="1">#REF!,#REF!,#REF!,#REF!,#REF!,#REF!,#REF!,#REF!,#REF!,#REF!,#REF!,#REF!,#REF!,#REF!,#REF!,#REF!,#REF!</definedName>
    <definedName name="__APW_RESTORE_DATA648__" hidden="1">#REF!,#REF!,#REF!,#REF!,#REF!,#REF!,#REF!,#REF!,#REF!,#REF!,#REF!,#REF!,#REF!,#REF!,#REF!,#REF!</definedName>
    <definedName name="__APW_RESTORE_DATA649__" hidden="1">#REF!,#REF!,#REF!,#REF!,#REF!,#REF!,#REF!,#REF!,#REF!,#REF!,#REF!,#REF!,#REF!,#REF!,#REF!,#REF!</definedName>
    <definedName name="__APW_RESTORE_DATA65__" hidden="1">#REF!,#REF!,#REF!,#REF!,#REF!,#REF!,#REF!,#REF!,#REF!,#REF!,#REF!,#REF!,#REF!,#REF!,#REF!,#REF!</definedName>
    <definedName name="__APW_RESTORE_DATA650__" hidden="1">#REF!,#REF!,#REF!,#REF!,#REF!,#REF!,#REF!,#REF!,#REF!,#REF!,#REF!,#REF!,#REF!,#REF!,#REF!,#REF!</definedName>
    <definedName name="__APW_RESTORE_DATA651__" hidden="1">#REF!,#REF!,#REF!,#REF!,#REF!,#REF!,#REF!,#REF!,#REF!,#REF!,#REF!,#REF!,#REF!,#REF!,#REF!,#REF!</definedName>
    <definedName name="__APW_RESTORE_DATA652__" hidden="1">#REF!,#REF!,#REF!,#REF!,#REF!,#REF!,#REF!,#REF!,#REF!,#REF!,#REF!,#REF!,#REF!,#REF!,#REF!,#REF!</definedName>
    <definedName name="__APW_RESTORE_DATA653__" hidden="1">#REF!,#REF!,#REF!,#REF!,#REF!,#REF!,#REF!,#REF!,#REF!,#REF!,#REF!,#REF!,#REF!,#REF!,#REF!</definedName>
    <definedName name="__APW_RESTORE_DATA654__" hidden="1">#REF!,#REF!,#REF!,#REF!,#REF!,#REF!,#REF!,#REF!,#REF!,#REF!,#REF!,#REF!,#REF!,#REF!,#REF!</definedName>
    <definedName name="__APW_RESTORE_DATA655__" hidden="1">#REF!,#REF!,#REF!,#REF!,#REF!,#REF!,#REF!,#REF!,#REF!,#REF!,#REF!,#REF!,#REF!,#REF!,#REF!</definedName>
    <definedName name="__APW_RESTORE_DATA656__" hidden="1">#REF!,#REF!,#REF!,#REF!,#REF!,#REF!,#REF!,#REF!,#REF!,#REF!,#REF!,#REF!,#REF!,#REF!,#REF!</definedName>
    <definedName name="__APW_RESTORE_DATA657__" hidden="1">#REF!,#REF!,#REF!,#REF!,#REF!,#REF!,#REF!,#REF!,#REF!,#REF!,#REF!,#REF!,#REF!,#REF!,#REF!</definedName>
    <definedName name="__APW_RESTORE_DATA658__" hidden="1">#REF!,#REF!,#REF!,#REF!,#REF!,#REF!,#REF!,#REF!,#REF!,#REF!,#REF!,#REF!,#REF!,#REF!,#REF!</definedName>
    <definedName name="__APW_RESTORE_DATA659__" hidden="1">#REF!,#REF!,#REF!,#REF!,#REF!,#REF!,#REF!,#REF!,#REF!,#REF!,#REF!,#REF!,#REF!,#REF!,#REF!</definedName>
    <definedName name="__APW_RESTORE_DATA66__" hidden="1">#REF!,#REF!,#REF!,#REF!,#REF!,#REF!,#REF!,#REF!,#REF!,#REF!,#REF!,#REF!,#REF!,#REF!,#REF!</definedName>
    <definedName name="__APW_RESTORE_DATA660__" hidden="1">#REF!,#REF!,#REF!,#REF!,#REF!,#REF!,#REF!,#REF!,#REF!,#REF!,#REF!,#REF!,#REF!,#REF!,#REF!</definedName>
    <definedName name="__APW_RESTORE_DATA661__" hidden="1">#REF!,#REF!,#REF!,#REF!,#REF!,#REF!,#REF!,#REF!,#REF!,#REF!,#REF!,#REF!,#REF!,#REF!,#REF!</definedName>
    <definedName name="__APW_RESTORE_DATA662__" hidden="1">#REF!,#REF!,#REF!,#REF!,#REF!,#REF!,#REF!,#REF!,#REF!,#REF!,#REF!,#REF!,#REF!,#REF!,#REF!</definedName>
    <definedName name="__APW_RESTORE_DATA663__" hidden="1">#REF!,#REF!,#REF!,#REF!,#REF!</definedName>
    <definedName name="__APW_RESTORE_DATA664__" hidden="1">#REF!,#REF!,#REF!,#REF!,#REF!,#REF!,#REF!,#REF!,#REF!,#REF!,#REF!,#REF!,#REF!,#REF!,#REF!,#REF!,#REF!</definedName>
    <definedName name="__APW_RESTORE_DATA665__" hidden="1">#REF!,#REF!,#REF!,#REF!,#REF!,#REF!,#REF!,#REF!,#REF!,#REF!,#REF!,#REF!,#REF!,#REF!,#REF!,#REF!</definedName>
    <definedName name="__APW_RESTORE_DATA666__" hidden="1">#REF!,#REF!,#REF!,#REF!,#REF!,#REF!,#REF!,#REF!,#REF!,#REF!,#REF!,#REF!,#REF!,#REF!,#REF!,#REF!</definedName>
    <definedName name="__APW_RESTORE_DATA667__" hidden="1">#REF!,#REF!,#REF!,#REF!,#REF!,#REF!,#REF!,#REF!,#REF!,#REF!,#REF!,#REF!,#REF!,#REF!,#REF!,#REF!</definedName>
    <definedName name="__APW_RESTORE_DATA668__" hidden="1">#REF!,#REF!,#REF!,#REF!,#REF!,#REF!,#REF!,#REF!,#REF!,#REF!,#REF!,#REF!,#REF!,#REF!,#REF!,#REF!</definedName>
    <definedName name="__APW_RESTORE_DATA669__" hidden="1">#REF!,#REF!,#REF!,#REF!,#REF!,#REF!,#REF!,#REF!,#REF!,#REF!,#REF!,#REF!,#REF!,#REF!,#REF!,#REF!</definedName>
    <definedName name="__APW_RESTORE_DATA67__" hidden="1">#REF!,#REF!,#REF!,#REF!,#REF!,#REF!,#REF!,#REF!,#REF!,#REF!,#REF!,#REF!,#REF!,#REF!,#REF!</definedName>
    <definedName name="__APW_RESTORE_DATA670__" hidden="1">#REF!,#REF!,#REF!,#REF!,#REF!,#REF!,#REF!,#REF!,#REF!,#REF!,#REF!,#REF!,#REF!,#REF!,#REF!</definedName>
    <definedName name="__APW_RESTORE_DATA671__" hidden="1">#REF!,#REF!,#REF!,#REF!,#REF!,#REF!,#REF!,#REF!,#REF!,#REF!,#REF!,#REF!,#REF!,#REF!,#REF!</definedName>
    <definedName name="__APW_RESTORE_DATA672__" hidden="1">#REF!,#REF!,#REF!,#REF!,#REF!,#REF!,#REF!,#REF!,#REF!,#REF!,#REF!,#REF!,#REF!,#REF!,#REF!</definedName>
    <definedName name="__APW_RESTORE_DATA673__" hidden="1">#REF!,#REF!,#REF!,#REF!,#REF!,#REF!,#REF!,#REF!,#REF!,#REF!,#REF!,#REF!,#REF!,#REF!,#REF!</definedName>
    <definedName name="__APW_RESTORE_DATA674__" hidden="1">#REF!,#REF!,#REF!,#REF!,#REF!,#REF!,#REF!,#REF!,#REF!,#REF!,#REF!,#REF!,#REF!,#REF!,#REF!</definedName>
    <definedName name="__APW_RESTORE_DATA675__" hidden="1">#REF!,#REF!,#REF!,#REF!,#REF!,#REF!,#REF!,#REF!,#REF!,#REF!,#REF!,#REF!,#REF!,#REF!,#REF!</definedName>
    <definedName name="__APW_RESTORE_DATA676__" hidden="1">#REF!,#REF!,#REF!,#REF!,#REF!,#REF!,#REF!,#REF!,#REF!,#REF!,#REF!,#REF!,#REF!,#REF!,#REF!</definedName>
    <definedName name="__APW_RESTORE_DATA677__" hidden="1">#REF!,#REF!,#REF!,#REF!,#REF!,#REF!,#REF!,#REF!,#REF!,#REF!,#REF!,#REF!,#REF!,#REF!,#REF!</definedName>
    <definedName name="__APW_RESTORE_DATA678__" hidden="1">#REF!,#REF!,#REF!,#REF!,#REF!,#REF!,#REF!,#REF!,#REF!,#REF!,#REF!,#REF!,#REF!,#REF!,#REF!</definedName>
    <definedName name="__APW_RESTORE_DATA679__" hidden="1">#REF!,#REF!,#REF!,#REF!,#REF!,#REF!,#REF!,#REF!,#REF!,#REF!,#REF!,#REF!,#REF!,#REF!,#REF!</definedName>
    <definedName name="__APW_RESTORE_DATA68__" hidden="1">#REF!,#REF!,#REF!,#REF!,#REF!,#REF!,#REF!,#REF!,#REF!,#REF!,#REF!,#REF!,#REF!,#REF!,#REF!</definedName>
    <definedName name="__APW_RESTORE_DATA680__" hidden="1">#REF!,#REF!,#REF!,#REF!,#REF!</definedName>
    <definedName name="__APW_RESTORE_DATA681__" hidden="1">#REF!,#REF!,#REF!,#REF!,#REF!,#REF!,#REF!,#REF!,#REF!,#REF!,#REF!,#REF!,#REF!,#REF!,#REF!,#REF!,#REF!</definedName>
    <definedName name="__APW_RESTORE_DATA682__" hidden="1">#REF!,#REF!,#REF!,#REF!,#REF!,#REF!,#REF!,#REF!,#REF!,#REF!,#REF!,#REF!,#REF!,#REF!,#REF!,#REF!</definedName>
    <definedName name="__APW_RESTORE_DATA683__" hidden="1">#REF!,#REF!,#REF!,#REF!,#REF!,#REF!,#REF!,#REF!,#REF!,#REF!,#REF!,#REF!,#REF!,#REF!,#REF!,#REF!</definedName>
    <definedName name="__APW_RESTORE_DATA684__" hidden="1">#REF!,#REF!,#REF!,#REF!,#REF!,#REF!,#REF!,#REF!,#REF!,#REF!,#REF!,#REF!,#REF!,#REF!,#REF!,#REF!</definedName>
    <definedName name="__APW_RESTORE_DATA685__" hidden="1">#REF!,#REF!,#REF!,#REF!,#REF!,#REF!,#REF!,#REF!,#REF!,#REF!,#REF!,#REF!,#REF!,#REF!,#REF!,#REF!</definedName>
    <definedName name="__APW_RESTORE_DATA686__" hidden="1">#REF!,#REF!,#REF!,#REF!,#REF!,#REF!,#REF!,#REF!,#REF!,#REF!,#REF!,#REF!,#REF!,#REF!,#REF!,#REF!</definedName>
    <definedName name="__APW_RESTORE_DATA687__" hidden="1">#REF!,#REF!,#REF!,#REF!,#REF!,#REF!,#REF!,#REF!,#REF!,#REF!,#REF!,#REF!,#REF!,#REF!,#REF!</definedName>
    <definedName name="__APW_RESTORE_DATA688__" hidden="1">#REF!,#REF!,#REF!,#REF!,#REF!,#REF!,#REF!,#REF!,#REF!,#REF!,#REF!,#REF!,#REF!,#REF!,#REF!</definedName>
    <definedName name="__APW_RESTORE_DATA689__" hidden="1">#REF!,#REF!,#REF!,#REF!,#REF!,#REF!,#REF!,#REF!,#REF!,#REF!,#REF!,#REF!,#REF!,#REF!,#REF!</definedName>
    <definedName name="__APW_RESTORE_DATA69__" hidden="1">#REF!,#REF!,#REF!,#REF!,#REF!,#REF!,#REF!,#REF!,#REF!,#REF!,#REF!,#REF!,#REF!,#REF!,#REF!</definedName>
    <definedName name="__APW_RESTORE_DATA690__" hidden="1">#REF!,#REF!,#REF!,#REF!,#REF!,#REF!,#REF!,#REF!,#REF!,#REF!,#REF!,#REF!,#REF!,#REF!,#REF!</definedName>
    <definedName name="__APW_RESTORE_DATA691__" hidden="1">#REF!,#REF!,#REF!,#REF!,#REF!,#REF!,#REF!,#REF!,#REF!,#REF!,#REF!,#REF!,#REF!,#REF!,#REF!</definedName>
    <definedName name="__APW_RESTORE_DATA692__" hidden="1">#REF!,#REF!,#REF!,#REF!,#REF!,#REF!,#REF!,#REF!,#REF!,#REF!,#REF!,#REF!,#REF!,#REF!,#REF!</definedName>
    <definedName name="__APW_RESTORE_DATA693__" hidden="1">#REF!,#REF!,#REF!,#REF!,#REF!,#REF!,#REF!,#REF!,#REF!,#REF!,#REF!,#REF!,#REF!,#REF!,#REF!</definedName>
    <definedName name="__APW_RESTORE_DATA694__" hidden="1">#REF!,#REF!,#REF!,#REF!,#REF!,#REF!,#REF!,#REF!,#REF!,#REF!,#REF!,#REF!,#REF!,#REF!,#REF!</definedName>
    <definedName name="__APW_RESTORE_DATA695__" hidden="1">#REF!,#REF!,#REF!,#REF!,#REF!,#REF!,#REF!,#REF!,#REF!,#REF!,#REF!,#REF!,#REF!,#REF!,#REF!</definedName>
    <definedName name="__APW_RESTORE_DATA696__" hidden="1">#REF!,#REF!,#REF!,#REF!,#REF!,#REF!,#REF!,#REF!,#REF!,#REF!,#REF!,#REF!,#REF!,#REF!,#REF!</definedName>
    <definedName name="__APW_RESTORE_DATA697__" hidden="1">#REF!,#REF!,#REF!,#REF!,#REF!</definedName>
    <definedName name="__APW_RESTORE_DATA698__" hidden="1">#REF!,#REF!,#REF!,#REF!,#REF!,#REF!,#REF!,#REF!,#REF!,#REF!,#REF!,#REF!,#REF!,#REF!,#REF!,#REF!,#REF!</definedName>
    <definedName name="__APW_RESTORE_DATA699__" hidden="1">#REF!,#REF!,#REF!,#REF!,#REF!,#REF!,#REF!,#REF!,#REF!,#REF!,#REF!,#REF!,#REF!,#REF!,#REF!,#REF!</definedName>
    <definedName name="__APW_RESTORE_DATA7__" hidden="1">#REF!,#REF!,#REF!,#REF!,#REF!,#REF!,#REF!,#REF!,#REF!,#REF!,#REF!,#REF!,#REF!,#REF!,#REF!</definedName>
    <definedName name="__APW_RESTORE_DATA70__" hidden="1">#REF!,#REF!,#REF!,#REF!,#REF!,#REF!,#REF!,#REF!,#REF!,#REF!,#REF!,#REF!,#REF!,#REF!,#REF!</definedName>
    <definedName name="__APW_RESTORE_DATA700__" hidden="1">#REF!,#REF!,#REF!,#REF!,#REF!,#REF!,#REF!,#REF!,#REF!,#REF!,#REF!,#REF!,#REF!,#REF!,#REF!,#REF!</definedName>
    <definedName name="__APW_RESTORE_DATA701__" hidden="1">#REF!,#REF!,#REF!,#REF!,#REF!,#REF!,#REF!,#REF!,#REF!,#REF!,#REF!,#REF!,#REF!,#REF!,#REF!,#REF!</definedName>
    <definedName name="__APW_RESTORE_DATA702__" hidden="1">#REF!,#REF!,#REF!,#REF!,#REF!,#REF!,#REF!,#REF!,#REF!,#REF!,#REF!,#REF!,#REF!,#REF!,#REF!,#REF!</definedName>
    <definedName name="__APW_RESTORE_DATA703__" hidden="1">#REF!,#REF!,#REF!,#REF!,#REF!,#REF!,#REF!,#REF!,#REF!,#REF!,#REF!,#REF!,#REF!,#REF!,#REF!,#REF!</definedName>
    <definedName name="__APW_RESTORE_DATA704__" hidden="1">#REF!,#REF!,#REF!,#REF!,#REF!,#REF!,#REF!,#REF!,#REF!,#REF!,#REF!,#REF!,#REF!,#REF!,#REF!</definedName>
    <definedName name="__APW_RESTORE_DATA705__" hidden="1">#REF!,#REF!,#REF!,#REF!,#REF!,#REF!,#REF!,#REF!,#REF!,#REF!,#REF!,#REF!,#REF!,#REF!,#REF!,#REF!,#REF!</definedName>
    <definedName name="__APW_RESTORE_DATA706__" hidden="1">#REF!,#REF!,#REF!,#REF!,#REF!,#REF!,#REF!,#REF!,#REF!,#REF!,#REF!,#REF!,#REF!,#REF!,#REF!,#REF!</definedName>
    <definedName name="__APW_RESTORE_DATA707__" hidden="1">#REF!,#REF!,#REF!,#REF!,#REF!,#REF!,#REF!,#REF!,#REF!,#REF!,#REF!,#REF!,#REF!,#REF!,#REF!,#REF!</definedName>
    <definedName name="__APW_RESTORE_DATA708__" hidden="1">#REF!,#REF!,#REF!,#REF!,#REF!,#REF!,#REF!,#REF!,#REF!,#REF!,#REF!,#REF!,#REF!,#REF!,#REF!,#REF!</definedName>
    <definedName name="__APW_RESTORE_DATA709__" hidden="1">#REF!,#REF!,#REF!,#REF!,#REF!,#REF!,#REF!,#REF!,#REF!,#REF!,#REF!,#REF!,#REF!,#REF!,#REF!,#REF!</definedName>
    <definedName name="__APW_RESTORE_DATA71__" hidden="1">#REF!,#REF!,#REF!,#REF!,#REF!,#REF!</definedName>
    <definedName name="__APW_RESTORE_DATA710__" hidden="1">#REF!,#REF!,#REF!,#REF!,#REF!,#REF!,#REF!,#REF!,#REF!,#REF!,#REF!,#REF!,#REF!,#REF!,#REF!,#REF!</definedName>
    <definedName name="__APW_RESTORE_DATA711__" hidden="1">#REF!,#REF!,#REF!,#REF!,#REF!,#REF!,#REF!,#REF!,#REF!,#REF!,#REF!,#REF!,#REF!,#REF!,#REF!</definedName>
    <definedName name="__APW_RESTORE_DATA712__" hidden="1">#REF!,#REF!,#REF!,#REF!,#REF!,#REF!,#REF!,#REF!,#REF!,#REF!,#REF!,#REF!,#REF!,#REF!,#REF!</definedName>
    <definedName name="__APW_RESTORE_DATA713__" hidden="1">#REF!,#REF!,#REF!,#REF!,#REF!,#REF!,#REF!,#REF!,#REF!,#REF!,#REF!,#REF!,#REF!,#REF!,#REF!</definedName>
    <definedName name="__APW_RESTORE_DATA714__" hidden="1">#REF!,#REF!,#REF!,#REF!,#REF!,#REF!,#REF!,#REF!,#REF!,#REF!,#REF!,#REF!,#REF!,#REF!,#REF!</definedName>
    <definedName name="__APW_RESTORE_DATA715__" hidden="1">#REF!,#REF!,#REF!,#REF!,#REF!,#REF!,#REF!,#REF!,#REF!,#REF!,#REF!,#REF!,#REF!,#REF!,#REF!</definedName>
    <definedName name="__APW_RESTORE_DATA716__" hidden="1">#REF!,#REF!,#REF!,#REF!,#REF!,#REF!,#REF!,#REF!,#REF!,#REF!,#REF!,#REF!,#REF!,#REF!,#REF!</definedName>
    <definedName name="__APW_RESTORE_DATA717__" hidden="1">#REF!,#REF!,#REF!,#REF!,#REF!,#REF!,#REF!,#REF!,#REF!,#REF!,#REF!,#REF!,#REF!,#REF!,#REF!</definedName>
    <definedName name="__APW_RESTORE_DATA718__" hidden="1">#REF!,#REF!,#REF!,#REF!,#REF!,#REF!,#REF!,#REF!,#REF!,#REF!,#REF!,#REF!,#REF!,#REF!,#REF!</definedName>
    <definedName name="__APW_RESTORE_DATA719__" hidden="1">#REF!,#REF!,#REF!,#REF!,#REF!,#REF!,#REF!,#REF!,#REF!</definedName>
    <definedName name="__APW_RESTORE_DATA72__" hidden="1">#REF!,#REF!,#REF!,#REF!,#REF!,#REF!,#REF!,#REF!,#REF!,#REF!,#REF!,#REF!,#REF!,#REF!,#REF!,#REF!,#REF!</definedName>
    <definedName name="__APW_RESTORE_DATA720__" hidden="1">#REF!,#REF!,#REF!,#REF!,#REF!,#REF!,#REF!,#REF!,#REF!,#REF!,#REF!,#REF!,#REF!,#REF!,#REF!,#REF!,#REF!</definedName>
    <definedName name="__APW_RESTORE_DATA721__" hidden="1">#REF!,#REF!,#REF!,#REF!,#REF!,#REF!,#REF!,#REF!,#REF!,#REF!,#REF!,#REF!,#REF!,#REF!,#REF!,#REF!</definedName>
    <definedName name="__APW_RESTORE_DATA722__" hidden="1">#REF!,#REF!,#REF!,#REF!,#REF!,#REF!,#REF!,#REF!,#REF!,#REF!,#REF!,#REF!,#REF!,#REF!,#REF!,#REF!</definedName>
    <definedName name="__APW_RESTORE_DATA723__" hidden="1">#REF!,#REF!,#REF!,#REF!,#REF!,#REF!,#REF!,#REF!,#REF!,#REF!,#REF!,#REF!,#REF!,#REF!,#REF!,#REF!</definedName>
    <definedName name="__APW_RESTORE_DATA724__" hidden="1">#REF!,#REF!,#REF!,#REF!,#REF!,#REF!,#REF!,#REF!,#REF!,#REF!,#REF!,#REF!,#REF!,#REF!,#REF!,#REF!</definedName>
    <definedName name="__APW_RESTORE_DATA725__" hidden="1">#REF!,#REF!,#REF!,#REF!,#REF!,#REF!,#REF!,#REF!,#REF!,#REF!,#REF!,#REF!,#REF!,#REF!,#REF!,#REF!</definedName>
    <definedName name="__APW_RESTORE_DATA726__" hidden="1">#REF!,#REF!,#REF!,#REF!,#REF!,#REF!,#REF!,#REF!,#REF!,#REF!,#REF!,#REF!,#REF!,#REF!,#REF!</definedName>
    <definedName name="__APW_RESTORE_DATA727__" hidden="1">#REF!,#REF!,#REF!,#REF!,#REF!,#REF!,#REF!,#REF!,#REF!,#REF!,#REF!,#REF!,#REF!,#REF!,#REF!</definedName>
    <definedName name="__APW_RESTORE_DATA728__" hidden="1">#REF!,#REF!,#REF!,#REF!,#REF!,#REF!,#REF!,#REF!,#REF!,#REF!,#REF!,#REF!,#REF!,#REF!,#REF!</definedName>
    <definedName name="__APW_RESTORE_DATA729__" hidden="1">#REF!,#REF!,#REF!,#REF!,#REF!,#REF!,#REF!,#REF!,#REF!,#REF!,#REF!,#REF!,#REF!,#REF!,#REF!</definedName>
    <definedName name="__APW_RESTORE_DATA73__" hidden="1">#REF!,#REF!,#REF!,#REF!,#REF!,#REF!,#REF!,#REF!,#REF!,#REF!,#REF!,#REF!,#REF!,#REF!,#REF!,#REF!</definedName>
    <definedName name="__APW_RESTORE_DATA730__" hidden="1">#REF!,#REF!,#REF!,#REF!,#REF!,#REF!,#REF!,#REF!,#REF!,#REF!,#REF!,#REF!,#REF!,#REF!,#REF!</definedName>
    <definedName name="__APW_RESTORE_DATA731__" hidden="1">#REF!,#REF!,#REF!,#REF!,#REF!,#REF!,#REF!,#REF!,#REF!,#REF!,#REF!,#REF!,#REF!,#REF!,#REF!</definedName>
    <definedName name="__APW_RESTORE_DATA732__" hidden="1">#REF!,#REF!,#REF!,#REF!,#REF!,#REF!,#REF!,#REF!,#REF!,#REF!,#REF!,#REF!,#REF!,#REF!,#REF!</definedName>
    <definedName name="__APW_RESTORE_DATA733__" hidden="1">#REF!,#REF!,#REF!,#REF!,#REF!,#REF!,#REF!,#REF!,#REF!,#REF!,#REF!,#REF!,#REF!,#REF!,#REF!</definedName>
    <definedName name="__APW_RESTORE_DATA734__" hidden="1">#REF!,#REF!,#REF!,#REF!,#REF!,#REF!,#REF!,#REF!,#REF!</definedName>
    <definedName name="__APW_RESTORE_DATA735__" hidden="1">#REF!,#REF!,#REF!,#REF!,#REF!,#REF!,#REF!,#REF!,#REF!,#REF!,#REF!,#REF!,#REF!,#REF!,#REF!,#REF!,#REF!</definedName>
    <definedName name="__APW_RESTORE_DATA736__" hidden="1">#REF!,#REF!,#REF!,#REF!,#REF!,#REF!,#REF!,#REF!,#REF!,#REF!,#REF!,#REF!,#REF!,#REF!,#REF!,#REF!</definedName>
    <definedName name="__APW_RESTORE_DATA737__" hidden="1">#REF!,#REF!,#REF!,#REF!,#REF!,#REF!,#REF!,#REF!,#REF!,#REF!,#REF!,#REF!,#REF!,#REF!,#REF!,#REF!</definedName>
    <definedName name="__APW_RESTORE_DATA738__" hidden="1">#REF!,#REF!,#REF!,#REF!,#REF!,#REF!,#REF!,#REF!,#REF!,#REF!,#REF!,#REF!,#REF!,#REF!,#REF!,#REF!</definedName>
    <definedName name="__APW_RESTORE_DATA739__" hidden="1">#REF!,#REF!,#REF!,#REF!,#REF!,#REF!,#REF!,#REF!,#REF!,#REF!,#REF!,#REF!,#REF!,#REF!,#REF!,#REF!</definedName>
    <definedName name="__APW_RESTORE_DATA74__" hidden="1">#REF!,#REF!,#REF!,#REF!,#REF!,#REF!,#REF!,#REF!,#REF!,#REF!,#REF!,#REF!,#REF!,#REF!,#REF!,#REF!</definedName>
    <definedName name="__APW_RESTORE_DATA740__" hidden="1">#REF!,#REF!,#REF!,#REF!,#REF!,#REF!,#REF!,#REF!,#REF!,#REF!,#REF!,#REF!,#REF!,#REF!,#REF!,#REF!</definedName>
    <definedName name="__APW_RESTORE_DATA741__" hidden="1">#REF!,#REF!,#REF!,#REF!,#REF!,#REF!,#REF!,#REF!,#REF!,#REF!,#REF!,#REF!,#REF!,#REF!,#REF!</definedName>
    <definedName name="__APW_RESTORE_DATA742__" hidden="1">#REF!,#REF!,#REF!,#REF!,#REF!,#REF!,#REF!,#REF!,#REF!,#REF!,#REF!,#REF!,#REF!,#REF!,#REF!</definedName>
    <definedName name="__APW_RESTORE_DATA743__" hidden="1">#REF!,#REF!,#REF!,#REF!,#REF!,#REF!,#REF!,#REF!,#REF!,#REF!,#REF!,#REF!,#REF!,#REF!,#REF!</definedName>
    <definedName name="__APW_RESTORE_DATA744__" hidden="1">#REF!,#REF!,#REF!,#REF!,#REF!,#REF!,#REF!,#REF!,#REF!,#REF!,#REF!,#REF!,#REF!,#REF!,#REF!</definedName>
    <definedName name="__APW_RESTORE_DATA745__" hidden="1">#REF!,#REF!,#REF!,#REF!,#REF!,#REF!,#REF!,#REF!,#REF!,#REF!,#REF!,#REF!,#REF!,#REF!,#REF!</definedName>
    <definedName name="__APW_RESTORE_DATA746__" hidden="1">#REF!,#REF!,#REF!,#REF!,#REF!,#REF!,#REF!,#REF!,#REF!,#REF!,#REF!,#REF!,#REF!,#REF!,#REF!</definedName>
    <definedName name="__APW_RESTORE_DATA747__" hidden="1">#REF!,#REF!,#REF!,#REF!,#REF!,#REF!,#REF!,#REF!,#REF!,#REF!,#REF!,#REF!,#REF!,#REF!,#REF!</definedName>
    <definedName name="__APW_RESTORE_DATA748__" hidden="1">#REF!,#REF!,#REF!,#REF!,#REF!,#REF!,#REF!,#REF!,#REF!,#REF!,#REF!,#REF!,#REF!,#REF!,#REF!</definedName>
    <definedName name="__APW_RESTORE_DATA749__" hidden="1">#REF!,#REF!,#REF!,#REF!,#REF!,#REF!,#REF!,#REF!,#REF!</definedName>
    <definedName name="__APW_RESTORE_DATA75__" hidden="1">#REF!,#REF!,#REF!,#REF!,#REF!,#REF!,#REF!,#REF!,#REF!,#REF!,#REF!,#REF!,#REF!,#REF!,#REF!,#REF!</definedName>
    <definedName name="__APW_RESTORE_DATA750__" hidden="1">#REF!,#REF!,#REF!,#REF!,#REF!,#REF!,#REF!,#REF!,#REF!,#REF!,#REF!,#REF!,#REF!,#REF!,#REF!,#REF!,#REF!</definedName>
    <definedName name="__APW_RESTORE_DATA751__" hidden="1">#REF!,#REF!,#REF!,#REF!,#REF!,#REF!,#REF!,#REF!,#REF!,#REF!,#REF!,#REF!,#REF!,#REF!,#REF!,#REF!</definedName>
    <definedName name="__APW_RESTORE_DATA752__" hidden="1">#REF!,#REF!,#REF!,#REF!,#REF!,#REF!,#REF!,#REF!,#REF!,#REF!,#REF!,#REF!,#REF!,#REF!,#REF!,#REF!</definedName>
    <definedName name="__APW_RESTORE_DATA753__" hidden="1">#REF!,#REF!,#REF!,#REF!,#REF!,#REF!,#REF!,#REF!,#REF!,#REF!,#REF!,#REF!,#REF!,#REF!,#REF!,#REF!</definedName>
    <definedName name="__APW_RESTORE_DATA754__" hidden="1">#REF!,#REF!,#REF!,#REF!,#REF!,#REF!,#REF!,#REF!,#REF!,#REF!,#REF!,#REF!,#REF!,#REF!,#REF!,#REF!</definedName>
    <definedName name="__APW_RESTORE_DATA755__" hidden="1">#REF!,#REF!,#REF!,#REF!,#REF!,#REF!,#REF!,#REF!,#REF!,#REF!,#REF!,#REF!,#REF!,#REF!,#REF!,#REF!</definedName>
    <definedName name="__APW_RESTORE_DATA756__" hidden="1">#REF!,#REF!,#REF!,#REF!,#REF!,#REF!,#REF!,#REF!,#REF!,#REF!,#REF!,#REF!,#REF!,#REF!,#REF!</definedName>
    <definedName name="__APW_RESTORE_DATA757__" hidden="1">#REF!,#REF!,#REF!,#REF!,#REF!,#REF!,#REF!,#REF!,#REF!,#REF!,#REF!,#REF!,#REF!,#REF!,#REF!</definedName>
    <definedName name="__APW_RESTORE_DATA758__" hidden="1">#REF!,#REF!,#REF!,#REF!,#REF!,#REF!,#REF!,#REF!,#REF!,#REF!,#REF!,#REF!,#REF!,#REF!,#REF!</definedName>
    <definedName name="__APW_RESTORE_DATA759__" hidden="1">#REF!,#REF!,#REF!,#REF!,#REF!,#REF!,#REF!,#REF!,#REF!,#REF!,#REF!,#REF!,#REF!,#REF!,#REF!</definedName>
    <definedName name="__APW_RESTORE_DATA76__" hidden="1">#REF!,#REF!,#REF!,#REF!,#REF!,#REF!,#REF!,#REF!,#REF!,#REF!,#REF!,#REF!,#REF!,#REF!,#REF!,#REF!</definedName>
    <definedName name="__APW_RESTORE_DATA760__" hidden="1">#REF!,#REF!,#REF!,#REF!,#REF!,#REF!,#REF!,#REF!,#REF!,#REF!,#REF!,#REF!,#REF!,#REF!,#REF!</definedName>
    <definedName name="__APW_RESTORE_DATA761__" hidden="1">#REF!,#REF!,#REF!,#REF!,#REF!,#REF!,#REF!,#REF!,#REF!,#REF!,#REF!,#REF!,#REF!,#REF!,#REF!</definedName>
    <definedName name="__APW_RESTORE_DATA762__" hidden="1">#REF!,#REF!,#REF!,#REF!,#REF!,#REF!,#REF!,#REF!,#REF!,#REF!,#REF!,#REF!,#REF!,#REF!,#REF!</definedName>
    <definedName name="__APW_RESTORE_DATA763__" hidden="1">#REF!,#REF!,#REF!,#REF!,#REF!,#REF!,#REF!,#REF!,#REF!,#REF!,#REF!,#REF!,#REF!,#REF!,#REF!</definedName>
    <definedName name="__APW_RESTORE_DATA764__" hidden="1">#REF!,#REF!,#REF!,#REF!,#REF!,#REF!,#REF!,#REF!,#REF!</definedName>
    <definedName name="__APW_RESTORE_DATA765__" hidden="1">#REF!,#REF!,#REF!,#REF!,#REF!,#REF!,#REF!,#REF!,#REF!,#REF!,#REF!,#REF!,#REF!,#REF!,#REF!,#REF!,#REF!</definedName>
    <definedName name="__APW_RESTORE_DATA766__" hidden="1">#REF!,#REF!,#REF!,#REF!,#REF!,#REF!,#REF!,#REF!,#REF!,#REF!,#REF!,#REF!,#REF!,#REF!,#REF!,#REF!</definedName>
    <definedName name="__APW_RESTORE_DATA767__" hidden="1">#REF!,#REF!,#REF!,#REF!,#REF!,#REF!,#REF!,#REF!,#REF!,#REF!,#REF!,#REF!,#REF!,#REF!,#REF!,#REF!</definedName>
    <definedName name="__APW_RESTORE_DATA768__" hidden="1">#REF!,#REF!,#REF!,#REF!,#REF!,#REF!,#REF!,#REF!,#REF!,#REF!,#REF!,#REF!,#REF!,#REF!,#REF!,#REF!</definedName>
    <definedName name="__APW_RESTORE_DATA769__" hidden="1">#REF!,#REF!,#REF!,#REF!,#REF!,#REF!,#REF!,#REF!,#REF!,#REF!,#REF!,#REF!,#REF!,#REF!,#REF!,#REF!</definedName>
    <definedName name="__APW_RESTORE_DATA77__" hidden="1">#REF!,#REF!,#REF!,#REF!,#REF!,#REF!,#REF!,#REF!,#REF!,#REF!,#REF!,#REF!,#REF!,#REF!,#REF!,#REF!</definedName>
    <definedName name="__APW_RESTORE_DATA770__" hidden="1">#REF!,#REF!,#REF!,#REF!,#REF!,#REF!,#REF!,#REF!,#REF!,#REF!,#REF!,#REF!,#REF!,#REF!,#REF!,#REF!</definedName>
    <definedName name="__APW_RESTORE_DATA771__" hidden="1">#REF!,#REF!,#REF!,#REF!,#REF!,#REF!,#REF!,#REF!,#REF!,#REF!,#REF!,#REF!,#REF!,#REF!,#REF!</definedName>
    <definedName name="__APW_RESTORE_DATA772__" hidden="1">#REF!,#REF!,#REF!,#REF!,#REF!,#REF!,#REF!,#REF!,#REF!,#REF!,#REF!,#REF!,#REF!,#REF!,#REF!</definedName>
    <definedName name="__APW_RESTORE_DATA773__" hidden="1">#REF!,#REF!,#REF!,#REF!,#REF!,#REF!,#REF!,#REF!,#REF!,#REF!,#REF!,#REF!,#REF!,#REF!,#REF!</definedName>
    <definedName name="__APW_RESTORE_DATA774__" hidden="1">#REF!,#REF!,#REF!,#REF!,#REF!,#REF!,#REF!,#REF!,#REF!,#REF!,#REF!,#REF!,#REF!,#REF!,#REF!</definedName>
    <definedName name="__APW_RESTORE_DATA775__" hidden="1">#REF!,#REF!,#REF!,#REF!,#REF!,#REF!,#REF!,#REF!,#REF!,#REF!,#REF!,#REF!,#REF!,#REF!,#REF!</definedName>
    <definedName name="__APW_RESTORE_DATA776__" hidden="1">#REF!,#REF!,#REF!,#REF!,#REF!,#REF!,#REF!,#REF!,#REF!,#REF!,#REF!,#REF!,#REF!,#REF!,#REF!</definedName>
    <definedName name="__APW_RESTORE_DATA777__" hidden="1">#REF!,#REF!,#REF!,#REF!,#REF!,#REF!,#REF!,#REF!,#REF!,#REF!,#REF!,#REF!,#REF!,#REF!,#REF!</definedName>
    <definedName name="__APW_RESTORE_DATA778__" hidden="1">#REF!,#REF!,#REF!,#REF!,#REF!,#REF!,#REF!,#REF!,#REF!,#REF!,#REF!,#REF!,#REF!,#REF!,#REF!</definedName>
    <definedName name="__APW_RESTORE_DATA779__" hidden="1">#REF!,#REF!,#REF!,#REF!,#REF!,#REF!,#REF!,#REF!,#REF!</definedName>
    <definedName name="__APW_RESTORE_DATA78__" hidden="1">#REF!,#REF!,#REF!,#REF!,#REF!,#REF!,#REF!,#REF!,#REF!,#REF!,#REF!,#REF!,#REF!,#REF!,#REF!</definedName>
    <definedName name="__APW_RESTORE_DATA780__" hidden="1">#REF!,#REF!,#REF!,#REF!,#REF!,#REF!,#REF!,#REF!,#REF!,#REF!,#REF!,#REF!,#REF!,#REF!,#REF!,#REF!,#REF!</definedName>
    <definedName name="__APW_RESTORE_DATA781__" hidden="1">#REF!,#REF!,#REF!,#REF!,#REF!,#REF!,#REF!,#REF!,#REF!,#REF!,#REF!,#REF!,#REF!,#REF!,#REF!,#REF!</definedName>
    <definedName name="__APW_RESTORE_DATA782__" hidden="1">#REF!,#REF!,#REF!,#REF!,#REF!,#REF!,#REF!,#REF!,#REF!,#REF!,#REF!,#REF!,#REF!,#REF!,#REF!,#REF!</definedName>
    <definedName name="__APW_RESTORE_DATA783__" hidden="1">#REF!,#REF!,#REF!,#REF!,#REF!,#REF!,#REF!,#REF!,#REF!,#REF!,#REF!,#REF!,#REF!,#REF!,#REF!,#REF!</definedName>
    <definedName name="__APW_RESTORE_DATA784__" hidden="1">#REF!,#REF!,#REF!,#REF!,#REF!,#REF!,#REF!,#REF!,#REF!,#REF!,#REF!,#REF!,#REF!,#REF!,#REF!,#REF!</definedName>
    <definedName name="__APW_RESTORE_DATA785__" hidden="1">#REF!,#REF!,#REF!,#REF!,#REF!,#REF!,#REF!,#REF!,#REF!,#REF!,#REF!,#REF!,#REF!,#REF!,#REF!,#REF!</definedName>
    <definedName name="__APW_RESTORE_DATA786__" hidden="1">#REF!,#REF!,#REF!,#REF!,#REF!,#REF!,#REF!,#REF!,#REF!,#REF!,#REF!,#REF!,#REF!,#REF!,#REF!</definedName>
    <definedName name="__APW_RESTORE_DATA787__" hidden="1">#REF!,#REF!,#REF!,#REF!,#REF!,#REF!,#REF!,#REF!,#REF!,#REF!,#REF!,#REF!,#REF!,#REF!,#REF!</definedName>
    <definedName name="__APW_RESTORE_DATA788__" hidden="1">#REF!,#REF!,#REF!,#REF!,#REF!,#REF!,#REF!,#REF!,#REF!,#REF!,#REF!,#REF!,#REF!,#REF!,#REF!</definedName>
    <definedName name="__APW_RESTORE_DATA789__" hidden="1">#REF!,#REF!,#REF!,#REF!,#REF!,#REF!,#REF!,#REF!,#REF!,#REF!,#REF!,#REF!,#REF!,#REF!,#REF!</definedName>
    <definedName name="__APW_RESTORE_DATA79__" hidden="1">#REF!,#REF!,#REF!,#REF!,#REF!,#REF!,#REF!,#REF!,#REF!,#REF!,#REF!,#REF!,#REF!,#REF!,#REF!</definedName>
    <definedName name="__APW_RESTORE_DATA790__" hidden="1">#REF!,#REF!,#REF!,#REF!,#REF!,#REF!,#REF!,#REF!,#REF!,#REF!,#REF!,#REF!,#REF!,#REF!,#REF!</definedName>
    <definedName name="__APW_RESTORE_DATA791__" hidden="1">#REF!,#REF!,#REF!,#REF!,#REF!,#REF!,#REF!,#REF!,#REF!,#REF!,#REF!,#REF!,#REF!,#REF!,#REF!</definedName>
    <definedName name="__APW_RESTORE_DATA792__" hidden="1">#REF!,#REF!,#REF!,#REF!,#REF!,#REF!,#REF!,#REF!,#REF!,#REF!,#REF!,#REF!,#REF!,#REF!,#REF!</definedName>
    <definedName name="__APW_RESTORE_DATA793__" hidden="1">#REF!,#REF!,#REF!,#REF!,#REF!,#REF!,#REF!,#REF!,#REF!,#REF!,#REF!,#REF!,#REF!,#REF!,#REF!</definedName>
    <definedName name="__APW_RESTORE_DATA794__" hidden="1">#REF!,#REF!,#REF!,#REF!,#REF!,#REF!,#REF!,#REF!,#REF!</definedName>
    <definedName name="__APW_RESTORE_DATA795__" hidden="1">#REF!,#REF!,#REF!,#REF!,#REF!,#REF!,#REF!,#REF!,#REF!,#REF!,#REF!,#REF!,#REF!,#REF!,#REF!,#REF!,#REF!</definedName>
    <definedName name="__APW_RESTORE_DATA796__" hidden="1">#REF!,#REF!,#REF!,#REF!,#REF!,#REF!,#REF!,#REF!,#REF!,#REF!,#REF!,#REF!,#REF!,#REF!,#REF!,#REF!</definedName>
    <definedName name="__APW_RESTORE_DATA797__" hidden="1">#REF!,#REF!,#REF!,#REF!,#REF!,#REF!,#REF!,#REF!,#REF!,#REF!,#REF!,#REF!,#REF!,#REF!,#REF!,#REF!</definedName>
    <definedName name="__APW_RESTORE_DATA798__" hidden="1">#REF!,#REF!,#REF!,#REF!,#REF!,#REF!,#REF!,#REF!,#REF!,#REF!,#REF!,#REF!,#REF!,#REF!,#REF!,#REF!</definedName>
    <definedName name="__APW_RESTORE_DATA799__" hidden="1">#REF!,#REF!,#REF!,#REF!,#REF!,#REF!,#REF!,#REF!,#REF!,#REF!,#REF!,#REF!,#REF!,#REF!,#REF!,#REF!</definedName>
    <definedName name="__APW_RESTORE_DATA8__" hidden="1">#REF!,#REF!,#REF!,#REF!,#REF!,#REF!,#REF!,#REF!,#REF!,#REF!,#REF!,#REF!,#REF!,#REF!,#REF!</definedName>
    <definedName name="__APW_RESTORE_DATA80__" hidden="1">#REF!,#REF!,#REF!,#REF!,#REF!,#REF!,#REF!,#REF!,#REF!,#REF!,#REF!,#REF!,#REF!,#REF!,#REF!</definedName>
    <definedName name="__APW_RESTORE_DATA800__" hidden="1">#REF!,#REF!,#REF!,#REF!,#REF!,#REF!,#REF!,#REF!,#REF!,#REF!,#REF!,#REF!,#REF!,#REF!,#REF!,#REF!</definedName>
    <definedName name="__APW_RESTORE_DATA801__" hidden="1">#REF!,#REF!,#REF!,#REF!,#REF!,#REF!,#REF!,#REF!,#REF!,#REF!,#REF!,#REF!,#REF!,#REF!,#REF!</definedName>
    <definedName name="__APW_RESTORE_DATA802__" hidden="1">#REF!,#REF!,#REF!,#REF!,#REF!,#REF!,#REF!,#REF!,#REF!,#REF!,#REF!,#REF!,#REF!,#REF!,#REF!</definedName>
    <definedName name="__APW_RESTORE_DATA803__" hidden="1">#REF!,#REF!,#REF!,#REF!,#REF!,#REF!,#REF!,#REF!,#REF!,#REF!,#REF!,#REF!,#REF!,#REF!,#REF!</definedName>
    <definedName name="__APW_RESTORE_DATA804__" hidden="1">#REF!,#REF!,#REF!,#REF!,#REF!,#REF!,#REF!,#REF!,#REF!,#REF!,#REF!,#REF!,#REF!,#REF!,#REF!</definedName>
    <definedName name="__APW_RESTORE_DATA805__" hidden="1">#REF!,#REF!,#REF!,#REF!,#REF!,#REF!,#REF!,#REF!,#REF!,#REF!,#REF!,#REF!,#REF!,#REF!,#REF!</definedName>
    <definedName name="__APW_RESTORE_DATA806__" hidden="1">#REF!,#REF!,#REF!,#REF!,#REF!,#REF!,#REF!,#REF!,#REF!,#REF!,#REF!,#REF!,#REF!,#REF!,#REF!</definedName>
    <definedName name="__APW_RESTORE_DATA807__" hidden="1">#REF!,#REF!,#REF!,#REF!,#REF!,#REF!,#REF!,#REF!,#REF!,#REF!,#REF!,#REF!,#REF!,#REF!,#REF!</definedName>
    <definedName name="__APW_RESTORE_DATA808__" hidden="1">#REF!,#REF!,#REF!,#REF!,#REF!,#REF!,#REF!,#REF!,#REF!,#REF!,#REF!,#REF!,#REF!,#REF!,#REF!</definedName>
    <definedName name="__APW_RESTORE_DATA809__" hidden="1">#REF!,#REF!,#REF!,#REF!,#REF!,#REF!,#REF!,#REF!,#REF!</definedName>
    <definedName name="__APW_RESTORE_DATA81__" hidden="1">#REF!,#REF!,#REF!,#REF!,#REF!,#REF!,#REF!,#REF!,#REF!,#REF!,#REF!,#REF!,#REF!,#REF!,#REF!</definedName>
    <definedName name="__APW_RESTORE_DATA810__" hidden="1">#REF!,#REF!,#REF!,#REF!,#REF!,#REF!,#REF!,#REF!,#REF!,#REF!,#REF!,#REF!,#REF!,#REF!,#REF!,#REF!,#REF!</definedName>
    <definedName name="__APW_RESTORE_DATA811__" hidden="1">#REF!,#REF!,#REF!,#REF!,#REF!,#REF!,#REF!,#REF!,#REF!,#REF!,#REF!,#REF!,#REF!,#REF!,#REF!,#REF!</definedName>
    <definedName name="__APW_RESTORE_DATA812__" hidden="1">#REF!,#REF!,#REF!,#REF!,#REF!,#REF!,#REF!,#REF!,#REF!,#REF!,#REF!,#REF!,#REF!,#REF!,#REF!,#REF!</definedName>
    <definedName name="__APW_RESTORE_DATA813__" hidden="1">#REF!,#REF!,#REF!,#REF!,#REF!,#REF!,#REF!,#REF!,#REF!,#REF!,#REF!,#REF!,#REF!,#REF!,#REF!,#REF!</definedName>
    <definedName name="__APW_RESTORE_DATA814__" hidden="1">#REF!,#REF!,#REF!,#REF!,#REF!,#REF!,#REF!,#REF!,#REF!,#REF!,#REF!,#REF!,#REF!,#REF!,#REF!,#REF!</definedName>
    <definedName name="__APW_RESTORE_DATA815__" hidden="1">#REF!,#REF!,#REF!,#REF!,#REF!,#REF!,#REF!,#REF!,#REF!,#REF!,#REF!,#REF!,#REF!,#REF!,#REF!,#REF!</definedName>
    <definedName name="__APW_RESTORE_DATA816__" hidden="1">#REF!,#REF!,#REF!,#REF!,#REF!,#REF!,#REF!,#REF!,#REF!,#REF!,#REF!,#REF!,#REF!,#REF!,#REF!</definedName>
    <definedName name="__APW_RESTORE_DATA817__" hidden="1">#REF!,#REF!,#REF!,#REF!,#REF!,#REF!,#REF!,#REF!,#REF!,#REF!,#REF!,#REF!,#REF!,#REF!,#REF!</definedName>
    <definedName name="__APW_RESTORE_DATA818__" hidden="1">#REF!,#REF!,#REF!,#REF!,#REF!,#REF!,#REF!,#REF!,#REF!,#REF!,#REF!,#REF!,#REF!,#REF!,#REF!</definedName>
    <definedName name="__APW_RESTORE_DATA819__" hidden="1">#REF!,#REF!,#REF!,#REF!,#REF!,#REF!,#REF!,#REF!,#REF!,#REF!,#REF!,#REF!,#REF!,#REF!,#REF!</definedName>
    <definedName name="__APW_RESTORE_DATA82__" hidden="1">#REF!,#REF!,#REF!,#REF!,#REF!,#REF!,#REF!,#REF!,#REF!,#REF!,#REF!,#REF!,#REF!,#REF!,#REF!</definedName>
    <definedName name="__APW_RESTORE_DATA820__" hidden="1">#REF!,#REF!,#REF!,#REF!,#REF!,#REF!,#REF!,#REF!,#REF!,#REF!,#REF!,#REF!,#REF!,#REF!,#REF!</definedName>
    <definedName name="__APW_RESTORE_DATA821__" hidden="1">#REF!,#REF!,#REF!,#REF!,#REF!,#REF!,#REF!,#REF!,#REF!,#REF!,#REF!,#REF!,#REF!,#REF!,#REF!</definedName>
    <definedName name="__APW_RESTORE_DATA822__" hidden="1">#REF!,#REF!,#REF!,#REF!,#REF!,#REF!,#REF!,#REF!,#REF!,#REF!,#REF!,#REF!,#REF!,#REF!,#REF!</definedName>
    <definedName name="__APW_RESTORE_DATA823__" hidden="1">#REF!,#REF!,#REF!,#REF!,#REF!,#REF!,#REF!,#REF!,#REF!,#REF!,#REF!,#REF!,#REF!,#REF!,#REF!</definedName>
    <definedName name="__APW_RESTORE_DATA824__" hidden="1">#REF!,#REF!,#REF!,#REF!,#REF!,#REF!,#REF!,#REF!,#REF!</definedName>
    <definedName name="__APW_RESTORE_DATA825__" hidden="1">#REF!,#REF!,#REF!,#REF!,#REF!,#REF!,#REF!,#REF!,#REF!,#REF!,#REF!,#REF!,#REF!,#REF!,#REF!,#REF!,#REF!</definedName>
    <definedName name="__APW_RESTORE_DATA826__" hidden="1">#REF!,#REF!,#REF!,#REF!,#REF!,#REF!,#REF!,#REF!,#REF!,#REF!,#REF!,#REF!,#REF!,#REF!,#REF!,#REF!</definedName>
    <definedName name="__APW_RESTORE_DATA827__" hidden="1">#REF!,#REF!,#REF!,#REF!,#REF!,#REF!,#REF!,#REF!,#REF!,#REF!,#REF!,#REF!,#REF!,#REF!,#REF!,#REF!</definedName>
    <definedName name="__APW_RESTORE_DATA828__" hidden="1">#REF!,#REF!,#REF!,#REF!,#REF!,#REF!,#REF!,#REF!,#REF!,#REF!,#REF!,#REF!,#REF!,#REF!,#REF!,#REF!</definedName>
    <definedName name="__APW_RESTORE_DATA829__" hidden="1">#REF!,#REF!,#REF!,#REF!,#REF!,#REF!,#REF!,#REF!,#REF!,#REF!,#REF!,#REF!,#REF!,#REF!,#REF!,#REF!</definedName>
    <definedName name="__APW_RESTORE_DATA83__" hidden="1">#REF!,#REF!,#REF!,#REF!,#REF!,#REF!</definedName>
    <definedName name="__APW_RESTORE_DATA830__" hidden="1">#REF!,#REF!,#REF!,#REF!,#REF!,#REF!,#REF!,#REF!,#REF!,#REF!,#REF!,#REF!,#REF!,#REF!,#REF!,#REF!</definedName>
    <definedName name="__APW_RESTORE_DATA831__" hidden="1">#REF!,#REF!,#REF!,#REF!,#REF!,#REF!,#REF!,#REF!,#REF!,#REF!,#REF!,#REF!,#REF!,#REF!,#REF!</definedName>
    <definedName name="__APW_RESTORE_DATA832__" hidden="1">#REF!,#REF!,#REF!,#REF!,#REF!,#REF!,#REF!,#REF!,#REF!,#REF!,#REF!,#REF!,#REF!,#REF!,#REF!</definedName>
    <definedName name="__APW_RESTORE_DATA833__" hidden="1">#REF!,#REF!,#REF!,#REF!,#REF!,#REF!,#REF!,#REF!,#REF!,#REF!,#REF!,#REF!,#REF!,#REF!,#REF!</definedName>
    <definedName name="__APW_RESTORE_DATA834__" hidden="1">#REF!,#REF!,#REF!,#REF!,#REF!,#REF!,#REF!,#REF!,#REF!,#REF!,#REF!,#REF!,#REF!,#REF!,#REF!</definedName>
    <definedName name="__APW_RESTORE_DATA835__" hidden="1">#REF!,#REF!,#REF!,#REF!,#REF!,#REF!,#REF!,#REF!,#REF!,#REF!,#REF!,#REF!,#REF!,#REF!,#REF!</definedName>
    <definedName name="__APW_RESTORE_DATA836__" hidden="1">#REF!,#REF!,#REF!,#REF!,#REF!,#REF!,#REF!,#REF!,#REF!,#REF!,#REF!,#REF!,#REF!,#REF!,#REF!</definedName>
    <definedName name="__APW_RESTORE_DATA837__" hidden="1">#REF!,#REF!,#REF!,#REF!,#REF!,#REF!,#REF!,#REF!,#REF!,#REF!,#REF!,#REF!,#REF!,#REF!,#REF!</definedName>
    <definedName name="__APW_RESTORE_DATA838__" hidden="1">#REF!,#REF!,#REF!,#REF!,#REF!,#REF!,#REF!,#REF!,#REF!,#REF!,#REF!,#REF!,#REF!,#REF!,#REF!</definedName>
    <definedName name="__APW_RESTORE_DATA839__" hidden="1">#REF!,#REF!,#REF!,#REF!,#REF!,#REF!,#REF!,#REF!,#REF!</definedName>
    <definedName name="__APW_RESTORE_DATA84__" hidden="1">#REF!,#REF!,#REF!,#REF!,#REF!,#REF!,#REF!,#REF!,#REF!,#REF!,#REF!,#REF!,#REF!,#REF!,#REF!,#REF!,#REF!</definedName>
    <definedName name="__APW_RESTORE_DATA840__" hidden="1">#REF!,#REF!,#REF!,#REF!,#REF!,#REF!,#REF!,#REF!,#REF!,#REF!,#REF!,#REF!,#REF!,#REF!,#REF!,#REF!,#REF!</definedName>
    <definedName name="__APW_RESTORE_DATA841__" hidden="1">#REF!,#REF!,#REF!,#REF!,#REF!,#REF!,#REF!,#REF!,#REF!,#REF!,#REF!,#REF!,#REF!,#REF!,#REF!,#REF!</definedName>
    <definedName name="__APW_RESTORE_DATA842__" hidden="1">#REF!,#REF!,#REF!,#REF!,#REF!,#REF!,#REF!,#REF!,#REF!,#REF!,#REF!,#REF!,#REF!,#REF!,#REF!,#REF!</definedName>
    <definedName name="__APW_RESTORE_DATA843__" hidden="1">#REF!,#REF!,#REF!,#REF!,#REF!,#REF!,#REF!,#REF!,#REF!,#REF!,#REF!,#REF!,#REF!,#REF!,#REF!,#REF!</definedName>
    <definedName name="__APW_RESTORE_DATA844__" hidden="1">#REF!,#REF!,#REF!,#REF!,#REF!,#REF!,#REF!,#REF!,#REF!,#REF!,#REF!,#REF!,#REF!,#REF!,#REF!,#REF!</definedName>
    <definedName name="__APW_RESTORE_DATA845__" hidden="1">#REF!,#REF!,#REF!,#REF!,#REF!,#REF!,#REF!,#REF!,#REF!,#REF!,#REF!,#REF!,#REF!,#REF!,#REF!,#REF!</definedName>
    <definedName name="__APW_RESTORE_DATA846__" hidden="1">#REF!,#REF!,#REF!,#REF!,#REF!,#REF!,#REF!,#REF!,#REF!,#REF!,#REF!,#REF!,#REF!,#REF!,#REF!</definedName>
    <definedName name="__APW_RESTORE_DATA847__" hidden="1">#REF!,#REF!,#REF!,#REF!,#REF!,#REF!,#REF!,#REF!,#REF!,#REF!,#REF!,#REF!,#REF!,#REF!,#REF!</definedName>
    <definedName name="__APW_RESTORE_DATA848__" hidden="1">#REF!,#REF!,#REF!,#REF!,#REF!,#REF!,#REF!,#REF!,#REF!,#REF!,#REF!,#REF!,#REF!,#REF!,#REF!</definedName>
    <definedName name="__APW_RESTORE_DATA849__" hidden="1">#REF!,#REF!,#REF!,#REF!,#REF!,#REF!,#REF!,#REF!,#REF!,#REF!,#REF!,#REF!,#REF!,#REF!,#REF!</definedName>
    <definedName name="__APW_RESTORE_DATA85__" hidden="1">#REF!,#REF!,#REF!,#REF!,#REF!,#REF!,#REF!,#REF!,#REF!,#REF!,#REF!,#REF!,#REF!,#REF!,#REF!,#REF!</definedName>
    <definedName name="__APW_RESTORE_DATA850__" hidden="1">#REF!,#REF!,#REF!,#REF!,#REF!,#REF!,#REF!,#REF!,#REF!,#REF!,#REF!,#REF!,#REF!,#REF!,#REF!</definedName>
    <definedName name="__APW_RESTORE_DATA851__" hidden="1">#REF!,#REF!,#REF!,#REF!,#REF!,#REF!,#REF!,#REF!,#REF!,#REF!,#REF!,#REF!,#REF!,#REF!,#REF!</definedName>
    <definedName name="__APW_RESTORE_DATA852__" hidden="1">#REF!,#REF!,#REF!,#REF!,#REF!,#REF!,#REF!,#REF!,#REF!,#REF!,#REF!,#REF!,#REF!,#REF!,#REF!</definedName>
    <definedName name="__APW_RESTORE_DATA853__" hidden="1">#REF!,#REF!,#REF!,#REF!,#REF!,#REF!,#REF!,#REF!,#REF!,#REF!,#REF!,#REF!,#REF!,#REF!,#REF!</definedName>
    <definedName name="__APW_RESTORE_DATA854__" hidden="1">#REF!,#REF!,#REF!,#REF!,#REF!,#REF!,#REF!,#REF!,#REF!</definedName>
    <definedName name="__APW_RESTORE_DATA855__" hidden="1">#REF!,#REF!,#REF!,#REF!,#REF!,#REF!,#REF!,#REF!,#REF!,#REF!,#REF!,#REF!,#REF!,#REF!,#REF!,#REF!,#REF!</definedName>
    <definedName name="__APW_RESTORE_DATA856__" hidden="1">#REF!,#REF!,#REF!,#REF!,#REF!,#REF!,#REF!,#REF!,#REF!,#REF!,#REF!,#REF!,#REF!,#REF!,#REF!,#REF!</definedName>
    <definedName name="__APW_RESTORE_DATA857__" hidden="1">#REF!,#REF!,#REF!,#REF!,#REF!,#REF!,#REF!,#REF!,#REF!,#REF!,#REF!,#REF!,#REF!,#REF!,#REF!,#REF!</definedName>
    <definedName name="__APW_RESTORE_DATA858__" hidden="1">#REF!,#REF!,#REF!,#REF!,#REF!,#REF!,#REF!,#REF!,#REF!,#REF!,#REF!,#REF!,#REF!,#REF!,#REF!,#REF!</definedName>
    <definedName name="__APW_RESTORE_DATA859__" hidden="1">#REF!,#REF!,#REF!,#REF!,#REF!,#REF!,#REF!,#REF!,#REF!,#REF!,#REF!,#REF!,#REF!,#REF!,#REF!,#REF!</definedName>
    <definedName name="__APW_RESTORE_DATA86__" hidden="1">#REF!,#REF!,#REF!,#REF!,#REF!,#REF!,#REF!,#REF!,#REF!,#REF!,#REF!,#REF!,#REF!,#REF!,#REF!,#REF!</definedName>
    <definedName name="__APW_RESTORE_DATA860__" hidden="1">#REF!,#REF!,#REF!,#REF!,#REF!,#REF!,#REF!,#REF!,#REF!,#REF!,#REF!,#REF!,#REF!,#REF!,#REF!,#REF!</definedName>
    <definedName name="__APW_RESTORE_DATA861__" hidden="1">#REF!,#REF!,#REF!,#REF!,#REF!,#REF!,#REF!,#REF!,#REF!,#REF!,#REF!,#REF!,#REF!,#REF!,#REF!</definedName>
    <definedName name="__APW_RESTORE_DATA862__" hidden="1">#REF!,#REF!,#REF!,#REF!,#REF!,#REF!,#REF!,#REF!,#REF!,#REF!,#REF!,#REF!,#REF!,#REF!,#REF!</definedName>
    <definedName name="__APW_RESTORE_DATA863__" hidden="1">#REF!,#REF!,#REF!,#REF!,#REF!,#REF!,#REF!,#REF!,#REF!,#REF!,#REF!,#REF!,#REF!,#REF!,#REF!</definedName>
    <definedName name="__APW_RESTORE_DATA864__" hidden="1">#REF!,#REF!,#REF!,#REF!,#REF!,#REF!,#REF!,#REF!,#REF!,#REF!,#REF!,#REF!,#REF!,#REF!,#REF!</definedName>
    <definedName name="__APW_RESTORE_DATA865__" hidden="1">#REF!,#REF!,#REF!,#REF!,#REF!,#REF!,#REF!,#REF!,#REF!,#REF!,#REF!,#REF!,#REF!,#REF!,#REF!</definedName>
    <definedName name="__APW_RESTORE_DATA866__" hidden="1">#REF!,#REF!,#REF!,#REF!,#REF!,#REF!,#REF!,#REF!,#REF!,#REF!,#REF!,#REF!,#REF!,#REF!,#REF!</definedName>
    <definedName name="__APW_RESTORE_DATA867__" hidden="1">#REF!,#REF!,#REF!,#REF!,#REF!,#REF!,#REF!,#REF!,#REF!,#REF!,#REF!,#REF!,#REF!,#REF!,#REF!</definedName>
    <definedName name="__APW_RESTORE_DATA868__" hidden="1">#REF!,#REF!,#REF!,#REF!,#REF!,#REF!,#REF!,#REF!,#REF!,#REF!,#REF!,#REF!,#REF!,#REF!,#REF!</definedName>
    <definedName name="__APW_RESTORE_DATA869__" hidden="1">#REF!,#REF!,#REF!,#REF!,#REF!,#REF!,#REF!,#REF!,#REF!</definedName>
    <definedName name="__APW_RESTORE_DATA87__" hidden="1">#REF!,#REF!,#REF!,#REF!,#REF!,#REF!,#REF!,#REF!,#REF!,#REF!,#REF!,#REF!,#REF!,#REF!,#REF!,#REF!</definedName>
    <definedName name="__APW_RESTORE_DATA870__" hidden="1">#REF!,#REF!,#REF!,#REF!,#REF!,#REF!,#REF!,#REF!,#REF!,#REF!,#REF!,#REF!,#REF!,#REF!,#REF!,#REF!,#REF!</definedName>
    <definedName name="__APW_RESTORE_DATA871__" hidden="1">#REF!,#REF!,#REF!,#REF!,#REF!,#REF!,#REF!,#REF!,#REF!,#REF!,#REF!,#REF!,#REF!,#REF!,#REF!,#REF!</definedName>
    <definedName name="__APW_RESTORE_DATA872__" hidden="1">#REF!,#REF!,#REF!,#REF!,#REF!,#REF!,#REF!,#REF!,#REF!,#REF!,#REF!,#REF!,#REF!,#REF!,#REF!,#REF!</definedName>
    <definedName name="__APW_RESTORE_DATA873__" hidden="1">#REF!,#REF!,#REF!,#REF!,#REF!,#REF!,#REF!,#REF!,#REF!,#REF!,#REF!,#REF!,#REF!,#REF!,#REF!,#REF!</definedName>
    <definedName name="__APW_RESTORE_DATA874__" hidden="1">#REF!,#REF!,#REF!,#REF!,#REF!,#REF!,#REF!,#REF!,#REF!,#REF!,#REF!,#REF!,#REF!,#REF!,#REF!,#REF!</definedName>
    <definedName name="__APW_RESTORE_DATA875__" hidden="1">#REF!,#REF!,#REF!,#REF!,#REF!,#REF!,#REF!,#REF!,#REF!,#REF!,#REF!,#REF!,#REF!,#REF!,#REF!,#REF!</definedName>
    <definedName name="__APW_RESTORE_DATA876__" hidden="1">#REF!,#REF!,#REF!,#REF!,#REF!,#REF!,#REF!,#REF!,#REF!,#REF!,#REF!,#REF!,#REF!,#REF!,#REF!</definedName>
    <definedName name="__APW_RESTORE_DATA877__" hidden="1">#REF!,#REF!,#REF!,#REF!,#REF!,#REF!,#REF!,#REF!,#REF!,#REF!,#REF!,#REF!,#REF!,#REF!,#REF!</definedName>
    <definedName name="__APW_RESTORE_DATA878__" hidden="1">#REF!,#REF!,#REF!,#REF!,#REF!,#REF!,#REF!,#REF!,#REF!,#REF!,#REF!,#REF!,#REF!,#REF!,#REF!</definedName>
    <definedName name="__APW_RESTORE_DATA879__" hidden="1">#REF!,#REF!,#REF!,#REF!,#REF!,#REF!,#REF!,#REF!,#REF!,#REF!,#REF!,#REF!,#REF!,#REF!,#REF!</definedName>
    <definedName name="__APW_RESTORE_DATA88__" hidden="1">#REF!,#REF!,#REF!,#REF!,#REF!,#REF!,#REF!,#REF!,#REF!,#REF!,#REF!,#REF!,#REF!,#REF!,#REF!,#REF!</definedName>
    <definedName name="__APW_RESTORE_DATA880__" hidden="1">#REF!,#REF!,#REF!,#REF!,#REF!,#REF!,#REF!,#REF!,#REF!,#REF!,#REF!,#REF!,#REF!,#REF!,#REF!</definedName>
    <definedName name="__APW_RESTORE_DATA881__" hidden="1">#REF!,#REF!,#REF!,#REF!,#REF!,#REF!,#REF!,#REF!,#REF!,#REF!,#REF!,#REF!,#REF!,#REF!,#REF!</definedName>
    <definedName name="__APW_RESTORE_DATA882__" hidden="1">#REF!,#REF!,#REF!,#REF!,#REF!,#REF!,#REF!,#REF!,#REF!,#REF!,#REF!,#REF!,#REF!,#REF!,#REF!</definedName>
    <definedName name="__APW_RESTORE_DATA883__" hidden="1">#REF!,#REF!,#REF!,#REF!,#REF!,#REF!,#REF!,#REF!,#REF!,#REF!,#REF!,#REF!,#REF!,#REF!,#REF!</definedName>
    <definedName name="__APW_RESTORE_DATA884__" hidden="1">#REF!,#REF!,#REF!,#REF!,#REF!,#REF!,#REF!,#REF!,#REF!</definedName>
    <definedName name="__APW_RESTORE_DATA885__" hidden="1">#REF!,#REF!,#REF!,#REF!,#REF!,#REF!,#REF!,#REF!,#REF!,#REF!,#REF!,#REF!,#REF!,#REF!,#REF!,#REF!,#REF!</definedName>
    <definedName name="__APW_RESTORE_DATA886__" hidden="1">#REF!,#REF!,#REF!,#REF!,#REF!,#REF!,#REF!,#REF!,#REF!,#REF!,#REF!,#REF!,#REF!,#REF!,#REF!,#REF!</definedName>
    <definedName name="__APW_RESTORE_DATA887__" hidden="1">#REF!,#REF!,#REF!,#REF!,#REF!,#REF!,#REF!,#REF!,#REF!,#REF!,#REF!,#REF!,#REF!,#REF!,#REF!,#REF!</definedName>
    <definedName name="__APW_RESTORE_DATA888__" hidden="1">#REF!,#REF!,#REF!,#REF!,#REF!,#REF!,#REF!,#REF!,#REF!,#REF!,#REF!,#REF!,#REF!,#REF!,#REF!,#REF!</definedName>
    <definedName name="__APW_RESTORE_DATA889__" hidden="1">#REF!,#REF!,#REF!,#REF!,#REF!,#REF!,#REF!,#REF!,#REF!,#REF!,#REF!,#REF!,#REF!,#REF!,#REF!,#REF!</definedName>
    <definedName name="__APW_RESTORE_DATA89__" hidden="1">#REF!,#REF!,#REF!,#REF!,#REF!,#REF!,#REF!,#REF!,#REF!,#REF!,#REF!,#REF!,#REF!,#REF!,#REF!,#REF!</definedName>
    <definedName name="__APW_RESTORE_DATA890__" hidden="1">#REF!,#REF!,#REF!,#REF!,#REF!,#REF!,#REF!,#REF!,#REF!,#REF!,#REF!,#REF!,#REF!,#REF!,#REF!,#REF!</definedName>
    <definedName name="__APW_RESTORE_DATA891__" hidden="1">#REF!,#REF!,#REF!,#REF!,#REF!,#REF!,#REF!,#REF!,#REF!,#REF!,#REF!,#REF!,#REF!,#REF!,#REF!</definedName>
    <definedName name="__APW_RESTORE_DATA892__" hidden="1">#REF!,#REF!,#REF!,#REF!,#REF!,#REF!,#REF!,#REF!,#REF!,#REF!,#REF!,#REF!,#REF!,#REF!,#REF!</definedName>
    <definedName name="__APW_RESTORE_DATA893__" hidden="1">#REF!,#REF!,#REF!,#REF!,#REF!,#REF!,#REF!,#REF!,#REF!,#REF!,#REF!,#REF!,#REF!,#REF!,#REF!</definedName>
    <definedName name="__APW_RESTORE_DATA894__" hidden="1">#REF!,#REF!,#REF!,#REF!,#REF!,#REF!,#REF!,#REF!,#REF!,#REF!,#REF!,#REF!,#REF!,#REF!,#REF!</definedName>
    <definedName name="__APW_RESTORE_DATA895__" hidden="1">#REF!,#REF!,#REF!,#REF!,#REF!,#REF!,#REF!,#REF!,#REF!,#REF!,#REF!,#REF!,#REF!,#REF!,#REF!</definedName>
    <definedName name="__APW_RESTORE_DATA896__" hidden="1">#REF!,#REF!,#REF!,#REF!,#REF!,#REF!,#REF!,#REF!,#REF!,#REF!,#REF!,#REF!,#REF!,#REF!,#REF!</definedName>
    <definedName name="__APW_RESTORE_DATA897__" hidden="1">#REF!,#REF!,#REF!,#REF!,#REF!,#REF!,#REF!,#REF!,#REF!,#REF!,#REF!,#REF!,#REF!,#REF!,#REF!</definedName>
    <definedName name="__APW_RESTORE_DATA898__" hidden="1">#REF!,#REF!,#REF!,#REF!,#REF!,#REF!,#REF!,#REF!,#REF!,#REF!,#REF!,#REF!,#REF!,#REF!,#REF!</definedName>
    <definedName name="__APW_RESTORE_DATA899__" hidden="1">#REF!,#REF!,#REF!,#REF!,#REF!,#REF!,#REF!,#REF!,#REF!</definedName>
    <definedName name="__APW_RESTORE_DATA9__" hidden="1">#REF!,#REF!,#REF!,#REF!,#REF!,#REF!,#REF!,#REF!,#REF!,#REF!,#REF!,#REF!,#REF!,#REF!,#REF!</definedName>
    <definedName name="__APW_RESTORE_DATA90__" hidden="1">#REF!,#REF!,#REF!,#REF!,#REF!,#REF!,#REF!,#REF!,#REF!,#REF!,#REF!,#REF!,#REF!,#REF!,#REF!</definedName>
    <definedName name="__APW_RESTORE_DATA900__" hidden="1">#REF!,#REF!,#REF!,#REF!,#REF!,#REF!,#REF!,#REF!,#REF!,#REF!,#REF!,#REF!,#REF!,#REF!,#REF!,#REF!,#REF!</definedName>
    <definedName name="__APW_RESTORE_DATA901__" hidden="1">#REF!,#REF!,#REF!,#REF!,#REF!,#REF!,#REF!,#REF!,#REF!,#REF!,#REF!,#REF!,#REF!,#REF!,#REF!,#REF!</definedName>
    <definedName name="__APW_RESTORE_DATA902__" hidden="1">#REF!,#REF!,#REF!,#REF!,#REF!,#REF!,#REF!,#REF!,#REF!,#REF!,#REF!,#REF!,#REF!,#REF!,#REF!,#REF!</definedName>
    <definedName name="__APW_RESTORE_DATA903__" hidden="1">#REF!,#REF!,#REF!,#REF!,#REF!,#REF!,#REF!,#REF!,#REF!,#REF!,#REF!,#REF!,#REF!,#REF!,#REF!,#REF!</definedName>
    <definedName name="__APW_RESTORE_DATA904__" hidden="1">#REF!,#REF!,#REF!,#REF!,#REF!,#REF!,#REF!,#REF!,#REF!,#REF!,#REF!,#REF!,#REF!,#REF!,#REF!,#REF!</definedName>
    <definedName name="__APW_RESTORE_DATA905__" hidden="1">#REF!,#REF!,#REF!,#REF!,#REF!,#REF!,#REF!,#REF!,#REF!,#REF!,#REF!,#REF!,#REF!,#REF!,#REF!,#REF!</definedName>
    <definedName name="__APW_RESTORE_DATA906__" hidden="1">#REF!,#REF!,#REF!,#REF!,#REF!,#REF!,#REF!,#REF!,#REF!,#REF!,#REF!,#REF!,#REF!,#REF!,#REF!</definedName>
    <definedName name="__APW_RESTORE_DATA907__" hidden="1">#REF!,#REF!,#REF!,#REF!,#REF!,#REF!,#REF!,#REF!,#REF!,#REF!,#REF!,#REF!,#REF!,#REF!,#REF!</definedName>
    <definedName name="__APW_RESTORE_DATA908__" hidden="1">#REF!,#REF!,#REF!,#REF!,#REF!,#REF!,#REF!,#REF!,#REF!,#REF!,#REF!,#REF!,#REF!,#REF!,#REF!</definedName>
    <definedName name="__APW_RESTORE_DATA909__" hidden="1">#REF!,#REF!,#REF!,#REF!,#REF!,#REF!,#REF!,#REF!,#REF!,#REF!,#REF!,#REF!,#REF!,#REF!,#REF!</definedName>
    <definedName name="__APW_RESTORE_DATA91__" hidden="1">#REF!,#REF!,#REF!,#REF!,#REF!,#REF!,#REF!,#REF!,#REF!,#REF!,#REF!,#REF!,#REF!,#REF!,#REF!</definedName>
    <definedName name="__APW_RESTORE_DATA910__" hidden="1">#REF!,#REF!,#REF!,#REF!,#REF!,#REF!,#REF!,#REF!,#REF!,#REF!,#REF!,#REF!,#REF!,#REF!,#REF!</definedName>
    <definedName name="__APW_RESTORE_DATA911__" hidden="1">#REF!,#REF!,#REF!,#REF!,#REF!,#REF!,#REF!,#REF!,#REF!,#REF!,#REF!,#REF!,#REF!,#REF!,#REF!</definedName>
    <definedName name="__APW_RESTORE_DATA912__" hidden="1">#REF!,#REF!,#REF!,#REF!,#REF!,#REF!,#REF!,#REF!,#REF!,#REF!,#REF!,#REF!,#REF!,#REF!,#REF!</definedName>
    <definedName name="__APW_RESTORE_DATA913__" hidden="1">#REF!,#REF!,#REF!,#REF!,#REF!,#REF!,#REF!,#REF!,#REF!,#REF!,#REF!,#REF!,#REF!,#REF!,#REF!</definedName>
    <definedName name="__APW_RESTORE_DATA914__" hidden="1">#REF!,#REF!,#REF!,#REF!,#REF!,#REF!,#REF!,#REF!,#REF!</definedName>
    <definedName name="__APW_RESTORE_DATA915__" hidden="1">#REF!,#REF!,#REF!,#REF!,#REF!,#REF!,#REF!,#REF!,#REF!,#REF!,#REF!,#REF!,#REF!,#REF!,#REF!,#REF!,#REF!</definedName>
    <definedName name="__APW_RESTORE_DATA916__" hidden="1">#REF!,#REF!,#REF!,#REF!,#REF!,#REF!,#REF!,#REF!,#REF!,#REF!,#REF!,#REF!,#REF!,#REF!,#REF!,#REF!</definedName>
    <definedName name="__APW_RESTORE_DATA917__" hidden="1">#REF!,#REF!,#REF!,#REF!,#REF!,#REF!,#REF!,#REF!,#REF!,#REF!,#REF!,#REF!,#REF!,#REF!,#REF!,#REF!</definedName>
    <definedName name="__APW_RESTORE_DATA918__" hidden="1">#REF!,#REF!,#REF!,#REF!,#REF!,#REF!,#REF!,#REF!,#REF!,#REF!,#REF!,#REF!,#REF!,#REF!,#REF!,#REF!</definedName>
    <definedName name="__APW_RESTORE_DATA919__" hidden="1">#REF!,#REF!,#REF!,#REF!,#REF!,#REF!,#REF!,#REF!,#REF!,#REF!,#REF!,#REF!,#REF!,#REF!,#REF!,#REF!</definedName>
    <definedName name="__APW_RESTORE_DATA92__" hidden="1">#REF!,#REF!,#REF!,#REF!,#REF!,#REF!,#REF!,#REF!,#REF!,#REF!,#REF!,#REF!,#REF!,#REF!,#REF!</definedName>
    <definedName name="__APW_RESTORE_DATA920__" hidden="1">#REF!,#REF!,#REF!,#REF!,#REF!,#REF!,#REF!,#REF!,#REF!,#REF!,#REF!,#REF!,#REF!,#REF!,#REF!,#REF!</definedName>
    <definedName name="__APW_RESTORE_DATA921__" hidden="1">#REF!,#REF!,#REF!,#REF!,#REF!,#REF!,#REF!,#REF!,#REF!,#REF!,#REF!,#REF!,#REF!,#REF!,#REF!</definedName>
    <definedName name="__APW_RESTORE_DATA922__" hidden="1">#REF!,#REF!,#REF!,#REF!,#REF!,#REF!,#REF!,#REF!,#REF!,#REF!,#REF!,#REF!,#REF!,#REF!,#REF!</definedName>
    <definedName name="__APW_RESTORE_DATA923__" hidden="1">#REF!,#REF!,#REF!,#REF!,#REF!,#REF!,#REF!,#REF!,#REF!,#REF!,#REF!,#REF!,#REF!,#REF!,#REF!</definedName>
    <definedName name="__APW_RESTORE_DATA924__" hidden="1">#REF!,#REF!,#REF!,#REF!,#REF!,#REF!,#REF!,#REF!,#REF!,#REF!,#REF!,#REF!,#REF!,#REF!,#REF!</definedName>
    <definedName name="__APW_RESTORE_DATA925__" hidden="1">#REF!,#REF!,#REF!,#REF!,#REF!,#REF!,#REF!,#REF!,#REF!,#REF!,#REF!,#REF!,#REF!,#REF!,#REF!</definedName>
    <definedName name="__APW_RESTORE_DATA926__" hidden="1">#REF!,#REF!,#REF!,#REF!,#REF!,#REF!,#REF!,#REF!,#REF!,#REF!,#REF!,#REF!,#REF!,#REF!,#REF!</definedName>
    <definedName name="__APW_RESTORE_DATA927__" hidden="1">#REF!,#REF!,#REF!,#REF!,#REF!,#REF!,#REF!,#REF!,#REF!,#REF!,#REF!,#REF!,#REF!,#REF!,#REF!</definedName>
    <definedName name="__APW_RESTORE_DATA928__" hidden="1">#REF!,#REF!,#REF!,#REF!,#REF!,#REF!,#REF!,#REF!,#REF!,#REF!,#REF!,#REF!,#REF!,#REF!,#REF!</definedName>
    <definedName name="__APW_RESTORE_DATA929__" hidden="1">#REF!,#REF!,#REF!,#REF!,#REF!,#REF!,#REF!,#REF!,#REF!</definedName>
    <definedName name="__APW_RESTORE_DATA93__" hidden="1">#REF!,#REF!,#REF!,#REF!,#REF!,#REF!,#REF!,#REF!,#REF!,#REF!,#REF!,#REF!,#REF!,#REF!,#REF!</definedName>
    <definedName name="__APW_RESTORE_DATA930__" hidden="1">#REF!,#REF!,#REF!,#REF!,#REF!,#REF!,#REF!,#REF!,#REF!,#REF!,#REF!,#REF!,#REF!,#REF!,#REF!,#REF!,#REF!</definedName>
    <definedName name="__APW_RESTORE_DATA931__" hidden="1">#REF!,#REF!,#REF!,#REF!,#REF!,#REF!,#REF!,#REF!,#REF!,#REF!,#REF!,#REF!,#REF!,#REF!,#REF!,#REF!</definedName>
    <definedName name="__APW_RESTORE_DATA932__" hidden="1">#REF!,#REF!,#REF!,#REF!,#REF!,#REF!,#REF!,#REF!,#REF!,#REF!,#REF!,#REF!,#REF!,#REF!,#REF!,#REF!</definedName>
    <definedName name="__APW_RESTORE_DATA933__" hidden="1">#REF!,#REF!,#REF!,#REF!,#REF!,#REF!,#REF!,#REF!,#REF!,#REF!,#REF!,#REF!,#REF!,#REF!,#REF!,#REF!</definedName>
    <definedName name="__APW_RESTORE_DATA934__" hidden="1">#REF!,#REF!,#REF!,#REF!,#REF!,#REF!,#REF!,#REF!,#REF!,#REF!,#REF!,#REF!,#REF!,#REF!,#REF!,#REF!</definedName>
    <definedName name="__APW_RESTORE_DATA935__" hidden="1">#REF!,#REF!,#REF!,#REF!,#REF!,#REF!,#REF!,#REF!,#REF!,#REF!,#REF!,#REF!,#REF!,#REF!,#REF!,#REF!</definedName>
    <definedName name="__APW_RESTORE_DATA936__" hidden="1">#REF!,#REF!,#REF!,#REF!,#REF!,#REF!,#REF!,#REF!,#REF!,#REF!,#REF!,#REF!,#REF!,#REF!,#REF!</definedName>
    <definedName name="__APW_RESTORE_DATA937__" hidden="1">#REF!,#REF!,#REF!,#REF!,#REF!,#REF!,#REF!,#REF!,#REF!,#REF!,#REF!,#REF!,#REF!,#REF!,#REF!</definedName>
    <definedName name="__APW_RESTORE_DATA938__" hidden="1">#REF!,#REF!,#REF!,#REF!,#REF!,#REF!,#REF!,#REF!,#REF!,#REF!,#REF!,#REF!,#REF!,#REF!,#REF!</definedName>
    <definedName name="__APW_RESTORE_DATA939__" hidden="1">#REF!,#REF!,#REF!,#REF!,#REF!,#REF!,#REF!,#REF!,#REF!,#REF!,#REF!,#REF!,#REF!,#REF!,#REF!</definedName>
    <definedName name="__APW_RESTORE_DATA94__" hidden="1">#REF!,#REF!,#REF!,#REF!,#REF!,#REF!,#REF!,#REF!,#REF!,#REF!,#REF!,#REF!,#REF!,#REF!,#REF!</definedName>
    <definedName name="__APW_RESTORE_DATA940__" hidden="1">#REF!,#REF!,#REF!,#REF!,#REF!,#REF!,#REF!,#REF!,#REF!,#REF!,#REF!,#REF!,#REF!,#REF!,#REF!</definedName>
    <definedName name="__APW_RESTORE_DATA941__" hidden="1">#REF!,#REF!,#REF!,#REF!,#REF!,#REF!,#REF!,#REF!,#REF!,#REF!,#REF!,#REF!,#REF!,#REF!,#REF!</definedName>
    <definedName name="__APW_RESTORE_DATA942__" hidden="1">#REF!,#REF!,#REF!,#REF!,#REF!,#REF!,#REF!,#REF!,#REF!,#REF!,#REF!,#REF!,#REF!,#REF!,#REF!</definedName>
    <definedName name="__APW_RESTORE_DATA943__" hidden="1">#REF!,#REF!,#REF!,#REF!,#REF!,#REF!,#REF!,#REF!,#REF!,#REF!,#REF!,#REF!,#REF!,#REF!,#REF!</definedName>
    <definedName name="__APW_RESTORE_DATA944__" hidden="1">#REF!,#REF!,#REF!,#REF!,#REF!,#REF!,#REF!,#REF!,#REF!</definedName>
    <definedName name="__APW_RESTORE_DATA945__" hidden="1">#REF!,#REF!,#REF!,#REF!,#REF!,#REF!,#REF!,#REF!,#REF!,#REF!,#REF!,#REF!,#REF!,#REF!,#REF!,#REF!,#REF!</definedName>
    <definedName name="__APW_RESTORE_DATA946__" hidden="1">#REF!,#REF!,#REF!,#REF!,#REF!,#REF!,#REF!,#REF!,#REF!,#REF!,#REF!,#REF!,#REF!,#REF!,#REF!,#REF!</definedName>
    <definedName name="__APW_RESTORE_DATA947__" hidden="1">#REF!,#REF!,#REF!,#REF!,#REF!,#REF!,#REF!,#REF!,#REF!,#REF!,#REF!,#REF!,#REF!,#REF!,#REF!,#REF!</definedName>
    <definedName name="__APW_RESTORE_DATA948__" hidden="1">#REF!,#REF!,#REF!,#REF!,#REF!,#REF!,#REF!,#REF!,#REF!,#REF!,#REF!,#REF!,#REF!,#REF!,#REF!,#REF!</definedName>
    <definedName name="__APW_RESTORE_DATA949__" hidden="1">#REF!,#REF!,#REF!,#REF!,#REF!,#REF!,#REF!,#REF!,#REF!,#REF!,#REF!,#REF!,#REF!,#REF!,#REF!,#REF!</definedName>
    <definedName name="__APW_RESTORE_DATA95__" hidden="1">#REF!,#REF!,#REF!,#REF!,#REF!,#REF!</definedName>
    <definedName name="__APW_RESTORE_DATA950__" hidden="1">#REF!,#REF!,#REF!,#REF!,#REF!,#REF!,#REF!,#REF!,#REF!,#REF!,#REF!,#REF!,#REF!,#REF!,#REF!,#REF!</definedName>
    <definedName name="__APW_RESTORE_DATA951__" hidden="1">#REF!,#REF!,#REF!,#REF!,#REF!,#REF!,#REF!,#REF!,#REF!,#REF!,#REF!,#REF!,#REF!,#REF!,#REF!</definedName>
    <definedName name="__APW_RESTORE_DATA952__" hidden="1">#REF!,#REF!,#REF!,#REF!,#REF!,#REF!,#REF!,#REF!,#REF!,#REF!,#REF!,#REF!,#REF!,#REF!,#REF!</definedName>
    <definedName name="__APW_RESTORE_DATA953__" hidden="1">#REF!,#REF!,#REF!,#REF!,#REF!,#REF!,#REF!,#REF!,#REF!,#REF!,#REF!,#REF!,#REF!,#REF!,#REF!</definedName>
    <definedName name="__APW_RESTORE_DATA954__" hidden="1">#REF!,#REF!,#REF!,#REF!,#REF!,#REF!,#REF!,#REF!,#REF!,#REF!,#REF!,#REF!,#REF!,#REF!,#REF!</definedName>
    <definedName name="__APW_RESTORE_DATA955__" hidden="1">#REF!,#REF!,#REF!,#REF!,#REF!,#REF!,#REF!,#REF!,#REF!,#REF!,#REF!,#REF!,#REF!,#REF!,#REF!</definedName>
    <definedName name="__APW_RESTORE_DATA956__" hidden="1">#REF!,#REF!,#REF!,#REF!,#REF!,#REF!,#REF!,#REF!,#REF!,#REF!,#REF!,#REF!,#REF!,#REF!,#REF!</definedName>
    <definedName name="__APW_RESTORE_DATA957__" hidden="1">#REF!,#REF!,#REF!,#REF!,#REF!,#REF!,#REF!,#REF!,#REF!,#REF!,#REF!,#REF!,#REF!,#REF!,#REF!</definedName>
    <definedName name="__APW_RESTORE_DATA958__" hidden="1">#REF!,#REF!,#REF!,#REF!,#REF!,#REF!,#REF!,#REF!,#REF!,#REF!,#REF!,#REF!,#REF!,#REF!,#REF!</definedName>
    <definedName name="__APW_RESTORE_DATA959__" hidden="1">#REF!,#REF!,#REF!,#REF!,#REF!,#REF!,#REF!,#REF!,#REF!</definedName>
    <definedName name="__APW_RESTORE_DATA96__" hidden="1">#REF!,#REF!,#REF!,#REF!,#REF!,#REF!,#REF!,#REF!,#REF!,#REF!,#REF!,#REF!,#REF!,#REF!,#REF!,#REF!,#REF!</definedName>
    <definedName name="__APW_RESTORE_DATA960__" hidden="1">#REF!,#REF!,#REF!,#REF!,#REF!,#REF!,#REF!,#REF!,#REF!,#REF!,#REF!,#REF!,#REF!,#REF!,#REF!,#REF!</definedName>
    <definedName name="__APW_RESTORE_DATA961__" hidden="1">#REF!,#REF!,#REF!,#REF!,#REF!,#REF!,#REF!,#REF!,#REF!,#REF!,#REF!,#REF!,#REF!,#REF!,#REF!</definedName>
    <definedName name="__APW_RESTORE_DATA962__" hidden="1">#REF!,#REF!,#REF!,#REF!,#REF!,#REF!,#REF!,#REF!,#REF!,#REF!,#REF!,#REF!,#REF!,#REF!,#REF!</definedName>
    <definedName name="__APW_RESTORE_DATA963__" hidden="1">#REF!,#REF!,#REF!,#REF!,#REF!,#REF!,#REF!,#REF!,#REF!,#REF!,#REF!,#REF!,#REF!,#REF!,#REF!</definedName>
    <definedName name="__APW_RESTORE_DATA964__" hidden="1">#REF!,#REF!,#REF!,#REF!,#REF!,#REF!,#REF!,#REF!,#REF!,#REF!,#REF!,#REF!,#REF!,#REF!,#REF!</definedName>
    <definedName name="__APW_RESTORE_DATA965__" hidden="1">#REF!,#REF!,#REF!,#REF!,#REF!,#REF!,#REF!,#REF!,#REF!,#REF!,#REF!,#REF!,#REF!,#REF!,#REF!</definedName>
    <definedName name="__APW_RESTORE_DATA966__" hidden="1">#REF!,#REF!,#REF!,#REF!,#REF!,#REF!,#REF!,#REF!,#REF!,#REF!,#REF!,#REF!,#REF!,#REF!,#REF!</definedName>
    <definedName name="__APW_RESTORE_DATA967__" hidden="1">#REF!,#REF!,#REF!,#REF!,#REF!,#REF!,#REF!,#REF!,#REF!,#REF!,#REF!,#REF!,#REF!,#REF!</definedName>
    <definedName name="__APW_RESTORE_DATA968__" hidden="1">#REF!,#REF!,#REF!,#REF!,#REF!,#REF!,#REF!,#REF!,#REF!,#REF!,#REF!,#REF!,#REF!,#REF!</definedName>
    <definedName name="__APW_RESTORE_DATA969__" hidden="1">#REF!,#REF!,#REF!,#REF!,#REF!,#REF!,#REF!,#REF!,#REF!,#REF!,#REF!,#REF!,#REF!,#REF!</definedName>
    <definedName name="__APW_RESTORE_DATA97__" hidden="1">#REF!,#REF!,#REF!,#REF!,#REF!,#REF!,#REF!,#REF!,#REF!,#REF!,#REF!,#REF!,#REF!,#REF!,#REF!,#REF!</definedName>
    <definedName name="__APW_RESTORE_DATA970__" hidden="1">#REF!,#REF!,#REF!,#REF!,#REF!,#REF!,#REF!,#REF!,#REF!,#REF!,#REF!,#REF!,#REF!,#REF!</definedName>
    <definedName name="__APW_RESTORE_DATA971__" hidden="1">#REF!,#REF!,#REF!,#REF!,#REF!,#REF!,#REF!,#REF!,#REF!,#REF!,#REF!,#REF!,#REF!,#REF!</definedName>
    <definedName name="__APW_RESTORE_DATA972__" hidden="1">#REF!,#REF!,#REF!,#REF!,#REF!,#REF!,#REF!,#REF!,#REF!,#REF!,#REF!,#REF!,#REF!,#REF!</definedName>
    <definedName name="__APW_RESTORE_DATA973__" hidden="1">#REF!,#REF!,#REF!,#REF!,#REF!,#REF!,#REF!,#REF!,#REF!,#REF!,#REF!,#REF!,#REF!,#REF!</definedName>
    <definedName name="__APW_RESTORE_DATA974__" hidden="1">#REF!,#REF!,#REF!,#REF!,#REF!,#REF!,#REF!,#REF!,#REF!,#REF!,#REF!,#REF!,#REF!,#REF!</definedName>
    <definedName name="__APW_RESTORE_DATA975__" hidden="1">#REF!,#REF!,#REF!,#REF!,#REF!,#REF!,#REF!,#REF!</definedName>
    <definedName name="__APW_RESTORE_DATA98__" hidden="1">#REF!,#REF!,#REF!,#REF!,#REF!,#REF!,#REF!,#REF!,#REF!,#REF!,#REF!,#REF!,#REF!,#REF!,#REF!,#REF!</definedName>
    <definedName name="__APW_RESTORE_DATA99__" hidden="1">#REF!,#REF!,#REF!,#REF!,#REF!,#REF!,#REF!,#REF!,#REF!,#REF!,#REF!,#REF!,#REF!,#REF!,#REF!,#REF!</definedName>
    <definedName name="__DBS50" localSheetId="1">#REF!</definedName>
    <definedName name="__DBS50">#REF!</definedName>
    <definedName name="__DEP93" localSheetId="1">#REF!</definedName>
    <definedName name="__DEP93">#REF!</definedName>
    <definedName name="__DEP94" localSheetId="1">#REF!</definedName>
    <definedName name="__DEP94">#REF!</definedName>
    <definedName name="__DEP95">#REF!</definedName>
    <definedName name="__DEP96">#REF!</definedName>
    <definedName name="__DEP97">#REF!</definedName>
    <definedName name="__DPS93">#REF!</definedName>
    <definedName name="__DPS94">#REF!</definedName>
    <definedName name="__DPS95">#REF!</definedName>
    <definedName name="__DPS96">#REF!</definedName>
    <definedName name="__DPS97">#REF!</definedName>
    <definedName name="__eps91">#REF!</definedName>
    <definedName name="__eps92">#REF!</definedName>
    <definedName name="__eps93">#REF!</definedName>
    <definedName name="__eps94">#REF!</definedName>
    <definedName name="__eps95">#REF!</definedName>
    <definedName name="__eps96">#REF!</definedName>
    <definedName name="__eps97">#REF!</definedName>
    <definedName name="__FDS_HYPERLINK_TOGGLE_STATE__" hidden="1">"ON"</definedName>
    <definedName name="__int91" localSheetId="1">#REF!</definedName>
    <definedName name="__int91">#REF!</definedName>
    <definedName name="__int92" localSheetId="1">#REF!</definedName>
    <definedName name="__int92">#REF!</definedName>
    <definedName name="__int93" localSheetId="1">#REF!</definedName>
    <definedName name="__int93">#REF!</definedName>
    <definedName name="__int94">#REF!</definedName>
    <definedName name="__int95">#REF!</definedName>
    <definedName name="__int96">#REF!</definedName>
    <definedName name="__int97">#REF!</definedName>
    <definedName name="__net91">#REF!</definedName>
    <definedName name="__net92">#REF!</definedName>
    <definedName name="__net93">#REF!</definedName>
    <definedName name="__net94">#REF!</definedName>
    <definedName name="__net95">#REF!</definedName>
    <definedName name="__net96">#REF!</definedName>
    <definedName name="__net97">#REF!</definedName>
    <definedName name="__ptp91">#REF!</definedName>
    <definedName name="__ptp92">#REF!</definedName>
    <definedName name="__ptp93">#REF!</definedName>
    <definedName name="__ptp94">#REF!</definedName>
    <definedName name="__ptp95">#REF!</definedName>
    <definedName name="__ptp96">#REF!</definedName>
    <definedName name="__ptp97">#REF!</definedName>
    <definedName name="__sum2">#REF!</definedName>
    <definedName name="__tax91">#REF!</definedName>
    <definedName name="__tax92">#REF!</definedName>
    <definedName name="__tax93">#REF!</definedName>
    <definedName name="__tax94">#REF!</definedName>
    <definedName name="__tax95">#REF!</definedName>
    <definedName name="__tax96">#REF!</definedName>
    <definedName name="__tax97">#REF!</definedName>
    <definedName name="__to91">#REF!</definedName>
    <definedName name="__to92">#REF!</definedName>
    <definedName name="__to93">#REF!</definedName>
    <definedName name="__to94">#REF!</definedName>
    <definedName name="__to95">#REF!</definedName>
    <definedName name="__to96">#REF!</definedName>
    <definedName name="__to97">#REF!</definedName>
    <definedName name="__ye91">#REF!</definedName>
    <definedName name="__ye92">#REF!</definedName>
    <definedName name="__ye93">#REF!</definedName>
    <definedName name="__ye94">#REF!</definedName>
    <definedName name="__ye95">#REF!</definedName>
    <definedName name="__ye96">#REF!</definedName>
    <definedName name="__ye97">#REF!</definedName>
    <definedName name="__Yr1">#REF!</definedName>
    <definedName name="__Yr10">#REF!</definedName>
    <definedName name="__Yr11">#REF!</definedName>
    <definedName name="__Yr12">#REF!</definedName>
    <definedName name="__Yr13">#REF!</definedName>
    <definedName name="__Yr14">#REF!</definedName>
    <definedName name="__Yr15">#REF!</definedName>
    <definedName name="__Yr16">#REF!</definedName>
    <definedName name="__Yr17">#REF!</definedName>
    <definedName name="__Yr18">#REF!</definedName>
    <definedName name="__Yr2">#REF!</definedName>
    <definedName name="__Yr3">#REF!</definedName>
    <definedName name="__Yr4">#REF!</definedName>
    <definedName name="__Yr5">#REF!</definedName>
    <definedName name="__Yr6">#REF!</definedName>
    <definedName name="__Yr7">#REF!</definedName>
    <definedName name="__Yr8">#REF!</definedName>
    <definedName name="__Yr9">#REF!</definedName>
    <definedName name="_07_02_94">#REF!</definedName>
    <definedName name="_1_0EBITDA_Sh">#REF!</definedName>
    <definedName name="_1_0t">#REF!</definedName>
    <definedName name="_10_.__Restructuring_char">#REF!</definedName>
    <definedName name="_10_._0Gross_inc_gro">#REF!</definedName>
    <definedName name="_11_.__SGA_gro">#REF!</definedName>
    <definedName name="_12_.__Shares_repurchase_liabil">#REF!</definedName>
    <definedName name="_12_._0Restructuring_char">#REF!</definedName>
    <definedName name="_13_0FAMERangeDJ_BALA">#REF!</definedName>
    <definedName name="_14_._0SGA_gro">#REF!</definedName>
    <definedName name="_14_0FAMERangeDJ_BALA">#REF!</definedName>
    <definedName name="_15_0FAMERangeDJ_BALA">#REF!</definedName>
    <definedName name="_16_._0Shares_repurchase_liabil">#REF!</definedName>
    <definedName name="_16_0FAMERangeGCI_BAL">#REF!</definedName>
    <definedName name="_18_.__Gross_inc_gro">#REF!</definedName>
    <definedName name="_1999">#REF!</definedName>
    <definedName name="_1t">#REF!</definedName>
    <definedName name="_2_0EBITDA_Sh">#REF!</definedName>
    <definedName name="_2_0NOPAT_Sh">#REF!</definedName>
    <definedName name="_20_.__Restructuring_char">#REF!</definedName>
    <definedName name="_2000">#REF!</definedName>
    <definedName name="_2001">#REF!</definedName>
    <definedName name="_2002">#REF!</definedName>
    <definedName name="_2003">#REF!</definedName>
    <definedName name="_2004">#REF!</definedName>
    <definedName name="_2005">#REF!</definedName>
    <definedName name="_22_.__SGA_gro">#REF!</definedName>
    <definedName name="_22_0HS">#REF!</definedName>
    <definedName name="_23_0HS">#REF!</definedName>
    <definedName name="_24_.__Shares_repurchase_liabil">#REF!</definedName>
    <definedName name="_24_0HS">#REF!</definedName>
    <definedName name="_25_0Revenu">#REF!</definedName>
    <definedName name="_26_0FAMERangeDJ_BALA">#REF!</definedName>
    <definedName name="_26_0UniqueRang">#REF!</definedName>
    <definedName name="_27_3_0Income_before_ta">#REF!</definedName>
    <definedName name="_28_0FAMERangeDJ_BALA">#REF!</definedName>
    <definedName name="_28_3_0Increase_in_other_liabilit">#REF!</definedName>
    <definedName name="_29_3_0Other_Segment_Reven">#REF!</definedName>
    <definedName name="_30_0FAMERangeDJ_BALA">#REF!</definedName>
    <definedName name="_30_3__Income_before_ta">#REF!</definedName>
    <definedName name="_31_3__Increase_in_other_liabilit">#REF!</definedName>
    <definedName name="_32_0FAMERangeGCI_BAL">#REF!</definedName>
    <definedName name="_32_3__Other_Segment_Reven">#REF!</definedName>
    <definedName name="_33FAMERangeDJ_BALA">#REF!</definedName>
    <definedName name="_34FAMERangeDJ_BALA">#REF!</definedName>
    <definedName name="_35FAMERangeDJ_BALA">#REF!</definedName>
    <definedName name="_36FAMERangeGCI_BAL">#REF!</definedName>
    <definedName name="_37Revenu">#REF!</definedName>
    <definedName name="_38UniqueRang">#REF!</definedName>
    <definedName name="_39ÿ_0I">#REF!</definedName>
    <definedName name="_3EBITDA_Sh">#REF!</definedName>
    <definedName name="_4_0NOPAT_Sh">#REF!</definedName>
    <definedName name="_40ÿ_0M">#REF!</definedName>
    <definedName name="_41ÿ_0Q">#REF!</definedName>
    <definedName name="_42_0HS">#REF!</definedName>
    <definedName name="_42ÿ_0T">#REF!</definedName>
    <definedName name="_43_0HS">#REF!</definedName>
    <definedName name="_44_0HS">#REF!</definedName>
    <definedName name="_46_0Revenu">#REF!</definedName>
    <definedName name="_48_0UniqueRang">#REF!</definedName>
    <definedName name="_4NOPAT_Sh">#REF!</definedName>
    <definedName name="_5_._0Gross_inc_gro">#REF!</definedName>
    <definedName name="_50_3_0Income_before_ta">#REF!</definedName>
    <definedName name="_52_3_0Increase_in_other_liabilit">#REF!</definedName>
    <definedName name="_54_3_0Other_Segment_Reven">#REF!</definedName>
    <definedName name="_56_3__Income_before_ta">#REF!</definedName>
    <definedName name="_58_3__Increase_in_other_liabilit">#REF!</definedName>
    <definedName name="_6_._0Restructuring_char">#REF!</definedName>
    <definedName name="_60_3__Other_Segment_Reven">#REF!</definedName>
    <definedName name="_62FAMERangeDJ_BALA">#REF!</definedName>
    <definedName name="_64FAMERangeDJ_BALA">#REF!</definedName>
    <definedName name="_66FAMERangeDJ_BALA">#REF!</definedName>
    <definedName name="_68FAMERangeGCI_BAL">#REF!</definedName>
    <definedName name="_6EBITDA_Sh">#REF!</definedName>
    <definedName name="_7_._0SGA_gro">#REF!</definedName>
    <definedName name="_70Revenu">#REF!</definedName>
    <definedName name="_72UniqueRang">#REF!</definedName>
    <definedName name="_74ÿ_0I">#REF!</definedName>
    <definedName name="_76ÿ_0M">#REF!</definedName>
    <definedName name="_78ÿ_0Q">#REF!</definedName>
    <definedName name="_8_._0Shares_repurchase_liabil">#REF!</definedName>
    <definedName name="_80ÿ_0T">#REF!</definedName>
    <definedName name="_8NOPAT_Sh">#REF!</definedName>
    <definedName name="_9_.__Gross_inc_gro">#REF!</definedName>
    <definedName name="_ABS93">#REF!</definedName>
    <definedName name="_ABS94">#REF!</definedName>
    <definedName name="_ABS95">#REF!</definedName>
    <definedName name="_ABS96">#REF!</definedName>
    <definedName name="_ABS97">#REF!</definedName>
    <definedName name="_bdm.1EFF42EB41544BDEA97542194AA061B0.edm" localSheetId="1" hidden="1">#REF!</definedName>
    <definedName name="_bdm.1EFF42EB41544BDEA97542194AA061B0.edm" hidden="1">#REF!</definedName>
    <definedName name="_bdm.4933B2B002A14CB28D5202ACD0E0D169.edm" localSheetId="14" hidden="1">#REF!</definedName>
    <definedName name="_bdm.4933B2B002A14CB28D5202ACD0E0D169.edm" hidden="1">#REF!</definedName>
    <definedName name="_bdm.832BBD2738664ACDA8A0490B0F0648CE.edm" localSheetId="14" hidden="1">#REF!</definedName>
    <definedName name="_bdm.832BBD2738664ACDA8A0490B0F0648CE.edm" hidden="1">#REF!</definedName>
    <definedName name="_bdm.89B150E58B7C4C3A92D93F8B044683D7.edm" localSheetId="14" hidden="1">#REF!</definedName>
    <definedName name="_bdm.89B150E58B7C4C3A92D93F8B044683D7.edm" hidden="1">#REF!</definedName>
    <definedName name="_bdm.99ABC876889F40EC9DEF2E77BB403443.edm" localSheetId="1" hidden="1">#REF!</definedName>
    <definedName name="_bdm.99ABC876889F40EC9DEF2E77BB403443.edm" hidden="1">#REF!</definedName>
    <definedName name="_bdm.ADA5E2B1E8CE42EFADE9EC66C687CBB9.edm" localSheetId="14" hidden="1">#REF!</definedName>
    <definedName name="_bdm.ADA5E2B1E8CE42EFADE9EC66C687CBB9.edm" hidden="1">#REF!</definedName>
    <definedName name="_bdm.B35EE854F8714C29B80834AEC3E2096C.edm" localSheetId="14" hidden="1">#REF!</definedName>
    <definedName name="_bdm.B35EE854F8714C29B80834AEC3E2096C.edm" hidden="1">#REF!</definedName>
    <definedName name="_bdm.DF8B2A720D6C4E00B423ABF362CE528F.edm" localSheetId="14" hidden="1">#REF!</definedName>
    <definedName name="_bdm.DF8B2A720D6C4E00B423ABF362CE528F.edm" hidden="1">#REF!</definedName>
    <definedName name="_bdm.F6DEA31B59F54777BBC3D4C29FE15C64.edm" localSheetId="1" hidden="1">#REF!</definedName>
    <definedName name="_bdm.F6DEA31B59F54777BBC3D4C29FE15C64.edm" hidden="1">#REF!</definedName>
    <definedName name="_BEA1">#REF!</definedName>
    <definedName name="_bea2">#REF!</definedName>
    <definedName name="_bea3">#REF!</definedName>
    <definedName name="_bea4">#REF!</definedName>
    <definedName name="_BVS01">#REF!</definedName>
    <definedName name="_BVS02">#REF!</definedName>
    <definedName name="_BVS99">#REF!</definedName>
    <definedName name="_ccVersion">1.41</definedName>
    <definedName name="_DBS50" localSheetId="5">#REF!</definedName>
    <definedName name="_DBS50">#REF!</definedName>
    <definedName name="_DEP93">#REF!</definedName>
    <definedName name="_DEP94">#REF!</definedName>
    <definedName name="_DEP95">#REF!</definedName>
    <definedName name="_DEP96">#REF!</definedName>
    <definedName name="_DEP97">#REF!</definedName>
    <definedName name="_DIV01">#REF!</definedName>
    <definedName name="_DIV86">#REF!</definedName>
    <definedName name="_DIV87">#REF!</definedName>
    <definedName name="_DIV88">#REF!</definedName>
    <definedName name="_DIV89">#REF!</definedName>
    <definedName name="_DIV90">#REF!</definedName>
    <definedName name="_DIV91">#REF!</definedName>
    <definedName name="_DIV92">#REF!</definedName>
    <definedName name="_DIV93">#REF!</definedName>
    <definedName name="_DIV94">#REF!</definedName>
    <definedName name="_DIV95">#REF!</definedName>
    <definedName name="_dps01">#REF!</definedName>
    <definedName name="_DPS02">#REF!</definedName>
    <definedName name="_DPS93">#REF!</definedName>
    <definedName name="_dps94">#REF!</definedName>
    <definedName name="_dps95">#REF!</definedName>
    <definedName name="_dps96">#REF!</definedName>
    <definedName name="_dps97">#REF!</definedName>
    <definedName name="_dps98">#REF!</definedName>
    <definedName name="_dps99">#REF!</definedName>
    <definedName name="_EPS01">#REF!</definedName>
    <definedName name="_EPS02">#REF!</definedName>
    <definedName name="_EPS1">#REF!</definedName>
    <definedName name="_EPS2">#REF!</definedName>
    <definedName name="_EPS86">#REF!</definedName>
    <definedName name="_EPS87">#REF!</definedName>
    <definedName name="_EPS88">#REF!</definedName>
    <definedName name="_EPS89">#REF!</definedName>
    <definedName name="_EPS90">#REF!</definedName>
    <definedName name="_EPS91" localSheetId="9">#REF!</definedName>
    <definedName name="_eps91" localSheetId="5">#REF!</definedName>
    <definedName name="_EPS91" localSheetId="14">#REF!</definedName>
    <definedName name="_eps91">#REF!</definedName>
    <definedName name="_EPS92" localSheetId="9">#REF!</definedName>
    <definedName name="_eps92" localSheetId="5">#REF!</definedName>
    <definedName name="_EPS92" localSheetId="14">#REF!</definedName>
    <definedName name="_eps92">#REF!</definedName>
    <definedName name="_EPS93" localSheetId="9">#REF!</definedName>
    <definedName name="_EPS93" localSheetId="14">#REF!</definedName>
    <definedName name="_eps93">#REF!</definedName>
    <definedName name="_EPS94" localSheetId="9">#REF!</definedName>
    <definedName name="_eps94">#REF!</definedName>
    <definedName name="_EPS95" localSheetId="9">#REF!</definedName>
    <definedName name="_eps95">#REF!</definedName>
    <definedName name="_EPS96" localSheetId="9">#REF!</definedName>
    <definedName name="_eps96">#REF!</definedName>
    <definedName name="_EPS97" localSheetId="9">#REF!</definedName>
    <definedName name="_eps97">#REF!</definedName>
    <definedName name="_EPS98">#REF!</definedName>
    <definedName name="_EPS99">#REF!</definedName>
    <definedName name="_FYEnd" localSheetId="1">#REF!</definedName>
    <definedName name="_FYEnd">#REF!</definedName>
    <definedName name="_gop01">#REF!</definedName>
    <definedName name="_gop99">#REF!</definedName>
    <definedName name="_GOTO_EZ1_">#REF!</definedName>
    <definedName name="_HJAppendixVersion">2</definedName>
    <definedName name="_int91" localSheetId="5">#REF!</definedName>
    <definedName name="_int91">#REF!</definedName>
    <definedName name="_int92" localSheetId="5">#REF!</definedName>
    <definedName name="_int92">#REF!</definedName>
    <definedName name="_int93" localSheetId="5">#REF!</definedName>
    <definedName name="_int93">#REF!</definedName>
    <definedName name="_int94">#REF!</definedName>
    <definedName name="_int95">#REF!</definedName>
    <definedName name="_int96">#REF!</definedName>
    <definedName name="_int97">#REF!</definedName>
    <definedName name="_kd01">#REF!</definedName>
    <definedName name="_kd02">#REF!</definedName>
    <definedName name="_kd03">#REF!</definedName>
    <definedName name="_kd04">#REF!</definedName>
    <definedName name="_kd05">#REF!</definedName>
    <definedName name="_kd06">#REF!</definedName>
    <definedName name="_kd07">#REF!</definedName>
    <definedName name="_kd08">#REF!</definedName>
    <definedName name="_kd09">#REF!</definedName>
    <definedName name="_kd10">#REF!</definedName>
    <definedName name="_kd11">#REF!</definedName>
    <definedName name="_kd12">#REF!</definedName>
    <definedName name="_kd13">#REF!</definedName>
    <definedName name="_kd14">#REF!</definedName>
    <definedName name="_kd15">#REF!</definedName>
    <definedName name="_kd16">#REF!</definedName>
    <definedName name="_kd17">#REF!</definedName>
    <definedName name="_kd18">#REF!</definedName>
    <definedName name="_kd19">#REF!</definedName>
    <definedName name="_kd20">#REF!</definedName>
    <definedName name="_kd21">#REF!</definedName>
    <definedName name="_kd22">#REF!</definedName>
    <definedName name="_kd23">#REF!</definedName>
    <definedName name="_kd24">#REF!</definedName>
    <definedName name="_kd25">#REF!</definedName>
    <definedName name="_mi01">#REF!</definedName>
    <definedName name="_mi99">#REF!</definedName>
    <definedName name="_mkt2" localSheetId="1">#REF!</definedName>
    <definedName name="_mkt2" localSheetId="14">#REF!</definedName>
    <definedName name="_mkt2">#REF!</definedName>
    <definedName name="_net91" localSheetId="1">#REF!</definedName>
    <definedName name="_net91">#REF!</definedName>
    <definedName name="_net92" localSheetId="1">#REF!</definedName>
    <definedName name="_net92">#REF!</definedName>
    <definedName name="_net93" localSheetId="1">#REF!</definedName>
    <definedName name="_net93">#REF!</definedName>
    <definedName name="_net94">#REF!</definedName>
    <definedName name="_net95">#REF!</definedName>
    <definedName name="_net96">#REF!</definedName>
    <definedName name="_net97">#REF!</definedName>
    <definedName name="_NI88">#REF!</definedName>
    <definedName name="_NI89">#REF!</definedName>
    <definedName name="_NI90">#REF!</definedName>
    <definedName name="_NI91">#REF!</definedName>
    <definedName name="_NI92">#REF!</definedName>
    <definedName name="_NI93">#REF!</definedName>
    <definedName name="_NI94">#REF!</definedName>
    <definedName name="_NI95">#REF!</definedName>
    <definedName name="_nim96">#REF!</definedName>
    <definedName name="_NP01">#REF!</definedName>
    <definedName name="_NP86">#REF!</definedName>
    <definedName name="_NP87">#REF!</definedName>
    <definedName name="_NP88">#REF!</definedName>
    <definedName name="_NP89">#REF!</definedName>
    <definedName name="_NP90">#REF!</definedName>
    <definedName name="_NP91">#REF!</definedName>
    <definedName name="_NP92">#REF!</definedName>
    <definedName name="_NP93">#REF!</definedName>
    <definedName name="_NP94">#REF!</definedName>
    <definedName name="_NP95">#REF!</definedName>
    <definedName name="_NS01">#REF!</definedName>
    <definedName name="_NS86">#REF!</definedName>
    <definedName name="_NS87">#REF!</definedName>
    <definedName name="_NS88">#REF!</definedName>
    <definedName name="_NS89">#REF!</definedName>
    <definedName name="_NS90">#REF!</definedName>
    <definedName name="_NS91">#REF!</definedName>
    <definedName name="_NS92">#REF!</definedName>
    <definedName name="_NS93">#REF!</definedName>
    <definedName name="_NS94">#REF!</definedName>
    <definedName name="_NS95">#REF!</definedName>
    <definedName name="_Order1" hidden="1">255</definedName>
    <definedName name="_Order2" hidden="1">255</definedName>
    <definedName name="_pc01">#REF!</definedName>
    <definedName name="_pc02">#REF!</definedName>
    <definedName name="_pc03">#REF!</definedName>
    <definedName name="_pc04">#REF!</definedName>
    <definedName name="_PL1">#REF!</definedName>
    <definedName name="_pr01">#REF!</definedName>
    <definedName name="_pr02">#REF!</definedName>
    <definedName name="_pr03">#REF!</definedName>
    <definedName name="_pr04">#REF!</definedName>
    <definedName name="_pr05">#REF!</definedName>
    <definedName name="_pri93">#REF!</definedName>
    <definedName name="_pri94">#REF!</definedName>
    <definedName name="_pri95">#REF!</definedName>
    <definedName name="_pri96">#REF!</definedName>
    <definedName name="_pri97">#REF!</definedName>
    <definedName name="_pro2" localSheetId="1">#REF!</definedName>
    <definedName name="_pro2" localSheetId="14">#REF!</definedName>
    <definedName name="_pro2">#REF!</definedName>
    <definedName name="_ptp91" localSheetId="1">#REF!</definedName>
    <definedName name="_ptp91">#REF!</definedName>
    <definedName name="_ptp92" localSheetId="1">#REF!</definedName>
    <definedName name="_ptp92">#REF!</definedName>
    <definedName name="_ptp93" localSheetId="1">#REF!</definedName>
    <definedName name="_ptp93">#REF!</definedName>
    <definedName name="_ptp94">#REF!</definedName>
    <definedName name="_ptp95">#REF!</definedName>
    <definedName name="_ptp96">#REF!</definedName>
    <definedName name="_ptp97">#REF!</definedName>
    <definedName name="_Regression_Int" hidden="1">1</definedName>
    <definedName name="_REV89">#REF!</definedName>
    <definedName name="_REV90">#REF!</definedName>
    <definedName name="_REV91">#REF!</definedName>
    <definedName name="_REV92">#REF!</definedName>
    <definedName name="_REV93">#REF!</definedName>
    <definedName name="_REV94">#REF!</definedName>
    <definedName name="_REV95">#REF!</definedName>
    <definedName name="_REV96">#REF!</definedName>
    <definedName name="_REV97">#REF!</definedName>
    <definedName name="_REV98">#REF!</definedName>
    <definedName name="_roe97">#REF!</definedName>
    <definedName name="_roe98">#REF!</definedName>
    <definedName name="_Scenario_new_change" localSheetId="1" hidden="1">#REF!</definedName>
    <definedName name="_Scenario_new_change" localSheetId="14" hidden="1">#REF!</definedName>
    <definedName name="_Scenario_new_change" hidden="1">#REF!</definedName>
    <definedName name="_scenchg_count" hidden="1">1</definedName>
    <definedName name="_scenchg1" localSheetId="1" hidden="1">#REF!</definedName>
    <definedName name="_scenchg1" localSheetId="14" hidden="1">#REF!</definedName>
    <definedName name="_scenchg1" hidden="1">#REF!</definedName>
    <definedName name="_SE88">#REF!</definedName>
    <definedName name="_SE89">#REF!</definedName>
    <definedName name="_SE90">#REF!</definedName>
    <definedName name="_SE91">#REF!</definedName>
    <definedName name="_SE92">#REF!</definedName>
    <definedName name="_SE93">#REF!</definedName>
    <definedName name="_SE94">#REF!</definedName>
    <definedName name="_SE95">#REF!</definedName>
    <definedName name="_sp2" localSheetId="1">#REF!</definedName>
    <definedName name="_sp2" localSheetId="14">#REF!</definedName>
    <definedName name="_sp2">#REF!</definedName>
    <definedName name="_st2" localSheetId="1">#REF!</definedName>
    <definedName name="_st2" localSheetId="14">#REF!</definedName>
    <definedName name="_st2">#REF!</definedName>
    <definedName name="_sum2" localSheetId="1">#REF!</definedName>
    <definedName name="_sum2">#REF!</definedName>
    <definedName name="_TA88">#REF!</definedName>
    <definedName name="_TA89">#REF!</definedName>
    <definedName name="_TA90">#REF!</definedName>
    <definedName name="_TA91">#REF!</definedName>
    <definedName name="_TA92">#REF!</definedName>
    <definedName name="_TA93">#REF!</definedName>
    <definedName name="_TA94">#REF!</definedName>
    <definedName name="_TA95">#REF!</definedName>
    <definedName name="_tax01">#REF!</definedName>
    <definedName name="_tax91" localSheetId="1">#REF!</definedName>
    <definedName name="_tax91">#REF!</definedName>
    <definedName name="_tax92" localSheetId="1">#REF!</definedName>
    <definedName name="_tax92">#REF!</definedName>
    <definedName name="_tax93" localSheetId="1">#REF!</definedName>
    <definedName name="_tax93">#REF!</definedName>
    <definedName name="_tax94">#REF!</definedName>
    <definedName name="_tax95">#REF!</definedName>
    <definedName name="_tax96">#REF!</definedName>
    <definedName name="_tax97">#REF!</definedName>
    <definedName name="_tax99">#REF!</definedName>
    <definedName name="_to91" localSheetId="1">#REF!</definedName>
    <definedName name="_to91">#REF!</definedName>
    <definedName name="_to92" localSheetId="1">#REF!</definedName>
    <definedName name="_to92">#REF!</definedName>
    <definedName name="_to93" localSheetId="1">#REF!</definedName>
    <definedName name="_to93">#REF!</definedName>
    <definedName name="_to94">#REF!</definedName>
    <definedName name="_to95">#REF!</definedName>
    <definedName name="_to96">#REF!</definedName>
    <definedName name="_to97">#REF!</definedName>
    <definedName name="_vol93">#REF!</definedName>
    <definedName name="_vol94">#REF!</definedName>
    <definedName name="_vol95">#REF!</definedName>
    <definedName name="_vol96">#REF!</definedName>
    <definedName name="_vol97">#REF!</definedName>
    <definedName name="_WGT1">#REF!</definedName>
    <definedName name="_WGT2">#REF!</definedName>
    <definedName name="_WGT3">#REF!</definedName>
    <definedName name="_WGT4">#REF!</definedName>
    <definedName name="_WGT5">#REF!</definedName>
    <definedName name="_WGT6">#REF!</definedName>
    <definedName name="_ye91" localSheetId="1">#REF!</definedName>
    <definedName name="_ye91">#REF!</definedName>
    <definedName name="_ye92" localSheetId="1">#REF!</definedName>
    <definedName name="_ye92">#REF!</definedName>
    <definedName name="_ye93" localSheetId="1">#REF!</definedName>
    <definedName name="_ye93">#REF!</definedName>
    <definedName name="_ye94">#REF!</definedName>
    <definedName name="_ye95">#REF!</definedName>
    <definedName name="_ye96">#REF!</definedName>
    <definedName name="_ye97">#REF!</definedName>
    <definedName name="_Yr1">#REF!</definedName>
    <definedName name="_Yr10">#REF!</definedName>
    <definedName name="_Yr11">#REF!</definedName>
    <definedName name="_Yr12">#REF!</definedName>
    <definedName name="_Yr13">#REF!</definedName>
    <definedName name="_Yr14">#REF!</definedName>
    <definedName name="_Yr15">#REF!</definedName>
    <definedName name="_Yr16">#REF!</definedName>
    <definedName name="_Yr17">#REF!</definedName>
    <definedName name="_Yr18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>#REF!</definedName>
    <definedName name="A_ALL_002570.SZ">#REF!</definedName>
    <definedName name="A_ALL_002891.SZ">#REF!</definedName>
    <definedName name="A_ALL_600054.SS">#REF!</definedName>
    <definedName name="A_ALL_600887.SS" localSheetId="1">#REF!</definedName>
    <definedName name="A_ALL_600887.SS">#REF!</definedName>
    <definedName name="A_ALL_603288.SS">#REF!</definedName>
    <definedName name="A_ALL_605499.SS">#REF!</definedName>
    <definedName name="A_ALL_KEYWORDS_TYPE_Breakdown_EQTY_200008062" localSheetId="1">#REF!</definedName>
    <definedName name="A_ALL_KEYWORDS_TYPE_Breakdown_EQTY_200008062">#REF!</definedName>
    <definedName name="A_ALL_KEYWORDS_TYPE_Breakdown_EQTY_200012577" localSheetId="1">#REF!</definedName>
    <definedName name="A_ALL_KEYWORDS_TYPE_Breakdown_EQTY_200012577">#REF!</definedName>
    <definedName name="A_ALL_KEYWORDS_TYPE_Breakdown_EQTY_200015373" localSheetId="1">#REF!</definedName>
    <definedName name="A_ALL_KEYWORDS_TYPE_Breakdown_EQTY_200015373">#REF!</definedName>
    <definedName name="A_ALL_KEYWORDS_TYPE_ScalarContributed_EQTY_200008062" localSheetId="1">#REF!,#REF!</definedName>
    <definedName name="A_ALL_KEYWORDS_TYPE_ScalarContributed_EQTY_200008062">#REF!,#REF!</definedName>
    <definedName name="A_ALL_KEYWORDS_TYPE_ScalarContributed_EQTY_200011454">#REF!,#REF!</definedName>
    <definedName name="A_ALL_KEYWORDS_TYPE_ScalarContributed_EQTY_200012577" localSheetId="1">#REF!,#REF!</definedName>
    <definedName name="A_ALL_KEYWORDS_TYPE_ScalarContributed_EQTY_200012577">#REF!,#REF!</definedName>
    <definedName name="A_ALL_KEYWORDS_TYPE_ScalarContributed_EQTY_200014158">#REF!,#REF!</definedName>
    <definedName name="A_ALL_KEYWORDS_TYPE_ScalarContributed_EQTY_200015373" localSheetId="1">#REF!,#REF!</definedName>
    <definedName name="A_ALL_KEYWORDS_TYPE_ScalarContributed_EQTY_200015373">#REF!,#REF!</definedName>
    <definedName name="A_ALL_KEYWORDS_TYPE_ScalarContributed_EQTY_200015981">#REF!,#REF!</definedName>
    <definedName name="A_ALL_KEYWORDS_TYPE_ScalarContributed_ISSR_208010849">#REF!,#REF!</definedName>
    <definedName name="A_ALL_KEYWORDS_TYPE_ScalarReference_EQTY_200008062" localSheetId="1">#REF!</definedName>
    <definedName name="A_ALL_KEYWORDS_TYPE_ScalarReference_EQTY_200008062">#REF!</definedName>
    <definedName name="A_ALL_KEYWORDS_TYPE_ScalarReference_EQTY_200012577" localSheetId="1">#REF!</definedName>
    <definedName name="A_ALL_KEYWORDS_TYPE_ScalarReference_EQTY_200012577">#REF!</definedName>
    <definedName name="A_ALL_KEYWORDS_TYPE_ScalarReference_EQTY_200015373" localSheetId="1">#REF!</definedName>
    <definedName name="A_ALL_KEYWORDS_TYPE_ScalarReference_EQTY_200015373">#REF!</definedName>
    <definedName name="A_ALL_KEYWORDS_TYPE_ScalarReference_EQTY_200015981">#REF!</definedName>
    <definedName name="A_ALL_KEYWORDS_TYPE_ScalarReference_ISSR_208006264" localSheetId="1">#REF!</definedName>
    <definedName name="A_ALL_KEYWORDS_TYPE_ScalarReference_ISSR_208006264">#REF!</definedName>
    <definedName name="A_ALL_KEYWORDS_TYPE_ScalarReference_ISSR_208009569" localSheetId="1">#REF!</definedName>
    <definedName name="A_ALL_KEYWORDS_TYPE_ScalarReference_ISSR_208009569">#REF!</definedName>
    <definedName name="A_ALL_KEYWORDS_TYPE_ScalarReference_ISSR_208012915" localSheetId="1">#REF!</definedName>
    <definedName name="A_ALL_KEYWORDS_TYPE_ScalarReference_ISSR_208012915">#REF!</definedName>
    <definedName name="A_ALL_KEYWORDS_TYPE_Vector_EQTY_200008062" localSheetId="1">#REF!,#REF!,#REF!,#REF!,#REF!</definedName>
    <definedName name="A_ALL_KEYWORDS_TYPE_Vector_EQTY_200008062">#REF!,#REF!,#REF!,#REF!,#REF!</definedName>
    <definedName name="A_ALL_KEYWORDS_TYPE_Vector_EQTY_200011454">#REF!,#REF!,#REF!,#REF!,#REF!</definedName>
    <definedName name="A_ALL_KEYWORDS_TYPE_Vector_EQTY_200012577" localSheetId="1">#REF!,#REF!,#REF!,#REF!,#REF!</definedName>
    <definedName name="A_ALL_KEYWORDS_TYPE_Vector_EQTY_200012577">#REF!,#REF!,#REF!,#REF!,#REF!</definedName>
    <definedName name="A_ALL_KEYWORDS_TYPE_Vector_EQTY_200014158">#REF!,#REF!,#REF!,#REF!,#REF!</definedName>
    <definedName name="A_ALL_KEYWORDS_TYPE_Vector_EQTY_200015373" localSheetId="1">#REF!,#REF!,#REF!,#REF!,#REF!</definedName>
    <definedName name="A_ALL_KEYWORDS_TYPE_Vector_EQTY_200015373">#REF!,#REF!,#REF!,#REF!,#REF!</definedName>
    <definedName name="A_ALL_KEYWORDS_TYPE_Vector_EQTY_200015981">#REF!,#REF!,#REF!,#REF!,#REF!</definedName>
    <definedName name="A_ALL_KEYWORDS_TYPE_Vector_EQTY_200016726">#REF!,#REF!,#REF!,#REF!,#REF!</definedName>
    <definedName name="A_ALL_KEYWORDS_TYPE_Vector_EQTY_200016740" localSheetId="1">#REF!,#REF!,#REF!,#REF!,#REF!</definedName>
    <definedName name="A_ALL_KEYWORDS_TYPE_Vector_EQTY_200019345" localSheetId="1">#REF!,#REF!,#REF!,#REF!,#REF!</definedName>
    <definedName name="A_ALL_KEYWORDS_TYPE_Vector_EQTY_200019345">#REF!,#REF!,#REF!,#REF!,#REF!</definedName>
    <definedName name="A_ALL_KEYWORDS_TYPE_Vector_ISSR_208006264" localSheetId="1">#REF!,#REF!,#REF!,#REF!,#REF!,#REF!,#REF!,#REF!,#REF!,#REF!,#REF!,#REF!,#REF!,#REF!</definedName>
    <definedName name="A_ALL_KEYWORDS_TYPE_Vector_ISSR_208006264">#REF!,#REF!,#REF!,#REF!,#REF!,#REF!,#REF!,#REF!,#REF!,#REF!,#REF!,#REF!,#REF!,#REF!</definedName>
    <definedName name="A_ALL_KEYWORDS_TYPE_Vector_ISSR_208008749">#REF!,#REF!,#REF!,#REF!,#REF!,#REF!,#REF!,#REF!,#REF!,#REF!,#REF!,#REF!,#REF!,#REF!,#REF!</definedName>
    <definedName name="A_ALL_KEYWORDS_TYPE_Vector_ISSR_208009569" localSheetId="1">#REF!,#REF!,#REF!,#REF!,#REF!,#REF!,#REF!,#REF!,#REF!,#REF!,#REF!,#REF!,#REF!,#REF!</definedName>
    <definedName name="A_ALL_KEYWORDS_TYPE_Vector_ISSR_208009569">#REF!,#REF!,#REF!,#REF!,#REF!,#REF!,#REF!,#REF!,#REF!,#REF!,#REF!,#REF!,#REF!,#REF!</definedName>
    <definedName name="A_ALL_KEYWORDS_TYPE_Vector_ISSR_208010849">#REF!,#REF!,#REF!,#REF!,#REF!,#REF!,#REF!,#REF!,#REF!,#REF!,#REF!,#REF!,#REF!,#REF!,#REF!,#REF!,#REF!,#REF!,#REF!</definedName>
    <definedName name="A_ALL_KEYWORDS_TYPE_Vector_ISSR_208012915" localSheetId="1">#REF!,#REF!,#REF!,#REF!,#REF!,#REF!,#REF!,#REF!,#REF!,#REF!,#REF!,#REF!,#REF!,#REF!</definedName>
    <definedName name="A_ALL_KEYWORDS_TYPE_Vector_ISSR_208012915">#REF!,#REF!,#REF!,#REF!,#REF!,#REF!,#REF!,#REF!,#REF!,#REF!,#REF!,#REF!,#REF!,#REF!</definedName>
    <definedName name="A_ALL_KEYWORDS_TYPE_Vector_ISSR_208017703" localSheetId="1">#REF!,#REF!,#REF!,#REF!,#REF!,#REF!,#REF!,#REF!,#REF!,#REF!,#REF!,#REF!</definedName>
    <definedName name="A_ALL_KEYWORDS_TYPE_Vector_ISSR_208017703">#REF!,#REF!,#REF!,#REF!,#REF!,#REF!,#REF!,#REF!,#REF!,#REF!,#REF!,#REF!</definedName>
    <definedName name="A_ALL_PERIODS_002570.SZ" localSheetId="1">#REF!</definedName>
    <definedName name="A_ALL_PERIODS_002570.SZ">#REF!</definedName>
    <definedName name="A_ALL_PERIODS_600054.SS" localSheetId="1">#REF!</definedName>
    <definedName name="A_ALL_PERIODS_600054.SS">#REF!</definedName>
    <definedName name="A_ALL_PERIODS_600887.SS" localSheetId="1">#REF!</definedName>
    <definedName name="A_ALL_PERIODS_600887.SS">#REF!</definedName>
    <definedName name="A_ALL_SECTION_KEYWORDS_EQTY_200008062_1314" localSheetId="1">#REF!</definedName>
    <definedName name="A_ALL_SECTION_KEYWORDS_EQTY_200008062_1314">#REF!</definedName>
    <definedName name="A_ALL_SECTION_KEYWORDS_EQTY_200008062_131E" localSheetId="1">#REF!</definedName>
    <definedName name="A_ALL_SECTION_KEYWORDS_EQTY_200008062_131E">#REF!</definedName>
    <definedName name="A_ALL_SECTION_KEYWORDS_EQTY_200008062_131O" localSheetId="1">#REF!</definedName>
    <definedName name="A_ALL_SECTION_KEYWORDS_EQTY_200008062_131O">#REF!</definedName>
    <definedName name="A_ALL_SECTION_KEYWORDS_EQTY_200008062_13A">#REF!</definedName>
    <definedName name="A_ALL_SECTION_KEYWORDS_EQTY_200008062_13K">#REF!</definedName>
    <definedName name="A_ALL_SECTION_KEYWORDS_EQTY_200008062_13U">#REF!</definedName>
    <definedName name="A_ALL_SECTION_KEYWORDS_EQTY_200008062_13V">#REF!</definedName>
    <definedName name="A_ALL_SECTION_KEYWORDS_EQTY_200008062_Reference_Data">#REF!</definedName>
    <definedName name="A_ALL_SECTION_KEYWORDS_EQTY_200012577_1314">#REF!</definedName>
    <definedName name="A_ALL_SECTION_KEYWORDS_EQTY_200012577_131E">#REF!</definedName>
    <definedName name="A_ALL_SECTION_KEYWORDS_EQTY_200012577_131O">#REF!</definedName>
    <definedName name="A_ALL_SECTION_KEYWORDS_EQTY_200012577_13A">#REF!</definedName>
    <definedName name="A_ALL_SECTION_KEYWORDS_EQTY_200012577_13K">#REF!</definedName>
    <definedName name="A_ALL_SECTION_KEYWORDS_EQTY_200012577_13U">#REF!</definedName>
    <definedName name="A_ALL_SECTION_KEYWORDS_EQTY_200012577_13V">#REF!</definedName>
    <definedName name="A_ALL_SECTION_KEYWORDS_EQTY_200012577_Reference_Data">#REF!</definedName>
    <definedName name="A_ALL_SECTION_KEYWORDS_EQTY_200015373_1314">#REF!</definedName>
    <definedName name="A_ALL_SECTION_KEYWORDS_EQTY_200015373_131E">#REF!</definedName>
    <definedName name="A_ALL_SECTION_KEYWORDS_EQTY_200015373_131O">#REF!</definedName>
    <definedName name="A_ALL_SECTION_KEYWORDS_EQTY_200015373_13A">#REF!</definedName>
    <definedName name="A_ALL_SECTION_KEYWORDS_EQTY_200015373_13K">#REF!</definedName>
    <definedName name="A_ALL_SECTION_KEYWORDS_EQTY_200015373_13U">#REF!</definedName>
    <definedName name="A_ALL_SECTION_KEYWORDS_EQTY_200015373_13V">#REF!</definedName>
    <definedName name="A_ALL_SECTION_KEYWORDS_EQTY_200015373_Reference_Data">#REF!</definedName>
    <definedName name="A_ALL_SECTION_KEYWORDS_EQTY_200015981_1314">#REF!</definedName>
    <definedName name="A_ALL_SECTION_KEYWORDS_EQTY_200015981_131E">#REF!</definedName>
    <definedName name="A_ALL_SECTION_KEYWORDS_EQTY_200015981_131O">#REF!</definedName>
    <definedName name="A_ALL_SECTION_KEYWORDS_EQTY_200015981_13A">#REF!</definedName>
    <definedName name="A_ALL_SECTION_KEYWORDS_EQTY_200015981_13K">#REF!</definedName>
    <definedName name="A_ALL_SECTION_KEYWORDS_EQTY_200015981_13U">#REF!</definedName>
    <definedName name="A_ALL_SECTION_KEYWORDS_EQTY_200015981_13V">#REF!</definedName>
    <definedName name="A_ALL_SECTION_KEYWORDS_EQTY_200015981_Reference_Data">#REF!</definedName>
    <definedName name="A_ALL_SECTION_KEYWORDS_ISSR_208006264_1314" localSheetId="1">#REF!</definedName>
    <definedName name="A_ALL_SECTION_KEYWORDS_ISSR_208006264_1314">#REF!</definedName>
    <definedName name="A_ALL_SECTION_KEYWORDS_ISSR_208006264_13168" localSheetId="1">#REF!</definedName>
    <definedName name="A_ALL_SECTION_KEYWORDS_ISSR_208006264_13168">#REF!</definedName>
    <definedName name="A_ALL_SECTION_KEYWORDS_ISSR_208006264_1316S" localSheetId="1">#REF!</definedName>
    <definedName name="A_ALL_SECTION_KEYWORDS_ISSR_208006264_1316S">#REF!</definedName>
    <definedName name="A_ALL_SECTION_KEYWORDS_ISSR_208006264_1316T">#REF!</definedName>
    <definedName name="A_ALL_SECTION_KEYWORDS_ISSR_208006264_1316U">#REF!</definedName>
    <definedName name="A_ALL_SECTION_KEYWORDS_ISSR_208006264_13171">#REF!</definedName>
    <definedName name="A_ALL_SECTION_KEYWORDS_ISSR_208006264_13172">#REF!</definedName>
    <definedName name="A_ALL_SECTION_KEYWORDS_ISSR_208006264_1319">#REF!</definedName>
    <definedName name="A_ALL_SECTION_KEYWORDS_ISSR_208006264_131E">#REF!</definedName>
    <definedName name="A_ALL_SECTION_KEYWORDS_ISSR_208006264_131J">#REF!</definedName>
    <definedName name="A_ALL_SECTION_KEYWORDS_ISSR_208006264_131O">#REF!</definedName>
    <definedName name="A_ALL_SECTION_KEYWORDS_ISSR_208006264_13U">#REF!</definedName>
    <definedName name="A_ALL_SECTION_KEYWORDS_ISSR_208006264_13V">#REF!</definedName>
    <definedName name="A_ALL_SECTION_KEYWORDS_ISSR_208006264_Reference_Data">#REF!</definedName>
    <definedName name="A_ALL_SECTION_KEYWORDS_ISSR_208009569_1314">#REF!</definedName>
    <definedName name="A_ALL_SECTION_KEYWORDS_ISSR_208009569_13168">#REF!</definedName>
    <definedName name="A_ALL_SECTION_KEYWORDS_ISSR_208009569_1316U">#REF!</definedName>
    <definedName name="A_ALL_SECTION_KEYWORDS_ISSR_208009569_1319">#REF!</definedName>
    <definedName name="A_ALL_SECTION_KEYWORDS_ISSR_208009569_131E">#REF!</definedName>
    <definedName name="A_ALL_SECTION_KEYWORDS_ISSR_208009569_131J">#REF!</definedName>
    <definedName name="A_ALL_SECTION_KEYWORDS_ISSR_208009569_131O">#REF!</definedName>
    <definedName name="A_ALL_SECTION_KEYWORDS_ISSR_208009569_13U">#REF!</definedName>
    <definedName name="A_ALL_SECTION_KEYWORDS_ISSR_208009569_13V">#REF!</definedName>
    <definedName name="A_ALL_SECTION_KEYWORDS_ISSR_208009569_Reference_Data">#REF!</definedName>
    <definedName name="A_ALL_SECTION_KEYWORDS_ISSR_208010849_13V">#REF!,#REF!</definedName>
    <definedName name="A_ALL_SECTION_KEYWORDS_ISSR_208012915_1314">#REF!</definedName>
    <definedName name="A_ALL_SECTION_KEYWORDS_ISSR_208012915_13168">#REF!</definedName>
    <definedName name="A_ALL_SECTION_KEYWORDS_ISSR_208012915_1316S">#REF!</definedName>
    <definedName name="A_ALL_SECTION_KEYWORDS_ISSR_208012915_1316T">#REF!</definedName>
    <definedName name="A_ALL_SECTION_KEYWORDS_ISSR_208012915_1316U">#REF!</definedName>
    <definedName name="A_ALL_SECTION_KEYWORDS_ISSR_208012915_13171">#REF!</definedName>
    <definedName name="A_ALL_SECTION_KEYWORDS_ISSR_208012915_13172">#REF!</definedName>
    <definedName name="A_ALL_SECTION_KEYWORDS_ISSR_208012915_1319">#REF!</definedName>
    <definedName name="A_ALL_SECTION_KEYWORDS_ISSR_208012915_131E">#REF!</definedName>
    <definedName name="A_ALL_SECTION_KEYWORDS_ISSR_208012915_131J">#REF!</definedName>
    <definedName name="A_ALL_SECTION_KEYWORDS_ISSR_208012915_131O">#REF!</definedName>
    <definedName name="A_ALL_SECTION_KEYWORDS_ISSR_208012915_13U">#REF!</definedName>
    <definedName name="A_ALL_SECTION_KEYWORDS_ISSR_208012915_13V">#REF!</definedName>
    <definedName name="A_ALL_SECTION_KEYWORDS_ISSR_208012915_Reference_Data">#REF!</definedName>
    <definedName name="A_ALL_SECTION_KEYWORDS_ISSR_208017703_136E" localSheetId="1">#REF!,#REF!</definedName>
    <definedName name="A_ALL_SECTION_KEYWORDS_ISSR_208017703_136E">#REF!,#REF!</definedName>
    <definedName name="A_ALL_SECTION_KEYWORDS_ISSR_208017703_136J" localSheetId="1">#REF!,#REF!</definedName>
    <definedName name="A_ALL_SECTION_KEYWORDS_ISSR_208017703_136J">#REF!,#REF!</definedName>
    <definedName name="A_ALL_SECTIONS_EQTY_200008062" localSheetId="1">#REF!,#REF!,#REF!,#REF!,#REF!,#REF!,#REF!,#REF!</definedName>
    <definedName name="A_ALL_SECTIONS_EQTY_200008062">#REF!,#REF!,#REF!,#REF!,#REF!,#REF!,#REF!,#REF!</definedName>
    <definedName name="A_ALL_SECTIONS_EQTY_200011454">#REF!,#REF!,#REF!,#REF!,#REF!,#REF!,#REF!,#REF!</definedName>
    <definedName name="A_ALL_SECTIONS_EQTY_200012577" localSheetId="1">#REF!,#REF!,#REF!,#REF!,#REF!,#REF!,#REF!,#REF!</definedName>
    <definedName name="A_ALL_SECTIONS_EQTY_200012577">#REF!,#REF!,#REF!,#REF!,#REF!,#REF!,#REF!,#REF!</definedName>
    <definedName name="A_ALL_SECTIONS_EQTY_200015373" localSheetId="1">#REF!,#REF!,#REF!,#REF!,#REF!,#REF!,#REF!,#REF!</definedName>
    <definedName name="A_ALL_SECTIONS_EQTY_200015373">#REF!,#REF!,#REF!,#REF!,#REF!,#REF!,#REF!,#REF!</definedName>
    <definedName name="A_ALL_SECTIONS_EQTY_200015981">#REF!,#REF!,#REF!,#REF!,#REF!,#REF!,#REF!,#REF!</definedName>
    <definedName name="A_ALL_SECTIONS_EQTY_200019345" localSheetId="1">#REF!,#REF!,#REF!,#REF!,#REF!,#REF!,#REF!,#REF!</definedName>
    <definedName name="A_ALL_SECTIONS_EQTY_200019345">#REF!,#REF!,#REF!,#REF!,#REF!,#REF!,#REF!,#REF!</definedName>
    <definedName name="A_ALL_SECTIONS_ISSR_208006264" localSheetId="1">#REF!,#REF!,#REF!,#REF!,#REF!,#REF!,#REF!,#REF!,#REF!,#REF!,#REF!,#REF!,#REF!,#REF!</definedName>
    <definedName name="A_ALL_SECTIONS_ISSR_208006264">#REF!,#REF!,#REF!,#REF!,#REF!,#REF!,#REF!,#REF!,#REF!,#REF!,#REF!,#REF!,#REF!,#REF!</definedName>
    <definedName name="A_ALL_SECTIONS_ISSR_208008749">#REF!,#REF!,#REF!,#REF!,#REF!,#REF!,#REF!,#REF!,#REF!,#REF!,#REF!,#REF!,#REF!,#REF!,#REF!</definedName>
    <definedName name="A_ALL_SECTIONS_ISSR_208009569" localSheetId="1">#REF!,#REF!,#REF!,#REF!,#REF!,#REF!,#REF!,#REF!,#REF!,#REF!</definedName>
    <definedName name="A_ALL_SECTIONS_ISSR_208009569">#REF!,#REF!,#REF!,#REF!,#REF!,#REF!,#REF!,#REF!,#REF!,#REF!</definedName>
    <definedName name="A_ALL_SECTIONS_ISSR_208012915" localSheetId="1">#REF!,#REF!,#REF!,#REF!,#REF!,#REF!,#REF!,#REF!,#REF!,#REF!,#REF!,#REF!,#REF!,#REF!</definedName>
    <definedName name="A_ALL_SECTIONS_ISSR_208012915">#REF!,#REF!,#REF!,#REF!,#REF!,#REF!,#REF!,#REF!,#REF!,#REF!,#REF!,#REF!,#REF!,#REF!</definedName>
    <definedName name="A_CURRENCY_EQTY_200008062_PRI" localSheetId="1">#REF!</definedName>
    <definedName name="A_CURRENCY_EQTY_200008062_PRI">#REF!</definedName>
    <definedName name="A_CURRENCY_EQTY_200008062_PUB" localSheetId="1">#REF!</definedName>
    <definedName name="A_CURRENCY_EQTY_200008062_PUB">#REF!</definedName>
    <definedName name="A_CURRENCY_EQTY_200008062_REP" localSheetId="1">#REF!</definedName>
    <definedName name="A_CURRENCY_EQTY_200008062_REP">#REF!</definedName>
    <definedName name="A_CURRENCY_EQTY_200012577_PRI">#REF!</definedName>
    <definedName name="A_CURRENCY_EQTY_200012577_PUB">#REF!</definedName>
    <definedName name="A_CURRENCY_EQTY_200012577_REP">#REF!</definedName>
    <definedName name="A_CURRENCY_EQTY_200015373_PRI">#REF!</definedName>
    <definedName name="A_CURRENCY_EQTY_200015373_PUB">#REF!</definedName>
    <definedName name="A_CURRENCY_EQTY_200015373_REP">#REF!</definedName>
    <definedName name="A_CURRENCY_EQTY_200015981_PRI">#REF!</definedName>
    <definedName name="A_CURRENCY_EQTY_200015981_PUB">#REF!</definedName>
    <definedName name="A_CURRENCY_EQTY_200015981_REP">#REF!</definedName>
    <definedName name="A_CURRENCY_ISSR_208006264_REP" localSheetId="1">#REF!</definedName>
    <definedName name="A_CURRENCY_ISSR_208006264_REP">#REF!</definedName>
    <definedName name="A_CURRENCY_ISSR_208009569_REP" localSheetId="1">#REF!</definedName>
    <definedName name="A_CURRENCY_ISSR_208009569_REP">#REF!</definedName>
    <definedName name="A_CURRENCY_ISSR_208012915_REP" localSheetId="1">#REF!</definedName>
    <definedName name="A_CURRENCY_ISSR_208012915_REP">#REF!</definedName>
    <definedName name="A_ENTITY_DATA_EQTY_200008062" localSheetId="1">#REF!</definedName>
    <definedName name="A_ENTITY_DATA_EQTY_200008062">#REF!</definedName>
    <definedName name="A_ENTITY_DATA_EQTY_200012577" localSheetId="1">#REF!</definedName>
    <definedName name="A_ENTITY_DATA_EQTY_200012577">#REF!</definedName>
    <definedName name="A_ENTITY_DATA_EQTY_200015373" localSheetId="1">#REF!</definedName>
    <definedName name="A_ENTITY_DATA_EQTY_200015373">#REF!</definedName>
    <definedName name="A_ENTITY_DATA_EQTY_200015981">#REF!</definedName>
    <definedName name="A_ENTITY_DATA_ISSR_208006264" localSheetId="1">#REF!</definedName>
    <definedName name="A_ENTITY_DATA_ISSR_208006264">#REF!</definedName>
    <definedName name="A_ENTITY_DATA_ISSR_208009569" localSheetId="1">#REF!</definedName>
    <definedName name="A_ENTITY_DATA_ISSR_208009569">#REF!</definedName>
    <definedName name="A_ENTITY_DATA_ISSR_208012915" localSheetId="1">#REF!</definedName>
    <definedName name="A_ENTITY_DATA_ISSR_208012915">#REF!</definedName>
    <definedName name="A_KEYWORD_EQTY_200008062_ACT1" localSheetId="1">#REF!</definedName>
    <definedName name="A_KEYWORD_EQTY_200008062_ACT1">#REF!</definedName>
    <definedName name="A_KEYWORD_EQTY_200008062_ACT2" localSheetId="1">#REF!</definedName>
    <definedName name="A_KEYWORD_EQTY_200008062_ACT2">#REF!</definedName>
    <definedName name="A_KEYWORD_EQTY_200008062_AEJ_CONVICTION" localSheetId="1">#REF!</definedName>
    <definedName name="A_KEYWORD_EQTY_200008062_AEJ_CONVICTION">#REF!</definedName>
    <definedName name="A_KEYWORD_EQTY_200008062_AEJ_LIST">#REF!</definedName>
    <definedName name="A_KEYWORD_EQTY_200008062_BETA_ANALYST">#REF!</definedName>
    <definedName name="A_KEYWORD_EQTY_200008062_BVPS">#REF!</definedName>
    <definedName name="A_KEYWORD_EQTY_200008062_BVPS_PUB">#REF!</definedName>
    <definedName name="A_KEYWORD_EQTY_200008062_CATALYST1_DATE">#REF!</definedName>
    <definedName name="A_KEYWORD_EQTY_200008062_CATALYST1_EVENT">#REF!</definedName>
    <definedName name="A_KEYWORD_EQTY_200008062_CATALYST2_DATE">#REF!</definedName>
    <definedName name="A_KEYWORD_EQTY_200008062_CATALYST2_EVENT">#REF!</definedName>
    <definedName name="A_KEYWORD_EQTY_200008062_CATALYST3_DATE">#REF!</definedName>
    <definedName name="A_KEYWORD_EQTY_200008062_CATALYST3_EVENT">#REF!</definedName>
    <definedName name="A_KEYWORD_EQTY_200008062_CATALYST4_DATE">#REF!</definedName>
    <definedName name="A_KEYWORD_EQTY_200008062_CATALYST4_EVENT">#REF!</definedName>
    <definedName name="A_KEYWORD_EQTY_200008062_CATALYST5_DATE">#REF!</definedName>
    <definedName name="A_KEYWORD_EQTY_200008062_CATALYST5_EVENT">#REF!</definedName>
    <definedName name="A_KEYWORD_EQTY_200008062_CF_NI_PRE_PREF">#REF!</definedName>
    <definedName name="A_KEYWORD_EQTY_200008062_COMMON_DIV_PAID">#REF!</definedName>
    <definedName name="A_KEYWORD_EQTY_200008062_CURRENCY_ISO">#REF!</definedName>
    <definedName name="A_KEYWORD_EQTY_200008062_DILUTE_SHARES">#REF!</definedName>
    <definedName name="A_KEYWORD_EQTY_200008062_DPS">#REF!</definedName>
    <definedName name="A_KEYWORD_EQTY_200008062_DPS_PUB">#REF!</definedName>
    <definedName name="A_KEYWORD_EQTY_200008062_EBIT_PUB">#REF!</definedName>
    <definedName name="A_KEYWORD_EQTY_200008062_EBITDA_PUB">#REF!</definedName>
    <definedName name="A_KEYWORD_EQTY_200008062_EPS">#REF!</definedName>
    <definedName name="A_KEYWORD_EQTY_200008062_EPS_CONS_PUB">#REF!</definedName>
    <definedName name="A_KEYWORD_EQTY_200008062_EPS_FUL_DIL">#REF!</definedName>
    <definedName name="A_KEYWORD_EQTY_200008062_EPS_POST_BASIC">#REF!</definedName>
    <definedName name="A_KEYWORD_EQTY_200008062_EPS_PUB">#REF!</definedName>
    <definedName name="A_KEYWORD_EQTY_200008062_EQ_PUB">#REF!</definedName>
    <definedName name="A_KEYWORD_EQTY_200008062_EV_ADJ_PUB">#REF!</definedName>
    <definedName name="A_KEYWORD_EQTY_200008062_FOREIGN_HOLDNG">#REF!</definedName>
    <definedName name="A_KEYWORD_EQTY_200008062_FREE_FLOAT">#REF!</definedName>
    <definedName name="A_KEYWORD_EQTY_200008062_FULLY_DIL_EPS">#REF!</definedName>
    <definedName name="A_KEYWORD_EQTY_200008062_INC_MINORITY">#REF!</definedName>
    <definedName name="A_KEYWORD_EQTY_200008062_Interim_Type">#REF!</definedName>
    <definedName name="A_KEYWORD_EQTY_200008062_LEGAL_RATING">#REF!</definedName>
    <definedName name="A_KEYWORD_EQTY_200008062_MARGIN_TAX_RATE">#REF!</definedName>
    <definedName name="A_KEYWORD_EQTY_200008062_MKT_EQ_RISK_PREM">#REF!</definedName>
    <definedName name="A_KEYWORD_EQTY_200008062_NET_DEBT_PUB">#REF!</definedName>
    <definedName name="A_KEYWORD_EQTY_200008062_NET_EARNING">#REF!</definedName>
    <definedName name="A_KEYWORD_EQTY_200008062_NET_INC">#REF!</definedName>
    <definedName name="A_KEYWORD_EQTY_200008062_NI_CONS">#REF!</definedName>
    <definedName name="A_KEYWORD_EQTY_200008062_NI_PRE_PREF">#REF!</definedName>
    <definedName name="A_KEYWORD_EQTY_200008062_NI_PUB">#REF!</definedName>
    <definedName name="A_KEYWORD_EQTY_200008062_NON_OP_ADD">#REF!</definedName>
    <definedName name="A_KEYWORD_EQTY_200008062_NUM_SH">#REF!</definedName>
    <definedName name="A_KEYWORD_EQTY_200008062_PREF_DIV">#REF!</definedName>
    <definedName name="A_KEYWORD_EQTY_200008062_PRI_TARG_METH">#REF!</definedName>
    <definedName name="A_KEYWORD_EQTY_200008062_PRI_TARG_MULT">#REF!</definedName>
    <definedName name="A_KEYWORD_EQTY_200008062_PRICE_CURRENCY_ISO">#REF!</definedName>
    <definedName name="A_KEYWORD_EQTY_200008062_PROV_INC_TAX">#REF!</definedName>
    <definedName name="A_KEYWORD_EQTY_200008062_PTP_PUB">#REF!</definedName>
    <definedName name="A_KEYWORD_EQTY_200008062_PUB_CURRENCY_ISO">#REF!</definedName>
    <definedName name="A_KEYWORD_EQTY_200008062_REVS_PUB">#REF!</definedName>
    <definedName name="A_KEYWORD_EQTY_200008062_RISK_FR_RATE">#REF!</definedName>
    <definedName name="A_KEYWORD_EQTY_200008062_Security_Name">#REF!</definedName>
    <definedName name="A_KEYWORD_EQTY_200008062_SH">#REF!</definedName>
    <definedName name="A_KEYWORD_EQTY_200008062_TARGET_PRICE">#REF!</definedName>
    <definedName name="A_KEYWORD_EQTY_200008062_TAX_EXC">#REF!</definedName>
    <definedName name="A_KEYWORD_EQTY_200008062_Ticker">#REF!</definedName>
    <definedName name="A_KEYWORD_EQTY_200008062_TP_PERIOD">#REF!</definedName>
    <definedName name="A_KEYWORD_EQTY_200012577_ACT1">#REF!</definedName>
    <definedName name="A_KEYWORD_EQTY_200012577_AEJ_CONVICTION">#REF!</definedName>
    <definedName name="A_KEYWORD_EQTY_200012577_AEJ_LIST">#REF!</definedName>
    <definedName name="A_KEYWORD_EQTY_200012577_BETA_ANALYST">#REF!</definedName>
    <definedName name="A_KEYWORD_EQTY_200012577_BVPS">#REF!</definedName>
    <definedName name="A_KEYWORD_EQTY_200012577_BVPS_PUB">#REF!</definedName>
    <definedName name="A_KEYWORD_EQTY_200012577_CATALYST1_DATE">#REF!</definedName>
    <definedName name="A_KEYWORD_EQTY_200012577_CATALYST1_EVENT">#REF!</definedName>
    <definedName name="A_KEYWORD_EQTY_200012577_CATALYST2_DATE">#REF!</definedName>
    <definedName name="A_KEYWORD_EQTY_200012577_CATALYST2_EVENT">#REF!</definedName>
    <definedName name="A_KEYWORD_EQTY_200012577_CATALYST3_DATE">#REF!</definedName>
    <definedName name="A_KEYWORD_EQTY_200012577_CATALYST3_EVENT">#REF!</definedName>
    <definedName name="A_KEYWORD_EQTY_200012577_CATALYST4_DATE">#REF!</definedName>
    <definedName name="A_KEYWORD_EQTY_200012577_CATALYST4_EVENT">#REF!</definedName>
    <definedName name="A_KEYWORD_EQTY_200012577_CATALYST5_DATE">#REF!</definedName>
    <definedName name="A_KEYWORD_EQTY_200012577_CATALYST5_EVENT">#REF!</definedName>
    <definedName name="A_KEYWORD_EQTY_200012577_CF_NI_PRE_PREF">#REF!</definedName>
    <definedName name="A_KEYWORD_EQTY_200012577_COMMON_DIV_PAID">#REF!</definedName>
    <definedName name="A_KEYWORD_EQTY_200012577_CURRENCY_ISO">#REF!</definedName>
    <definedName name="A_KEYWORD_EQTY_200012577_DILUTE_SHARES">#REF!</definedName>
    <definedName name="A_KEYWORD_EQTY_200012577_DPS">#REF!</definedName>
    <definedName name="A_KEYWORD_EQTY_200012577_DPS_PUB">#REF!</definedName>
    <definedName name="A_KEYWORD_EQTY_200012577_EBIT_PUB">#REF!</definedName>
    <definedName name="A_KEYWORD_EQTY_200012577_EBITDA_PUB">#REF!</definedName>
    <definedName name="A_KEYWORD_EQTY_200012577_EPS">#REF!</definedName>
    <definedName name="A_KEYWORD_EQTY_200012577_EPS_CONS_PUB">#REF!</definedName>
    <definedName name="A_KEYWORD_EQTY_200012577_EPS_FUL_DIL">#REF!</definedName>
    <definedName name="A_KEYWORD_EQTY_200012577_EPS_POST_BASIC">#REF!</definedName>
    <definedName name="A_KEYWORD_EQTY_200012577_EPS_PUB">#REF!</definedName>
    <definedName name="A_KEYWORD_EQTY_200012577_EQ_PUB">#REF!</definedName>
    <definedName name="A_KEYWORD_EQTY_200012577_EV_ADJ_PUB">#REF!</definedName>
    <definedName name="A_KEYWORD_EQTY_200012577_FOREIGN_HOLDNG">#REF!</definedName>
    <definedName name="A_KEYWORD_EQTY_200012577_FREE_FLOAT">#REF!</definedName>
    <definedName name="A_KEYWORD_EQTY_200012577_FULLY_DIL_EPS">#REF!</definedName>
    <definedName name="A_KEYWORD_EQTY_200012577_INC_MINORITY">#REF!</definedName>
    <definedName name="A_KEYWORD_EQTY_200012577_Interim_Type">#REF!</definedName>
    <definedName name="A_KEYWORD_EQTY_200012577_LEGAL_RATING">#REF!</definedName>
    <definedName name="A_KEYWORD_EQTY_200012577_MARGIN_TAX_RATE">#REF!</definedName>
    <definedName name="A_KEYWORD_EQTY_200012577_MKT_EQ_RISK_PREM">#REF!</definedName>
    <definedName name="A_KEYWORD_EQTY_200012577_NET_DEBT_PUB">#REF!</definedName>
    <definedName name="A_KEYWORD_EQTY_200012577_NET_EARNING">#REF!</definedName>
    <definedName name="A_KEYWORD_EQTY_200012577_NET_INC">#REF!</definedName>
    <definedName name="A_KEYWORD_EQTY_200012577_NI_CONS">#REF!</definedName>
    <definedName name="A_KEYWORD_EQTY_200012577_NI_PRE_PREF">#REF!</definedName>
    <definedName name="A_KEYWORD_EQTY_200012577_NI_PUB">#REF!</definedName>
    <definedName name="A_KEYWORD_EQTY_200012577_NON_OP_ADD">#REF!</definedName>
    <definedName name="A_KEYWORD_EQTY_200012577_NUM_SH">#REF!</definedName>
    <definedName name="A_KEYWORD_EQTY_200012577_PREF_DIV">#REF!</definedName>
    <definedName name="A_KEYWORD_EQTY_200012577_PRI_TARG_METH">#REF!</definedName>
    <definedName name="A_KEYWORD_EQTY_200012577_PRI_TARG_MULT">#REF!</definedName>
    <definedName name="A_KEYWORD_EQTY_200012577_PRICE_CURRENCY_ISO">#REF!</definedName>
    <definedName name="A_KEYWORD_EQTY_200012577_PROV_INC_TAX">#REF!</definedName>
    <definedName name="A_KEYWORD_EQTY_200012577_PTP_PUB">#REF!</definedName>
    <definedName name="A_KEYWORD_EQTY_200012577_PUB_CURRENCY_ISO">#REF!</definedName>
    <definedName name="A_KEYWORD_EQTY_200012577_REVS_PUB">#REF!</definedName>
    <definedName name="A_KEYWORD_EQTY_200012577_RISK_FR_RATE">#REF!</definedName>
    <definedName name="A_KEYWORD_EQTY_200012577_Security_Name">#REF!</definedName>
    <definedName name="A_KEYWORD_EQTY_200012577_SH">#REF!</definedName>
    <definedName name="A_KEYWORD_EQTY_200012577_TARGET_PRICE">#REF!</definedName>
    <definedName name="A_KEYWORD_EQTY_200012577_TAX_EXC">#REF!</definedName>
    <definedName name="A_KEYWORD_EQTY_200012577_Ticker">#REF!</definedName>
    <definedName name="A_KEYWORD_EQTY_200012577_TP_PERIOD">#REF!</definedName>
    <definedName name="A_KEYWORD_EQTY_200015373_ACT1">#REF!</definedName>
    <definedName name="A_KEYWORD_EQTY_200015373_AEJ_CONVICTION">#REF!</definedName>
    <definedName name="A_KEYWORD_EQTY_200015373_AEJ_LIST">#REF!</definedName>
    <definedName name="A_KEYWORD_EQTY_200015373_BETA_ANALYST">#REF!</definedName>
    <definedName name="A_KEYWORD_EQTY_200015373_BVPS">#REF!</definedName>
    <definedName name="A_KEYWORD_EQTY_200015373_BVPS_PUB">#REF!</definedName>
    <definedName name="A_KEYWORD_EQTY_200015373_CATALYST1_DATE">#REF!</definedName>
    <definedName name="A_KEYWORD_EQTY_200015373_CATALYST1_EVENT">#REF!</definedName>
    <definedName name="A_KEYWORD_EQTY_200015373_CATALYST2_DATE">#REF!</definedName>
    <definedName name="A_KEYWORD_EQTY_200015373_CATALYST2_EVENT">#REF!</definedName>
    <definedName name="A_KEYWORD_EQTY_200015373_CATALYST3_DATE">#REF!</definedName>
    <definedName name="A_KEYWORD_EQTY_200015373_CATALYST3_EVENT">#REF!</definedName>
    <definedName name="A_KEYWORD_EQTY_200015373_CATALYST4_DATE">#REF!</definedName>
    <definedName name="A_KEYWORD_EQTY_200015373_CATALYST4_EVENT">#REF!</definedName>
    <definedName name="A_KEYWORD_EQTY_200015373_CATALYST5_DATE">#REF!</definedName>
    <definedName name="A_KEYWORD_EQTY_200015373_CATALYST5_EVENT">#REF!</definedName>
    <definedName name="A_KEYWORD_EQTY_200015373_CF_NI_PRE_PREF">#REF!</definedName>
    <definedName name="A_KEYWORD_EQTY_200015373_COMMON_DIV_PAID">#REF!</definedName>
    <definedName name="A_KEYWORD_EQTY_200015373_CURRENCY_ISO">#REF!</definedName>
    <definedName name="A_KEYWORD_EQTY_200015373_DILUTE_SHARES">#REF!</definedName>
    <definedName name="A_KEYWORD_EQTY_200015373_DPS">#REF!</definedName>
    <definedName name="A_KEYWORD_EQTY_200015373_DPS_PUB">#REF!</definedName>
    <definedName name="A_KEYWORD_EQTY_200015373_EBIT_PUB">#REF!</definedName>
    <definedName name="A_KEYWORD_EQTY_200015373_EBITDA_PUB">#REF!</definedName>
    <definedName name="A_KEYWORD_EQTY_200015373_EPS">#REF!</definedName>
    <definedName name="A_KEYWORD_EQTY_200015373_EPS_CONS_PUB">#REF!</definedName>
    <definedName name="A_KEYWORD_EQTY_200015373_EPS_FUL_DIL">#REF!</definedName>
    <definedName name="A_KEYWORD_EQTY_200015373_EPS_POST_BASIC">#REF!</definedName>
    <definedName name="A_KEYWORD_EQTY_200015373_EPS_PUB">#REF!</definedName>
    <definedName name="A_KEYWORD_EQTY_200015373_EQ_PUB">#REF!</definedName>
    <definedName name="A_KEYWORD_EQTY_200015373_EV_ADJ_PUB">#REF!</definedName>
    <definedName name="A_KEYWORD_EQTY_200015373_FOREIGN_HOLDNG">#REF!</definedName>
    <definedName name="A_KEYWORD_EQTY_200015373_FREE_FLOAT">#REF!</definedName>
    <definedName name="A_KEYWORD_EQTY_200015373_FULLY_DIL_EPS">#REF!</definedName>
    <definedName name="A_KEYWORD_EQTY_200015373_INC_MINORITY">#REF!</definedName>
    <definedName name="A_KEYWORD_EQTY_200015373_Interim_Type">#REF!</definedName>
    <definedName name="A_KEYWORD_EQTY_200015373_LEGAL_RATING">#REF!</definedName>
    <definedName name="A_KEYWORD_EQTY_200015373_MARGIN_TAX_RATE">#REF!</definedName>
    <definedName name="A_KEYWORD_EQTY_200015373_MKT_EQ_RISK_PREM">#REF!</definedName>
    <definedName name="A_KEYWORD_EQTY_200015373_NET_DEBT_PUB">#REF!</definedName>
    <definedName name="A_KEYWORD_EQTY_200015373_NET_EARNING">#REF!</definedName>
    <definedName name="A_KEYWORD_EQTY_200015373_NET_INC">#REF!</definedName>
    <definedName name="A_KEYWORD_EQTY_200015373_NI_CONS">#REF!</definedName>
    <definedName name="A_KEYWORD_EQTY_200015373_NI_PRE_PREF">#REF!</definedName>
    <definedName name="A_KEYWORD_EQTY_200015373_NI_PUB">#REF!</definedName>
    <definedName name="A_KEYWORD_EQTY_200015373_NON_OP_ADD">#REF!</definedName>
    <definedName name="A_KEYWORD_EQTY_200015373_NUM_SH">#REF!</definedName>
    <definedName name="A_KEYWORD_EQTY_200015373_PREF_DIV">#REF!</definedName>
    <definedName name="A_KEYWORD_EQTY_200015373_PRI_TARG_METH">#REF!</definedName>
    <definedName name="A_KEYWORD_EQTY_200015373_PRI_TARG_MULT">#REF!</definedName>
    <definedName name="A_KEYWORD_EQTY_200015373_PRICE_CURRENCY_ISO">#REF!</definedName>
    <definedName name="A_KEYWORD_EQTY_200015373_PROV_INC_TAX">#REF!</definedName>
    <definedName name="A_KEYWORD_EQTY_200015373_PTP_PUB">#REF!</definedName>
    <definedName name="A_KEYWORD_EQTY_200015373_PUB_CURRENCY_ISO">#REF!</definedName>
    <definedName name="A_KEYWORD_EQTY_200015373_REVS_PUB">#REF!</definedName>
    <definedName name="A_KEYWORD_EQTY_200015373_RISK_FR_RATE">#REF!</definedName>
    <definedName name="A_KEYWORD_EQTY_200015373_Security_Name">#REF!</definedName>
    <definedName name="A_KEYWORD_EQTY_200015373_SH">#REF!</definedName>
    <definedName name="A_KEYWORD_EQTY_200015373_TARGET_PRICE">#REF!</definedName>
    <definedName name="A_KEYWORD_EQTY_200015373_TAX_EXC">#REF!</definedName>
    <definedName name="A_KEYWORD_EQTY_200015373_Ticker">#REF!</definedName>
    <definedName name="A_KEYWORD_EQTY_200015373_TP_PERIOD">#REF!</definedName>
    <definedName name="A_KEYWORD_EQTY_200015981_AEJ_CONVICTION">#REF!</definedName>
    <definedName name="A_KEYWORD_EQTY_200015981_AEJ_LIST">#REF!</definedName>
    <definedName name="A_KEYWORD_EQTY_200015981_BETA_ANALYST">#REF!</definedName>
    <definedName name="A_KEYWORD_EQTY_200015981_BVPS">#REF!</definedName>
    <definedName name="A_KEYWORD_EQTY_200015981_BVPS_PUB">#REF!</definedName>
    <definedName name="A_KEYWORD_EQTY_200015981_CATALYST1_DATE">#REF!</definedName>
    <definedName name="A_KEYWORD_EQTY_200015981_CATALYST1_EVENT">#REF!</definedName>
    <definedName name="A_KEYWORD_EQTY_200015981_CATALYST2_DATE">#REF!</definedName>
    <definedName name="A_KEYWORD_EQTY_200015981_CATALYST2_EVENT">#REF!</definedName>
    <definedName name="A_KEYWORD_EQTY_200015981_CATALYST3_DATE">#REF!</definedName>
    <definedName name="A_KEYWORD_EQTY_200015981_CATALYST3_EVENT">#REF!</definedName>
    <definedName name="A_KEYWORD_EQTY_200015981_CATALYST4_DATE">#REF!</definedName>
    <definedName name="A_KEYWORD_EQTY_200015981_CATALYST4_EVENT">#REF!</definedName>
    <definedName name="A_KEYWORD_EQTY_200015981_CATALYST5_DATE">#REF!</definedName>
    <definedName name="A_KEYWORD_EQTY_200015981_CATALYST5_EVENT">#REF!</definedName>
    <definedName name="A_KEYWORD_EQTY_200015981_CF_NI_PRE_PREF">#REF!</definedName>
    <definedName name="A_KEYWORD_EQTY_200015981_COMMON_DIV_PAID">#REF!</definedName>
    <definedName name="A_KEYWORD_EQTY_200015981_CURRENCY_ISO">#REF!</definedName>
    <definedName name="A_KEYWORD_EQTY_200015981_DILUTE_SHARES">#REF!</definedName>
    <definedName name="A_KEYWORD_EQTY_200015981_DPS">#REF!</definedName>
    <definedName name="A_KEYWORD_EQTY_200015981_DPS_PUB">#REF!</definedName>
    <definedName name="A_KEYWORD_EQTY_200015981_EBIT_PUB">#REF!</definedName>
    <definedName name="A_KEYWORD_EQTY_200015981_EBITDA_PUB">#REF!</definedName>
    <definedName name="A_KEYWORD_EQTY_200015981_EPS">#REF!</definedName>
    <definedName name="A_KEYWORD_EQTY_200015981_EPS_CONS_PUB">#REF!</definedName>
    <definedName name="A_KEYWORD_EQTY_200015981_EPS_FUL_DIL">#REF!</definedName>
    <definedName name="A_KEYWORD_EQTY_200015981_EPS_POST_BASIC">#REF!</definedName>
    <definedName name="A_KEYWORD_EQTY_200015981_EPS_PUB">#REF!</definedName>
    <definedName name="A_KEYWORD_EQTY_200015981_EQ_PUB">#REF!</definedName>
    <definedName name="A_KEYWORD_EQTY_200015981_EV_ADJ_PUB">#REF!</definedName>
    <definedName name="A_KEYWORD_EQTY_200015981_FOREIGN_HOLDNG">#REF!</definedName>
    <definedName name="A_KEYWORD_EQTY_200015981_FREE_FLOAT">#REF!</definedName>
    <definedName name="A_KEYWORD_EQTY_200015981_FULLY_DIL_EPS">#REF!</definedName>
    <definedName name="A_KEYWORD_EQTY_200015981_INC_MINORITY">#REF!</definedName>
    <definedName name="A_KEYWORD_EQTY_200015981_Interim_Type">#REF!</definedName>
    <definedName name="A_KEYWORD_EQTY_200015981_LEGAL_RATING">#REF!</definedName>
    <definedName name="A_KEYWORD_EQTY_200015981_MARGIN_TAX_RATE">#REF!</definedName>
    <definedName name="A_KEYWORD_EQTY_200015981_MKT_EQ_RISK_PREM">#REF!</definedName>
    <definedName name="A_KEYWORD_EQTY_200015981_NET_DEBT_PUB">#REF!</definedName>
    <definedName name="A_KEYWORD_EQTY_200015981_NET_EARNING">#REF!</definedName>
    <definedName name="A_KEYWORD_EQTY_200015981_NET_INC">#REF!</definedName>
    <definedName name="A_KEYWORD_EQTY_200015981_NI_CONS">#REF!</definedName>
    <definedName name="A_KEYWORD_EQTY_200015981_NI_PRE_PREF">#REF!</definedName>
    <definedName name="A_KEYWORD_EQTY_200015981_NI_PUB">#REF!</definedName>
    <definedName name="A_KEYWORD_EQTY_200015981_NON_OP_ADD">#REF!</definedName>
    <definedName name="A_KEYWORD_EQTY_200015981_NUM_SH">#REF!</definedName>
    <definedName name="A_KEYWORD_EQTY_200015981_PREF_DIV">#REF!</definedName>
    <definedName name="A_KEYWORD_EQTY_200015981_PRI_TARG_METH">#REF!</definedName>
    <definedName name="A_KEYWORD_EQTY_200015981_PRI_TARG_MULT">#REF!</definedName>
    <definedName name="A_KEYWORD_EQTY_200015981_PRICE_CURRENCY_ISO">#REF!</definedName>
    <definedName name="A_KEYWORD_EQTY_200015981_PROV_INC_TAX">#REF!</definedName>
    <definedName name="A_KEYWORD_EQTY_200015981_PTP_PUB">#REF!</definedName>
    <definedName name="A_KEYWORD_EQTY_200015981_PUB_CURRENCY_ISO">#REF!</definedName>
    <definedName name="A_KEYWORD_EQTY_200015981_REVS_PUB">#REF!</definedName>
    <definedName name="A_KEYWORD_EQTY_200015981_RISK_FR_RATE">#REF!</definedName>
    <definedName name="A_KEYWORD_EQTY_200015981_Security_Name">#REF!</definedName>
    <definedName name="A_KEYWORD_EQTY_200015981_SH">#REF!</definedName>
    <definedName name="A_KEYWORD_EQTY_200015981_TARGET_PRICE">#REF!</definedName>
    <definedName name="A_KEYWORD_EQTY_200015981_TAX_EXC">#REF!</definedName>
    <definedName name="A_KEYWORD_EQTY_200015981_Ticker">#REF!</definedName>
    <definedName name="A_KEYWORD_EQTY_200015981_TP_PERIOD">#REF!</definedName>
    <definedName name="A_KEYWORD_ISSR_208006264_ACC_AMORT" localSheetId="1">#REF!</definedName>
    <definedName name="A_KEYWORD_ISSR_208006264_ACC_AMORT">#REF!</definedName>
    <definedName name="A_KEYWORD_ISSR_208006264_ACC_DDA" localSheetId="1">#REF!</definedName>
    <definedName name="A_KEYWORD_ISSR_208006264_ACC_DDA">#REF!</definedName>
    <definedName name="A_KEYWORD_ISSR_208006264_ACC_END_DATE" localSheetId="1">#REF!</definedName>
    <definedName name="A_KEYWORD_ISSR_208006264_ACC_END_DATE">#REF!</definedName>
    <definedName name="A_KEYWORD_ISSR_208006264_ACC_PAY_GQ">#REF!</definedName>
    <definedName name="A_KEYWORD_ISSR_208006264_ACQ">#REF!</definedName>
    <definedName name="A_KEYWORD_ISSR_208006264_ADJ_UNF_PENS_GOOD">#REF!</definedName>
    <definedName name="A_KEYWORD_ISSR_208006264_ASIA_SALES_GROWTH">#REF!</definedName>
    <definedName name="A_KEYWORD_ISSR_208006264_ASSOC_JV_ADDBK">#REF!</definedName>
    <definedName name="A_KEYWORD_ISSR_208006264_ASSOCIATE">#REF!</definedName>
    <definedName name="A_KEYWORD_ISSR_208006264_ASSOCIATE_OP">#REF!</definedName>
    <definedName name="A_KEYWORD_ISSR_208006264_BAL_MINO_INT">#REF!</definedName>
    <definedName name="A_KEYWORD_ISSR_208006264_CAP_LEASES">#REF!</definedName>
    <definedName name="A_KEYWORD_ISSR_208006264_CAPEX">#REF!</definedName>
    <definedName name="A_KEYWORD_ISSR_208006264_CAPEX_EXPANSION">#REF!</definedName>
    <definedName name="A_KEYWORD_ISSR_208006264_CAPEX_MAINTENANCE">#REF!</definedName>
    <definedName name="A_KEYWORD_ISSR_208006264_CASH_EQ">#REF!</definedName>
    <definedName name="A_KEYWORD_ISSR_208006264_CASH_INT_EXP">#REF!</definedName>
    <definedName name="A_KEYWORD_ISSR_208006264_CASH_TAX_EXP">#REF!</definedName>
    <definedName name="A_KEYWORD_ISSR_208006264_CF_FIN">#REF!</definedName>
    <definedName name="A_KEYWORD_ISSR_208006264_CF_INC_MINORITY">#REF!</definedName>
    <definedName name="A_KEYWORD_ISSR_208006264_CF_INV">#REF!</definedName>
    <definedName name="A_KEYWORD_ISSR_208006264_CF_OPS">#REF!</definedName>
    <definedName name="A_KEYWORD_ISSR_208006264_CHG_LT_DEBT">#REF!</definedName>
    <definedName name="A_KEYWORD_ISSR_208006264_CO_BOR_MARGIN">#REF!</definedName>
    <definedName name="A_KEYWORD_ISSR_208006264_COGS_BEEF">#REF!</definedName>
    <definedName name="A_KEYWORD_ISSR_208006264_COGS_COFFEE">#REF!</definedName>
    <definedName name="A_KEYWORD_ISSR_208006264_COGS_CORN">#REF!</definedName>
    <definedName name="A_KEYWORD_ISSR_208006264_COGS_DAIRY">#REF!</definedName>
    <definedName name="A_KEYWORD_ISSR_208006264_COGS_ENERGY">#REF!</definedName>
    <definedName name="A_KEYWORD_ISSR_208006264_COGS_NUTS">#REF!</definedName>
    <definedName name="A_KEYWORD_ISSR_208006264_COGS_OH_WAGES">#REF!</definedName>
    <definedName name="A_KEYWORD_ISSR_208006264_COGS_OTH_AGRI">#REF!</definedName>
    <definedName name="A_KEYWORD_ISSR_208006264_COGS_OTH_EDIBLE_OIL">#REF!</definedName>
    <definedName name="A_KEYWORD_ISSR_208006264_COGS_PACK_ALUM">#REF!</definedName>
    <definedName name="A_KEYWORD_ISSR_208006264_COGS_PACK_GLASS">#REF!</definedName>
    <definedName name="A_KEYWORD_ISSR_208006264_COGS_PACK_OIL_DERIV">#REF!</definedName>
    <definedName name="A_KEYWORD_ISSR_208006264_COGS_PACK_PAPER">#REF!</definedName>
    <definedName name="A_KEYWORD_ISSR_208006264_COGS_PACK_TIN">#REF!</definedName>
    <definedName name="A_KEYWORD_ISSR_208006264_COGS_PALM_OIL">#REF!</definedName>
    <definedName name="A_KEYWORD_ISSR_208006264_COGS_RAW_OIL_DERIV">#REF!</definedName>
    <definedName name="A_KEYWORD_ISSR_208006264_COGS_RAW_OTH">#REF!</definedName>
    <definedName name="A_KEYWORD_ISSR_208006264_COGS_RAW_PULP">#REF!</definedName>
    <definedName name="A_KEYWORD_ISSR_208006264_COGS_SOYBEAN">#REF!</definedName>
    <definedName name="A_KEYWORD_ISSR_208006264_COGS_TOBACCO">#REF!</definedName>
    <definedName name="A_KEYWORD_ISSR_208006264_COGS_WHEAT">#REF!</definedName>
    <definedName name="A_KEYWORD_ISSR_208006264_CONTRIB_MARGIN_RATIO">#REF!</definedName>
    <definedName name="A_KEYWORD_ISSR_208006264_COST_GD_SD">#REF!</definedName>
    <definedName name="A_KEYWORD_ISSR_208006264_CUR_ASS">#REF!</definedName>
    <definedName name="A_KEYWORD_ISSR_208006264_CURRENCY_ISO">#REF!</definedName>
    <definedName name="A_KEYWORD_ISSR_208006264_DEBTORS">#REF!</definedName>
    <definedName name="A_KEYWORD_ISSR_208006264_DEF_INC_TAX">#REF!</definedName>
    <definedName name="A_KEYWORD_ISSR_208006264_DEPR_AMORT">#REF!</definedName>
    <definedName name="A_KEYWORD_ISSR_208006264_DEPREC">#REF!</definedName>
    <definedName name="A_KEYWORD_ISSR_208006264_DIV_PAID">#REF!</definedName>
    <definedName name="A_KEYWORD_ISSR_208006264_DIVDS_ASSOC_JV">#REF!</definedName>
    <definedName name="A_KEYWORD_ISSR_208006264_DIVDS_PD_MINORITIES">#REF!</definedName>
    <definedName name="A_KEYWORD_ISSR_208006264_DIVEST">#REF!</definedName>
    <definedName name="A_KEYWORD_ISSR_208006264_EBIT">#REF!</definedName>
    <definedName name="A_KEYWORD_ISSR_208006264_EBITDA_CALC">#REF!</definedName>
    <definedName name="A_KEYWORD_ISSR_208006264_EEMEA_SALES_GROWTH">#REF!</definedName>
    <definedName name="A_KEYWORD_ISSR_208006264_EMPLOYEES">#REF!</definedName>
    <definedName name="A_KEYWORD_ISSR_208006264_EQ">#REF!</definedName>
    <definedName name="A_KEYWORD_ISSR_208006264_EUROPE_SALES_GROWTH">#REF!</definedName>
    <definedName name="A_KEYWORD_ISSR_208006264_EXP_ALUMINIUM">#REF!</definedName>
    <definedName name="A_KEYWORD_ISSR_208006264_EXP_COCOA">#REF!</definedName>
    <definedName name="A_KEYWORD_ISSR_208006264_EXP_COFFEE">#REF!</definedName>
    <definedName name="A_KEYWORD_ISSR_208006264_EXP_CORN">#REF!</definedName>
    <definedName name="A_KEYWORD_ISSR_208006264_EXP_DAIRY">#REF!</definedName>
    <definedName name="A_KEYWORD_ISSR_208006264_EXP_GLASS">#REF!</definedName>
    <definedName name="A_KEYWORD_ISSR_208006264_EXP_OIL_DERIV_NGLS_PLASTICS">#REF!</definedName>
    <definedName name="A_KEYWORD_ISSR_208006264_EXP_OIL_PETRO_FUEL">#REF!</definedName>
    <definedName name="A_KEYWORD_ISSR_208006264_EXP_OTH_COMMODITY">#REF!</definedName>
    <definedName name="A_KEYWORD_ISSR_208006264_EXP_OTH_COST">#REF!</definedName>
    <definedName name="A_KEYWORD_ISSR_208006264_EXP_PAPER_PULP">#REF!</definedName>
    <definedName name="A_KEYWORD_ISSR_208006264_EXP_SOYBEAN">#REF!</definedName>
    <definedName name="A_KEYWORD_ISSR_208006264_EXP_STEEL">#REF!</definedName>
    <definedName name="A_KEYWORD_ISSR_208006264_EXP_SUGAR">#REF!</definedName>
    <definedName name="A_KEYWORD_ISSR_208006264_EXP_TIN">#REF!</definedName>
    <definedName name="A_KEYWORD_ISSR_208006264_EXP_WATER">#REF!</definedName>
    <definedName name="A_KEYWORD_ISSR_208006264_EXP_WHEAT">#REF!</definedName>
    <definedName name="A_KEYWORD_ISSR_208006264_FIX_ASS_INV">#REF!</definedName>
    <definedName name="A_KEYWORD_ISSR_208006264_GCI_INFL">#REF!</definedName>
    <definedName name="A_KEYWORD_ISSR_208006264_GOODWILL_AMORT">#REF!</definedName>
    <definedName name="A_KEYWORD_ISSR_208006264_GR_FIX_ASS">#REF!</definedName>
    <definedName name="A_KEYWORD_ISSR_208006264_GR_INTANG">#REF!</definedName>
    <definedName name="A_KEYWORD_ISSR_208006264_INT_EXP_IND">#REF!</definedName>
    <definedName name="A_KEYWORD_ISSR_208006264_INT_INC_IND">#REF!</definedName>
    <definedName name="A_KEYWORD_ISSR_208006264_INV_SECUR">#REF!</definedName>
    <definedName name="A_KEYWORD_ISSR_208006264_Issuer_Name">#REF!</definedName>
    <definedName name="A_KEYWORD_ISSR_208006264_LATAM_SALES_GROWTH">#REF!</definedName>
    <definedName name="A_KEYWORD_ISSR_208006264_LEASE_DEEM_DEPR">#REF!</definedName>
    <definedName name="A_KEYWORD_ISSR_208006264_LEASE_DEEM_INT">#REF!</definedName>
    <definedName name="A_KEYWORD_ISSR_208006264_LEASE_PAY">#REF!</definedName>
    <definedName name="A_KEYWORD_ISSR_208006264_LT_DEBT">#REF!</definedName>
    <definedName name="A_KEYWORD_ISSR_208006264_MEDIA_ADVERTISING">#REF!</definedName>
    <definedName name="A_KEYWORD_ISSR_208006264_MINORITIES">#REF!</definedName>
    <definedName name="A_KEYWORD_ISSR_208006264_MV_ASSOCIATES">#REF!</definedName>
    <definedName name="A_KEYWORD_ISSR_208006264_NAMERICA_SALES_GROWTH">#REF!</definedName>
    <definedName name="A_KEYWORD_ISSR_208006264_NET_DEBT">#REF!</definedName>
    <definedName name="A_KEYWORD_ISSR_208006264_NET_DEBT_ADJ">#REF!</definedName>
    <definedName name="A_KEYWORD_ISSR_208006264_NET_FIX_ASS">#REF!</definedName>
    <definedName name="A_KEYWORD_ISSR_208006264_NET_INT_CH">#REF!</definedName>
    <definedName name="A_KEYWORD_ISSR_208006264_NET_INT_EXP">#REF!</definedName>
    <definedName name="A_KEYWORD_ISSR_208006264_NET_INTANG">#REF!</definedName>
    <definedName name="A_KEYWORD_ISSR_208006264_NONPPE_CAPEX">#REF!</definedName>
    <definedName name="A_KEYWORD_ISSR_208006264_OP_COST">#REF!</definedName>
    <definedName name="A_KEYWORD_ISSR_208006264_ORD_SH_FUND">#REF!</definedName>
    <definedName name="A_KEYWORD_ISSR_208006264_ORG_REV_GRTH">#REF!</definedName>
    <definedName name="A_KEYWORD_ISSR_208006264_OTH_COST_INC">#REF!</definedName>
    <definedName name="A_KEYWORD_ISSR_208006264_OTH_CUR_ASS">#REF!</definedName>
    <definedName name="A_KEYWORD_ISSR_208006264_OTH_CUR_LIABS">#REF!</definedName>
    <definedName name="A_KEYWORD_ISSR_208006264_OTH_DACF_ADJ">#REF!</definedName>
    <definedName name="A_KEYWORD_ISSR_208006264_OTH_FIN_CF">#REF!</definedName>
    <definedName name="A_KEYWORD_ISSR_208006264_OTH_GCI_ADJ">#REF!</definedName>
    <definedName name="A_KEYWORD_ISSR_208006264_OTH_INV_CF">#REF!</definedName>
    <definedName name="A_KEYWORD_ISSR_208006264_OTH_LT_ASS">#REF!</definedName>
    <definedName name="A_KEYWORD_ISSR_208006264_OTH_LT_CRED_GQ">#REF!</definedName>
    <definedName name="A_KEYWORD_ISSR_208006264_OTH_NONCASH_ADJ">#REF!</definedName>
    <definedName name="A_KEYWORD_ISSR_208006264_OTH_OP_CF">#REF!</definedName>
    <definedName name="A_KEYWORD_ISSR_208006264_OTH_OP_INC_EXP">#REF!</definedName>
    <definedName name="A_KEYWORD_ISSR_208006264_PERIOD_MILESTONE">#REF!</definedName>
    <definedName name="A_KEYWORD_ISSR_208006264_PERSONNEL">#REF!</definedName>
    <definedName name="A_KEYWORD_ISSR_208006264_PL_SALE_ASSETS">#REF!</definedName>
    <definedName name="A_KEYWORD_ISSR_208006264_PREF_SH">#REF!</definedName>
    <definedName name="A_KEYWORD_ISSR_208006264_PROFIT_ON_DISP">#REF!</definedName>
    <definedName name="A_KEYWORD_ISSR_208006264_PT_PROF">#REF!</definedName>
    <definedName name="A_KEYWORD_ISSR_208006264_RD_EXP">#REF!</definedName>
    <definedName name="A_KEYWORD_ISSR_208006264_SALES">#REF!</definedName>
    <definedName name="A_KEYWORD_ISSR_208006264_SALES_BRAZIL">#REF!</definedName>
    <definedName name="A_KEYWORD_ISSR_208006264_SALES_CEE">#REF!</definedName>
    <definedName name="A_KEYWORD_ISSR_208006264_SALES_CHINA">#REF!</definedName>
    <definedName name="A_KEYWORD_ISSR_208006264_SALES_COCOA">#REF!</definedName>
    <definedName name="A_KEYWORD_ISSR_208006264_SALES_COFFEE">#REF!</definedName>
    <definedName name="A_KEYWORD_ISSR_208006264_SALES_CONS">#REF!</definedName>
    <definedName name="A_KEYWORD_ISSR_208006264_SALES_DAIRY">#REF!</definedName>
    <definedName name="A_KEYWORD_ISSR_208006264_SALES_EU_EX_UK">#REF!</definedName>
    <definedName name="A_KEYWORD_ISSR_208006264_SALES_FINAN">#REF!</definedName>
    <definedName name="A_KEYWORD_ISSR_208006264_SALES_FX_BRL">#REF!</definedName>
    <definedName name="A_KEYWORD_ISSR_208006264_SALES_FX_CNY">#REF!</definedName>
    <definedName name="A_KEYWORD_ISSR_208006264_SALES_FX_EUR">#REF!</definedName>
    <definedName name="A_KEYWORD_ISSR_208006264_SALES_FX_GPB">#REF!</definedName>
    <definedName name="A_KEYWORD_ISSR_208006264_SALES_FX_INR">#REF!</definedName>
    <definedName name="A_KEYWORD_ISSR_208006264_SALES_FX_KRW">#REF!</definedName>
    <definedName name="A_KEYWORD_ISSR_208006264_SALES_FX_OTH">#REF!</definedName>
    <definedName name="A_KEYWORD_ISSR_208006264_SALES_FX_RUB">#REF!</definedName>
    <definedName name="A_KEYWORD_ISSR_208006264_SALES_FX_TWD">#REF!</definedName>
    <definedName name="A_KEYWORD_ISSR_208006264_SALES_FX_USD">#REF!</definedName>
    <definedName name="A_KEYWORD_ISSR_208006264_SALES_FX_YEN">#REF!</definedName>
    <definedName name="A_KEYWORD_ISSR_208006264_SALES_GOV">#REF!</definedName>
    <definedName name="A_KEYWORD_ISSR_208006264_SALES_IND">#REF!</definedName>
    <definedName name="A_KEYWORD_ISSR_208006264_SALES_INDIA">#REF!</definedName>
    <definedName name="A_KEYWORD_ISSR_208006264_SALES_JAPAN">#REF!</definedName>
    <definedName name="A_KEYWORD_ISSR_208006264_SALES_ME">#REF!</definedName>
    <definedName name="A_KEYWORD_ISSR_208006264_SALES_OTH_AEJ">#REF!</definedName>
    <definedName name="A_KEYWORD_ISSR_208006264_SALES_OTH_AM">#REF!</definedName>
    <definedName name="A_KEYWORD_ISSR_208006264_SALES_OTH_EMEA">#REF!</definedName>
    <definedName name="A_KEYWORD_ISSR_208006264_SALES_OTH_SALES_SOURCES">#REF!</definedName>
    <definedName name="A_KEYWORD_ISSR_208006264_SALES_OTHER">#REF!</definedName>
    <definedName name="A_KEYWORD_ISSR_208006264_SALES_RUSSIA">#REF!</definedName>
    <definedName name="A_KEYWORD_ISSR_208006264_SALES_SK">#REF!</definedName>
    <definedName name="A_KEYWORD_ISSR_208006264_SALES_TAIWAN">#REF!</definedName>
    <definedName name="A_KEYWORD_ISSR_208006264_SALES_TOT_AFRICA">#REF!</definedName>
    <definedName name="A_KEYWORD_ISSR_208006264_SALES_TOT_AM">#REF!</definedName>
    <definedName name="A_KEYWORD_ISSR_208006264_SALES_TOT_ASIA">#REF!</definedName>
    <definedName name="A_KEYWORD_ISSR_208006264_SALES_TOT_EMEA">#REF!</definedName>
    <definedName name="A_KEYWORD_ISSR_208006264_SALES_UK">#REF!</definedName>
    <definedName name="A_KEYWORD_ISSR_208006264_SALES_US">#REF!</definedName>
    <definedName name="A_KEYWORD_ISSR_208006264_SALES_WATER">#REF!</definedName>
    <definedName name="A_KEYWORD_ISSR_208006264_SEL_GL_AD">#REF!</definedName>
    <definedName name="A_KEYWORD_ISSR_208006264_SH_REPUR">#REF!</definedName>
    <definedName name="A_KEYWORD_ISSR_208006264_SHORT_T_DEBT">#REF!</definedName>
    <definedName name="A_KEYWORD_ISSR_208006264_SHORT_TERM_LIABS">#REF!</definedName>
    <definedName name="A_KEYWORD_ISSR_208006264_STOCKS">#REF!</definedName>
    <definedName name="A_KEYWORD_ISSR_208006264_TOT_ASSET">#REF!</definedName>
    <definedName name="A_KEYWORD_ISSR_208006264_TOT_CF">#REF!</definedName>
    <definedName name="A_KEYWORD_ISSR_208006264_TOT_LIAB">#REF!</definedName>
    <definedName name="A_KEYWORD_ISSR_208006264_TOT_LIAB_EQ">#REF!</definedName>
    <definedName name="A_KEYWORD_ISSR_208006264_TOT_LT_LIAB">#REF!</definedName>
    <definedName name="A_KEYWORD_ISSR_208006264_TOT_OPS_EXP">#REF!</definedName>
    <definedName name="A_KEYWORD_ISSR_208006264_TOT_OPS_EXP_DDA">#REF!</definedName>
    <definedName name="A_KEYWORD_ISSR_208006264_UNF_PENS">#REF!</definedName>
    <definedName name="A_KEYWORD_ISSR_208006264_UNF_PENS_LIAB_OTH">#REF!</definedName>
    <definedName name="A_KEYWORD_ISSR_208006264_UNF_PENS_OFF">#REF!</definedName>
    <definedName name="A_KEYWORD_ISSR_208006264_WORK_CAP">#REF!</definedName>
    <definedName name="A_KEYWORD_ISSR_208009569_ACC_AMORT">#REF!</definedName>
    <definedName name="A_KEYWORD_ISSR_208009569_ACC_DDA">#REF!</definedName>
    <definedName name="A_KEYWORD_ISSR_208009569_ACC_END_DATE">#REF!</definedName>
    <definedName name="A_KEYWORD_ISSR_208009569_ACC_PAY_GQ">#REF!</definedName>
    <definedName name="A_KEYWORD_ISSR_208009569_ACQ">#REF!</definedName>
    <definedName name="A_KEYWORD_ISSR_208009569_ADJ_UNF_PENS_GOOD">#REF!</definedName>
    <definedName name="A_KEYWORD_ISSR_208009569_ASSOC_JV_ADDBK">#REF!</definedName>
    <definedName name="A_KEYWORD_ISSR_208009569_ASSOCIATE">#REF!</definedName>
    <definedName name="A_KEYWORD_ISSR_208009569_ASSOCIATE_OP">#REF!</definedName>
    <definedName name="A_KEYWORD_ISSR_208009569_BAL_MINO_INT">#REF!</definedName>
    <definedName name="A_KEYWORD_ISSR_208009569_CAP_LEASES">#REF!</definedName>
    <definedName name="A_KEYWORD_ISSR_208009569_CAPEX">#REF!</definedName>
    <definedName name="A_KEYWORD_ISSR_208009569_CAPEX_EXPANSION">#REF!</definedName>
    <definedName name="A_KEYWORD_ISSR_208009569_CAPEX_MAINTENANCE">#REF!</definedName>
    <definedName name="A_KEYWORD_ISSR_208009569_CASH_EQ">#REF!</definedName>
    <definedName name="A_KEYWORD_ISSR_208009569_CASH_INT_EXP">#REF!</definedName>
    <definedName name="A_KEYWORD_ISSR_208009569_CASH_TAX_EXP">#REF!</definedName>
    <definedName name="A_KEYWORD_ISSR_208009569_CF_FIN">#REF!</definedName>
    <definedName name="A_KEYWORD_ISSR_208009569_CF_INC_MINORITY">#REF!</definedName>
    <definedName name="A_KEYWORD_ISSR_208009569_CF_INV">#REF!</definedName>
    <definedName name="A_KEYWORD_ISSR_208009569_CF_OPS">#REF!</definedName>
    <definedName name="A_KEYWORD_ISSR_208009569_CHG_LT_DEBT">#REF!</definedName>
    <definedName name="A_KEYWORD_ISSR_208009569_CO_BOR_MARGIN">#REF!</definedName>
    <definedName name="A_KEYWORD_ISSR_208009569_CONTRIB_MARGIN_RATIO">#REF!</definedName>
    <definedName name="A_KEYWORD_ISSR_208009569_COST_GD_SD">#REF!</definedName>
    <definedName name="A_KEYWORD_ISSR_208009569_CUR_ASS">#REF!</definedName>
    <definedName name="A_KEYWORD_ISSR_208009569_CURRENCY_ISO">#REF!</definedName>
    <definedName name="A_KEYWORD_ISSR_208009569_DEBTORS">#REF!</definedName>
    <definedName name="A_KEYWORD_ISSR_208009569_DEF_INC_TAX">#REF!</definedName>
    <definedName name="A_KEYWORD_ISSR_208009569_DEPR_AMORT">#REF!</definedName>
    <definedName name="A_KEYWORD_ISSR_208009569_DEPREC">#REF!</definedName>
    <definedName name="A_KEYWORD_ISSR_208009569_DIV_PAID">#REF!</definedName>
    <definedName name="A_KEYWORD_ISSR_208009569_DIVDS_ASSOC_JV">#REF!</definedName>
    <definedName name="A_KEYWORD_ISSR_208009569_DIVDS_PD_MINORITIES">#REF!</definedName>
    <definedName name="A_KEYWORD_ISSR_208009569_DIVEST">#REF!</definedName>
    <definedName name="A_KEYWORD_ISSR_208009569_EBIT">#REF!</definedName>
    <definedName name="A_KEYWORD_ISSR_208009569_EBITDA_CALC">#REF!</definedName>
    <definedName name="A_KEYWORD_ISSR_208009569_EMPLOYEES">#REF!</definedName>
    <definedName name="A_KEYWORD_ISSR_208009569_EQ">#REF!</definedName>
    <definedName name="A_KEYWORD_ISSR_208009569_FIX_ASS_INV">#REF!</definedName>
    <definedName name="A_KEYWORD_ISSR_208009569_GCI_INFL">#REF!</definedName>
    <definedName name="A_KEYWORD_ISSR_208009569_GOODWILL_AMORT">#REF!</definedName>
    <definedName name="A_KEYWORD_ISSR_208009569_GR_FIX_ASS">#REF!</definedName>
    <definedName name="A_KEYWORD_ISSR_208009569_GR_INTANG">#REF!</definedName>
    <definedName name="A_KEYWORD_ISSR_208009569_INT_EXP_IND">#REF!</definedName>
    <definedName name="A_KEYWORD_ISSR_208009569_INT_INC_IND">#REF!</definedName>
    <definedName name="A_KEYWORD_ISSR_208009569_INV_SECUR">#REF!</definedName>
    <definedName name="A_KEYWORD_ISSR_208009569_Issuer_Name">#REF!</definedName>
    <definedName name="A_KEYWORD_ISSR_208009569_LEASE_DEEM_DEPR">#REF!</definedName>
    <definedName name="A_KEYWORD_ISSR_208009569_LEASE_DEEM_INT">#REF!</definedName>
    <definedName name="A_KEYWORD_ISSR_208009569_LEASE_PAY">#REF!</definedName>
    <definedName name="A_KEYWORD_ISSR_208009569_LT_DEBT">#REF!</definedName>
    <definedName name="A_KEYWORD_ISSR_208009569_MINORITIES">#REF!</definedName>
    <definedName name="A_KEYWORD_ISSR_208009569_MV_ASSOCIATES">#REF!</definedName>
    <definedName name="A_KEYWORD_ISSR_208009569_NET_DEBT">#REF!</definedName>
    <definedName name="A_KEYWORD_ISSR_208009569_NET_DEBT_ADJ">#REF!</definedName>
    <definedName name="A_KEYWORD_ISSR_208009569_NET_FIX_ASS">#REF!</definedName>
    <definedName name="A_KEYWORD_ISSR_208009569_NET_INT_CH">#REF!</definedName>
    <definedName name="A_KEYWORD_ISSR_208009569_NET_INT_EXP">#REF!</definedName>
    <definedName name="A_KEYWORD_ISSR_208009569_NET_INTANG">#REF!</definedName>
    <definedName name="A_KEYWORD_ISSR_208009569_NONPPE_CAPEX">#REF!</definedName>
    <definedName name="A_KEYWORD_ISSR_208009569_OP_COST">#REF!</definedName>
    <definedName name="A_KEYWORD_ISSR_208009569_ORD_SH_FUND">#REF!</definedName>
    <definedName name="A_KEYWORD_ISSR_208009569_OTH_COST_INC">#REF!</definedName>
    <definedName name="A_KEYWORD_ISSR_208009569_OTH_CUR_ASS">#REF!</definedName>
    <definedName name="A_KEYWORD_ISSR_208009569_OTH_CUR_LIABS">#REF!</definedName>
    <definedName name="A_KEYWORD_ISSR_208009569_OTH_DACF_ADJ">#REF!</definedName>
    <definedName name="A_KEYWORD_ISSR_208009569_OTH_FIN_CF">#REF!</definedName>
    <definedName name="A_KEYWORD_ISSR_208009569_OTH_GCI_ADJ">#REF!</definedName>
    <definedName name="A_KEYWORD_ISSR_208009569_OTH_INV_CF">#REF!</definedName>
    <definedName name="A_KEYWORD_ISSR_208009569_OTH_LT_ASS">#REF!</definedName>
    <definedName name="A_KEYWORD_ISSR_208009569_OTH_LT_CRED_GQ">#REF!</definedName>
    <definedName name="A_KEYWORD_ISSR_208009569_OTH_NONCASH_ADJ">#REF!</definedName>
    <definedName name="A_KEYWORD_ISSR_208009569_OTH_OP_CF">#REF!</definedName>
    <definedName name="A_KEYWORD_ISSR_208009569_OTH_OP_INC_EXP">#REF!</definedName>
    <definedName name="A_KEYWORD_ISSR_208009569_PERIOD_MILESTONE">#REF!</definedName>
    <definedName name="A_KEYWORD_ISSR_208009569_PERSONNEL">#REF!</definedName>
    <definedName name="A_KEYWORD_ISSR_208009569_PL_SALE_ASSETS">#REF!</definedName>
    <definedName name="A_KEYWORD_ISSR_208009569_PREF_SH">#REF!</definedName>
    <definedName name="A_KEYWORD_ISSR_208009569_PROFIT_ON_DISP">#REF!</definedName>
    <definedName name="A_KEYWORD_ISSR_208009569_PT_PROF">#REF!</definedName>
    <definedName name="A_KEYWORD_ISSR_208009569_RD_EXP">#REF!</definedName>
    <definedName name="A_KEYWORD_ISSR_208009569_SALES">#REF!</definedName>
    <definedName name="A_KEYWORD_ISSR_208009569_SALES_BRAZIL">#REF!</definedName>
    <definedName name="A_KEYWORD_ISSR_208009569_SALES_CEE">#REF!</definedName>
    <definedName name="A_KEYWORD_ISSR_208009569_SALES_CHINA">#REF!</definedName>
    <definedName name="A_KEYWORD_ISSR_208009569_SALES_CONS">#REF!</definedName>
    <definedName name="A_KEYWORD_ISSR_208009569_SALES_EU_EX_UK">#REF!</definedName>
    <definedName name="A_KEYWORD_ISSR_208009569_SALES_FINAN">#REF!</definedName>
    <definedName name="A_KEYWORD_ISSR_208009569_SALES_FX_BRL">#REF!</definedName>
    <definedName name="A_KEYWORD_ISSR_208009569_SALES_FX_CNY">#REF!</definedName>
    <definedName name="A_KEYWORD_ISSR_208009569_SALES_FX_EUR">#REF!</definedName>
    <definedName name="A_KEYWORD_ISSR_208009569_SALES_FX_GPB">#REF!</definedName>
    <definedName name="A_KEYWORD_ISSR_208009569_SALES_FX_INR">#REF!</definedName>
    <definedName name="A_KEYWORD_ISSR_208009569_SALES_FX_KRW">#REF!</definedName>
    <definedName name="A_KEYWORD_ISSR_208009569_SALES_FX_OTH">#REF!</definedName>
    <definedName name="A_KEYWORD_ISSR_208009569_SALES_FX_RUB">#REF!</definedName>
    <definedName name="A_KEYWORD_ISSR_208009569_SALES_FX_TWD">#REF!</definedName>
    <definedName name="A_KEYWORD_ISSR_208009569_SALES_FX_USD">#REF!</definedName>
    <definedName name="A_KEYWORD_ISSR_208009569_SALES_FX_YEN">#REF!</definedName>
    <definedName name="A_KEYWORD_ISSR_208009569_SALES_GOV">#REF!</definedName>
    <definedName name="A_KEYWORD_ISSR_208009569_SALES_IND">#REF!</definedName>
    <definedName name="A_KEYWORD_ISSR_208009569_SALES_INDIA">#REF!</definedName>
    <definedName name="A_KEYWORD_ISSR_208009569_SALES_JAPAN">#REF!</definedName>
    <definedName name="A_KEYWORD_ISSR_208009569_SALES_ME">#REF!</definedName>
    <definedName name="A_KEYWORD_ISSR_208009569_SALES_OTH_AEJ">#REF!</definedName>
    <definedName name="A_KEYWORD_ISSR_208009569_SALES_OTH_AM">#REF!</definedName>
    <definedName name="A_KEYWORD_ISSR_208009569_SALES_OTH_EMEA">#REF!</definedName>
    <definedName name="A_KEYWORD_ISSR_208009569_SALES_OTHER">#REF!</definedName>
    <definedName name="A_KEYWORD_ISSR_208009569_SALES_RUSSIA">#REF!</definedName>
    <definedName name="A_KEYWORD_ISSR_208009569_SALES_SK">#REF!</definedName>
    <definedName name="A_KEYWORD_ISSR_208009569_SALES_TAIWAN">#REF!</definedName>
    <definedName name="A_KEYWORD_ISSR_208009569_SALES_TOT_AFRICA">#REF!</definedName>
    <definedName name="A_KEYWORD_ISSR_208009569_SALES_TOT_AM">#REF!</definedName>
    <definedName name="A_KEYWORD_ISSR_208009569_SALES_TOT_ASIA">#REF!</definedName>
    <definedName name="A_KEYWORD_ISSR_208009569_SALES_TOT_EMEA">#REF!</definedName>
    <definedName name="A_KEYWORD_ISSR_208009569_SALES_UK">#REF!</definedName>
    <definedName name="A_KEYWORD_ISSR_208009569_SALES_US">#REF!</definedName>
    <definedName name="A_KEYWORD_ISSR_208009569_SEL_GL_AD">#REF!</definedName>
    <definedName name="A_KEYWORD_ISSR_208009569_SH_REPUR">#REF!</definedName>
    <definedName name="A_KEYWORD_ISSR_208009569_SHORT_T_DEBT">#REF!</definedName>
    <definedName name="A_KEYWORD_ISSR_208009569_SHORT_TERM_LIABS">#REF!</definedName>
    <definedName name="A_KEYWORD_ISSR_208009569_STOCKS">#REF!</definedName>
    <definedName name="A_KEYWORD_ISSR_208009569_TOT_ASSET">#REF!</definedName>
    <definedName name="A_KEYWORD_ISSR_208009569_TOT_CF">#REF!</definedName>
    <definedName name="A_KEYWORD_ISSR_208009569_TOT_LIAB">#REF!</definedName>
    <definedName name="A_KEYWORD_ISSR_208009569_TOT_LIAB_EQ">#REF!</definedName>
    <definedName name="A_KEYWORD_ISSR_208009569_TOT_LT_LIAB">#REF!</definedName>
    <definedName name="A_KEYWORD_ISSR_208009569_TOT_OPS_EXP">#REF!</definedName>
    <definedName name="A_KEYWORD_ISSR_208009569_TOT_OPS_EXP_DDA">#REF!</definedName>
    <definedName name="A_KEYWORD_ISSR_208009569_UNF_PENS">#REF!</definedName>
    <definedName name="A_KEYWORD_ISSR_208009569_UNF_PENS_LIAB_OTH">#REF!</definedName>
    <definedName name="A_KEYWORD_ISSR_208009569_UNF_PENS_OFF">#REF!</definedName>
    <definedName name="A_KEYWORD_ISSR_208009569_WORK_CAP">#REF!</definedName>
    <definedName name="A_KEYWORD_ISSR_208012915_ACC_AMORT">#REF!</definedName>
    <definedName name="A_KEYWORD_ISSR_208012915_ACC_DDA">#REF!</definedName>
    <definedName name="A_KEYWORD_ISSR_208012915_ACC_END_DATE">#REF!</definedName>
    <definedName name="A_KEYWORD_ISSR_208012915_ACC_PAY_GQ">#REF!</definedName>
    <definedName name="A_KEYWORD_ISSR_208012915_ACQ">#REF!</definedName>
    <definedName name="A_KEYWORD_ISSR_208012915_ADJ_UNF_PENS_GOOD">#REF!</definedName>
    <definedName name="A_KEYWORD_ISSR_208012915_ASIA_SALES_GROWTH">#REF!</definedName>
    <definedName name="A_KEYWORD_ISSR_208012915_ASSOC_JV_ADDBK">#REF!</definedName>
    <definedName name="A_KEYWORD_ISSR_208012915_ASSOCIATE">#REF!</definedName>
    <definedName name="A_KEYWORD_ISSR_208012915_ASSOCIATE_OP">#REF!</definedName>
    <definedName name="A_KEYWORD_ISSR_208012915_BAL_MINO_INT">#REF!</definedName>
    <definedName name="A_KEYWORD_ISSR_208012915_CAP_LEASES">#REF!</definedName>
    <definedName name="A_KEYWORD_ISSR_208012915_CAPEX">#REF!</definedName>
    <definedName name="A_KEYWORD_ISSR_208012915_CAPEX_EXPANSION">#REF!</definedName>
    <definedName name="A_KEYWORD_ISSR_208012915_CAPEX_MAINTENANCE">#REF!</definedName>
    <definedName name="A_KEYWORD_ISSR_208012915_CASH_EQ">#REF!</definedName>
    <definedName name="A_KEYWORD_ISSR_208012915_CASH_INT_EXP">#REF!</definedName>
    <definedName name="A_KEYWORD_ISSR_208012915_CASH_TAX_EXP">#REF!</definedName>
    <definedName name="A_KEYWORD_ISSR_208012915_CF_FIN">#REF!</definedName>
    <definedName name="A_KEYWORD_ISSR_208012915_CF_INC_MINORITY">#REF!</definedName>
    <definedName name="A_KEYWORD_ISSR_208012915_CF_INV">#REF!</definedName>
    <definedName name="A_KEYWORD_ISSR_208012915_CF_OPS">#REF!</definedName>
    <definedName name="A_KEYWORD_ISSR_208012915_CHG_LT_DEBT">#REF!</definedName>
    <definedName name="A_KEYWORD_ISSR_208012915_CO_BOR_MARGIN">#REF!</definedName>
    <definedName name="A_KEYWORD_ISSR_208012915_COGS_BEEF">#REF!</definedName>
    <definedName name="A_KEYWORD_ISSR_208012915_COGS_CHICKEN">#REF!</definedName>
    <definedName name="A_KEYWORD_ISSR_208012915_COGS_COFFEE">#REF!</definedName>
    <definedName name="A_KEYWORD_ISSR_208012915_COGS_CORN">#REF!</definedName>
    <definedName name="A_KEYWORD_ISSR_208012915_COGS_DAIRY">#REF!</definedName>
    <definedName name="A_KEYWORD_ISSR_208012915_COGS_ENERGY">#REF!</definedName>
    <definedName name="A_KEYWORD_ISSR_208012915_COGS_NUTS">#REF!</definedName>
    <definedName name="A_KEYWORD_ISSR_208012915_COGS_OH_WAGES">#REF!</definedName>
    <definedName name="A_KEYWORD_ISSR_208012915_COGS_OTH_AGRI">#REF!</definedName>
    <definedName name="A_KEYWORD_ISSR_208012915_COGS_OTH_EDIBLE_OIL">#REF!</definedName>
    <definedName name="A_KEYWORD_ISSR_208012915_COGS_PACK_ALUM">#REF!</definedName>
    <definedName name="A_KEYWORD_ISSR_208012915_COGS_PACK_GLASS">#REF!</definedName>
    <definedName name="A_KEYWORD_ISSR_208012915_COGS_PACK_OIL_DERIV">#REF!</definedName>
    <definedName name="A_KEYWORD_ISSR_208012915_COGS_PACK_PAPER">#REF!</definedName>
    <definedName name="A_KEYWORD_ISSR_208012915_COGS_PACK_TIN">#REF!</definedName>
    <definedName name="A_KEYWORD_ISSR_208012915_COGS_PALM_OIL">#REF!</definedName>
    <definedName name="A_KEYWORD_ISSR_208012915_COGS_PORK">#REF!</definedName>
    <definedName name="A_KEYWORD_ISSR_208012915_COGS_RAW_OIL_DERIV">#REF!</definedName>
    <definedName name="A_KEYWORD_ISSR_208012915_COGS_RAW_OTH">#REF!</definedName>
    <definedName name="A_KEYWORD_ISSR_208012915_COGS_RAW_PULP">#REF!</definedName>
    <definedName name="A_KEYWORD_ISSR_208012915_COGS_SOYBEAN">#REF!</definedName>
    <definedName name="A_KEYWORD_ISSR_208012915_COGS_SUGAR">#REF!</definedName>
    <definedName name="A_KEYWORD_ISSR_208012915_COGS_TOBACCO">#REF!</definedName>
    <definedName name="A_KEYWORD_ISSR_208012915_COGS_WHEAT">#REF!</definedName>
    <definedName name="A_KEYWORD_ISSR_208012915_CONTRIB_MARGIN_RATIO">#REF!</definedName>
    <definedName name="A_KEYWORD_ISSR_208012915_COST_GD_SD">#REF!</definedName>
    <definedName name="A_KEYWORD_ISSR_208012915_CUR_ASS">#REF!</definedName>
    <definedName name="A_KEYWORD_ISSR_208012915_CURRENCY_ISO">#REF!</definedName>
    <definedName name="A_KEYWORD_ISSR_208012915_DEBTORS">#REF!</definedName>
    <definedName name="A_KEYWORD_ISSR_208012915_DEF_INC_TAX">#REF!</definedName>
    <definedName name="A_KEYWORD_ISSR_208012915_DEPR_AMORT">#REF!</definedName>
    <definedName name="A_KEYWORD_ISSR_208012915_DEPREC">#REF!</definedName>
    <definedName name="A_KEYWORD_ISSR_208012915_DIV_PAID">#REF!</definedName>
    <definedName name="A_KEYWORD_ISSR_208012915_DIVDS_ASSOC_JV">#REF!</definedName>
    <definedName name="A_KEYWORD_ISSR_208012915_DIVDS_PD_MINORITIES">#REF!</definedName>
    <definedName name="A_KEYWORD_ISSR_208012915_DIVEST">#REF!</definedName>
    <definedName name="A_KEYWORD_ISSR_208012915_EBIT">#REF!</definedName>
    <definedName name="A_KEYWORD_ISSR_208012915_EBITDA_CALC">#REF!</definedName>
    <definedName name="A_KEYWORD_ISSR_208012915_EEMEA_SALES_GROWTH">#REF!</definedName>
    <definedName name="A_KEYWORD_ISSR_208012915_EMPLOYEES">#REF!</definedName>
    <definedName name="A_KEYWORD_ISSR_208012915_EQ">#REF!</definedName>
    <definedName name="A_KEYWORD_ISSR_208012915_EUROPE_SALES_GROWTH">#REF!</definedName>
    <definedName name="A_KEYWORD_ISSR_208012915_EXP_ALUMINIUM">#REF!</definedName>
    <definedName name="A_KEYWORD_ISSR_208012915_EXP_BEEF">#REF!</definedName>
    <definedName name="A_KEYWORD_ISSR_208012915_EXP_CHICKEN">#REF!</definedName>
    <definedName name="A_KEYWORD_ISSR_208012915_EXP_COCOA">#REF!</definedName>
    <definedName name="A_KEYWORD_ISSR_208012915_EXP_COFFEE">#REF!</definedName>
    <definedName name="A_KEYWORD_ISSR_208012915_EXP_CORN">#REF!</definedName>
    <definedName name="A_KEYWORD_ISSR_208012915_EXP_DAIRY">#REF!</definedName>
    <definedName name="A_KEYWORD_ISSR_208012915_EXP_GLASS">#REF!</definedName>
    <definedName name="A_KEYWORD_ISSR_208012915_EXP_NUTS">#REF!</definedName>
    <definedName name="A_KEYWORD_ISSR_208012915_EXP_OIL_DERIV_NGLS_PLASTICS">#REF!</definedName>
    <definedName name="A_KEYWORD_ISSR_208012915_EXP_OIL_PETRO_FUEL">#REF!</definedName>
    <definedName name="A_KEYWORD_ISSR_208012915_EXP_OTH_COMMODITY">#REF!</definedName>
    <definedName name="A_KEYWORD_ISSR_208012915_EXP_OTH_COST">#REF!</definedName>
    <definedName name="A_KEYWORD_ISSR_208012915_EXP_OTH_EDIBLE_OIL">#REF!</definedName>
    <definedName name="A_KEYWORD_ISSR_208012915_EXP_PALM_OIL">#REF!</definedName>
    <definedName name="A_KEYWORD_ISSR_208012915_EXP_PAPER_PULP">#REF!</definedName>
    <definedName name="A_KEYWORD_ISSR_208012915_EXP_PORK">#REF!</definedName>
    <definedName name="A_KEYWORD_ISSR_208012915_EXP_SOYBEAN">#REF!</definedName>
    <definedName name="A_KEYWORD_ISSR_208012915_EXP_STEEL">#REF!</definedName>
    <definedName name="A_KEYWORD_ISSR_208012915_EXP_SUGAR">#REF!</definedName>
    <definedName name="A_KEYWORD_ISSR_208012915_EXP_TIN">#REF!</definedName>
    <definedName name="A_KEYWORD_ISSR_208012915_EXP_WATER">#REF!</definedName>
    <definedName name="A_KEYWORD_ISSR_208012915_EXP_WHEAT">#REF!</definedName>
    <definedName name="A_KEYWORD_ISSR_208012915_FIX_ASS_INV">#REF!</definedName>
    <definedName name="A_KEYWORD_ISSR_208012915_GCI_INFL">#REF!</definedName>
    <definedName name="A_KEYWORD_ISSR_208012915_GOODWILL_AMORT">#REF!</definedName>
    <definedName name="A_KEYWORD_ISSR_208012915_GR_FIX_ASS">#REF!</definedName>
    <definedName name="A_KEYWORD_ISSR_208012915_GR_INTANG">#REF!</definedName>
    <definedName name="A_KEYWORD_ISSR_208012915_INT_EXP_IND">#REF!</definedName>
    <definedName name="A_KEYWORD_ISSR_208012915_INT_INC_IND">#REF!</definedName>
    <definedName name="A_KEYWORD_ISSR_208012915_INV_SECUR">#REF!</definedName>
    <definedName name="A_KEYWORD_ISSR_208012915_Issuer_Name">#REF!</definedName>
    <definedName name="A_KEYWORD_ISSR_208012915_LATAM_SALES_GROWTH">#REF!</definedName>
    <definedName name="A_KEYWORD_ISSR_208012915_LEASE_DEEM_DEPR">#REF!</definedName>
    <definedName name="A_KEYWORD_ISSR_208012915_LEASE_DEEM_INT">#REF!</definedName>
    <definedName name="A_KEYWORD_ISSR_208012915_LEASE_PAY">#REF!</definedName>
    <definedName name="A_KEYWORD_ISSR_208012915_LT_DEBT">#REF!</definedName>
    <definedName name="A_KEYWORD_ISSR_208012915_MEDIA_ADVERTISING">#REF!</definedName>
    <definedName name="A_KEYWORD_ISSR_208012915_MINORITIES">#REF!</definedName>
    <definedName name="A_KEYWORD_ISSR_208012915_MV_ASSOCIATES">#REF!</definedName>
    <definedName name="A_KEYWORD_ISSR_208012915_NAMERICA_SALES_GROWTH">#REF!</definedName>
    <definedName name="A_KEYWORD_ISSR_208012915_NET_DEBT">#REF!</definedName>
    <definedName name="A_KEYWORD_ISSR_208012915_NET_DEBT_ADJ">#REF!</definedName>
    <definedName name="A_KEYWORD_ISSR_208012915_NET_FIX_ASS">#REF!</definedName>
    <definedName name="A_KEYWORD_ISSR_208012915_NET_INT_CH">#REF!</definedName>
    <definedName name="A_KEYWORD_ISSR_208012915_NET_INT_EXP">#REF!</definedName>
    <definedName name="A_KEYWORD_ISSR_208012915_NET_INTANG">#REF!</definedName>
    <definedName name="A_KEYWORD_ISSR_208012915_NONPPE_CAPEX">#REF!</definedName>
    <definedName name="A_KEYWORD_ISSR_208012915_OP_COST">#REF!</definedName>
    <definedName name="A_KEYWORD_ISSR_208012915_ORD_SH_FUND">#REF!</definedName>
    <definedName name="A_KEYWORD_ISSR_208012915_ORG_REV_GRTH">#REF!</definedName>
    <definedName name="A_KEYWORD_ISSR_208012915_OTH_COST_INC">#REF!</definedName>
    <definedName name="A_KEYWORD_ISSR_208012915_OTH_CUR_ASS">#REF!</definedName>
    <definedName name="A_KEYWORD_ISSR_208012915_OTH_CUR_LIABS">#REF!</definedName>
    <definedName name="A_KEYWORD_ISSR_208012915_OTH_DACF_ADJ">#REF!</definedName>
    <definedName name="A_KEYWORD_ISSR_208012915_OTH_FIN_CF">#REF!</definedName>
    <definedName name="A_KEYWORD_ISSR_208012915_OTH_GCI_ADJ">#REF!</definedName>
    <definedName name="A_KEYWORD_ISSR_208012915_OTH_INV_CF">#REF!</definedName>
    <definedName name="A_KEYWORD_ISSR_208012915_OTH_LT_ASS">#REF!</definedName>
    <definedName name="A_KEYWORD_ISSR_208012915_OTH_LT_CRED_GQ">#REF!</definedName>
    <definedName name="A_KEYWORD_ISSR_208012915_OTH_NONCASH_ADJ">#REF!</definedName>
    <definedName name="A_KEYWORD_ISSR_208012915_OTH_OP_CF">#REF!</definedName>
    <definedName name="A_KEYWORD_ISSR_208012915_OTH_OP_INC_EXP">#REF!</definedName>
    <definedName name="A_KEYWORD_ISSR_208012915_PERIOD_MILESTONE">#REF!</definedName>
    <definedName name="A_KEYWORD_ISSR_208012915_PERSONNEL">#REF!</definedName>
    <definedName name="A_KEYWORD_ISSR_208012915_PL_SALE_ASSETS">#REF!</definedName>
    <definedName name="A_KEYWORD_ISSR_208012915_PREF_SH">#REF!</definedName>
    <definedName name="A_KEYWORD_ISSR_208012915_PROFIT_ON_DISP">#REF!</definedName>
    <definedName name="A_KEYWORD_ISSR_208012915_PT_PROF">#REF!</definedName>
    <definedName name="A_KEYWORD_ISSR_208012915_RD_EXP">#REF!</definedName>
    <definedName name="A_KEYWORD_ISSR_208012915_SALES">#REF!</definedName>
    <definedName name="A_KEYWORD_ISSR_208012915_SALES_BEEF">#REF!</definedName>
    <definedName name="A_KEYWORD_ISSR_208012915_SALES_BRAZIL">#REF!</definedName>
    <definedName name="A_KEYWORD_ISSR_208012915_SALES_CEE">#REF!</definedName>
    <definedName name="A_KEYWORD_ISSR_208012915_SALES_CHICKEN">#REF!</definedName>
    <definedName name="A_KEYWORD_ISSR_208012915_SALES_CHINA">#REF!</definedName>
    <definedName name="A_KEYWORD_ISSR_208012915_SALES_COCOA">#REF!</definedName>
    <definedName name="A_KEYWORD_ISSR_208012915_SALES_COFFEE">#REF!</definedName>
    <definedName name="A_KEYWORD_ISSR_208012915_SALES_CONS">#REF!</definedName>
    <definedName name="A_KEYWORD_ISSR_208012915_SALES_CORN">#REF!</definedName>
    <definedName name="A_KEYWORD_ISSR_208012915_SALES_DAIRY">#REF!</definedName>
    <definedName name="A_KEYWORD_ISSR_208012915_SALES_EU_EX_UK">#REF!</definedName>
    <definedName name="A_KEYWORD_ISSR_208012915_SALES_FINAN">#REF!</definedName>
    <definedName name="A_KEYWORD_ISSR_208012915_SALES_FX_BRL">#REF!</definedName>
    <definedName name="A_KEYWORD_ISSR_208012915_SALES_FX_CNY">#REF!</definedName>
    <definedName name="A_KEYWORD_ISSR_208012915_SALES_FX_EUR">#REF!</definedName>
    <definedName name="A_KEYWORD_ISSR_208012915_SALES_FX_GPB">#REF!</definedName>
    <definedName name="A_KEYWORD_ISSR_208012915_SALES_FX_INR">#REF!</definedName>
    <definedName name="A_KEYWORD_ISSR_208012915_SALES_FX_KRW">#REF!</definedName>
    <definedName name="A_KEYWORD_ISSR_208012915_SALES_FX_OTH">#REF!</definedName>
    <definedName name="A_KEYWORD_ISSR_208012915_SALES_FX_RUB">#REF!</definedName>
    <definedName name="A_KEYWORD_ISSR_208012915_SALES_FX_TWD">#REF!</definedName>
    <definedName name="A_KEYWORD_ISSR_208012915_SALES_FX_USD">#REF!</definedName>
    <definedName name="A_KEYWORD_ISSR_208012915_SALES_FX_YEN">#REF!</definedName>
    <definedName name="A_KEYWORD_ISSR_208012915_SALES_GOV">#REF!</definedName>
    <definedName name="A_KEYWORD_ISSR_208012915_SALES_IND">#REF!</definedName>
    <definedName name="A_KEYWORD_ISSR_208012915_SALES_INDIA">#REF!</definedName>
    <definedName name="A_KEYWORD_ISSR_208012915_SALES_JAPAN">#REF!</definedName>
    <definedName name="A_KEYWORD_ISSR_208012915_SALES_ME">#REF!</definedName>
    <definedName name="A_KEYWORD_ISSR_208012915_SALES_NUTS">#REF!</definedName>
    <definedName name="A_KEYWORD_ISSR_208012915_SALES_OTH_AEJ">#REF!</definedName>
    <definedName name="A_KEYWORD_ISSR_208012915_SALES_OTH_AM">#REF!</definedName>
    <definedName name="A_KEYWORD_ISSR_208012915_SALES_OTH_COMMODITY">#REF!</definedName>
    <definedName name="A_KEYWORD_ISSR_208012915_SALES_OTH_EMEA">#REF!</definedName>
    <definedName name="A_KEYWORD_ISSR_208012915_SALES_OTH_SALES_SOURCES">#REF!</definedName>
    <definedName name="A_KEYWORD_ISSR_208012915_SALES_OTHER">#REF!</definedName>
    <definedName name="A_KEYWORD_ISSR_208012915_SALES_PORK">#REF!</definedName>
    <definedName name="A_KEYWORD_ISSR_208012915_SALES_RUSSIA">#REF!</definedName>
    <definedName name="A_KEYWORD_ISSR_208012915_SALES_SK">#REF!</definedName>
    <definedName name="A_KEYWORD_ISSR_208012915_SALES_SOYBEAN">#REF!</definedName>
    <definedName name="A_KEYWORD_ISSR_208012915_SALES_SUGAR">#REF!</definedName>
    <definedName name="A_KEYWORD_ISSR_208012915_SALES_TAIWAN">#REF!</definedName>
    <definedName name="A_KEYWORD_ISSR_208012915_SALES_TOT_AFRICA">#REF!</definedName>
    <definedName name="A_KEYWORD_ISSR_208012915_SALES_TOT_AM">#REF!</definedName>
    <definedName name="A_KEYWORD_ISSR_208012915_SALES_TOT_ASIA">#REF!</definedName>
    <definedName name="A_KEYWORD_ISSR_208012915_SALES_TOT_EMEA">#REF!</definedName>
    <definedName name="A_KEYWORD_ISSR_208012915_SALES_UK">#REF!</definedName>
    <definedName name="A_KEYWORD_ISSR_208012915_SALES_US">#REF!</definedName>
    <definedName name="A_KEYWORD_ISSR_208012915_SALES_WATER">#REF!</definedName>
    <definedName name="A_KEYWORD_ISSR_208012915_SALES_WHEAT">#REF!</definedName>
    <definedName name="A_KEYWORD_ISSR_208012915_SEL_GL_AD">#REF!</definedName>
    <definedName name="A_KEYWORD_ISSR_208012915_SH_REPUR">#REF!</definedName>
    <definedName name="A_KEYWORD_ISSR_208012915_SHORT_T_DEBT">#REF!</definedName>
    <definedName name="A_KEYWORD_ISSR_208012915_SHORT_TERM_LIABS">#REF!</definedName>
    <definedName name="A_KEYWORD_ISSR_208012915_STOCKS">#REF!</definedName>
    <definedName name="A_KEYWORD_ISSR_208012915_TOT_ASSET">#REF!</definedName>
    <definedName name="A_KEYWORD_ISSR_208012915_TOT_CF">#REF!</definedName>
    <definedName name="A_KEYWORD_ISSR_208012915_TOT_LIAB">#REF!</definedName>
    <definedName name="A_KEYWORD_ISSR_208012915_TOT_LIAB_EQ">#REF!</definedName>
    <definedName name="A_KEYWORD_ISSR_208012915_TOT_LT_LIAB">#REF!</definedName>
    <definedName name="A_KEYWORD_ISSR_208012915_TOT_OPS_EXP">#REF!</definedName>
    <definedName name="A_KEYWORD_ISSR_208012915_TOT_OPS_EXP_DDA">#REF!</definedName>
    <definedName name="A_KEYWORD_ISSR_208012915_UNF_PENS">#REF!</definedName>
    <definedName name="A_KEYWORD_ISSR_208012915_UNF_PENS_LIAB_OTH">#REF!</definedName>
    <definedName name="A_KEYWORD_ISSR_208012915_UNF_PENS_OFF">#REF!</definedName>
    <definedName name="A_KEYWORD_ISSR_208012915_WORK_CAP">#REF!</definedName>
    <definedName name="A_LIVEDATA_EQTY_200008062" localSheetId="1">#REF!</definedName>
    <definedName name="A_LIVEDATA_EQTY_200008062">#REF!</definedName>
    <definedName name="A_LIVEDATA_EQTY_200012577" localSheetId="1">#REF!</definedName>
    <definedName name="A_LIVEDATA_EQTY_200012577">#REF!</definedName>
    <definedName name="A_LIVEDATA_EQTY_200015373" localSheetId="1">#REF!</definedName>
    <definedName name="A_LIVEDATA_EQTY_200015373">#REF!</definedName>
    <definedName name="A_LIVEDATA_EQTY_200015981">#REF!</definedName>
    <definedName name="A_LIVEDATA_ISSR_208006264" localSheetId="1">#REF!</definedName>
    <definedName name="A_LIVEDATA_ISSR_208006264">#REF!</definedName>
    <definedName name="A_LIVEDATA_ISSR_208009569" localSheetId="1">#REF!</definedName>
    <definedName name="A_LIVEDATA_ISSR_208009569">#REF!</definedName>
    <definedName name="A_LIVEDATA_ISSR_208012915" localSheetId="1">#REF!</definedName>
    <definedName name="A_LIVEDATA_ISSR_208012915">#REF!</definedName>
    <definedName name="A_PERIOD_1994" localSheetId="1">#REF!</definedName>
    <definedName name="A_PERIOD_1994">#REF!</definedName>
    <definedName name="A_PERIOD_1995" localSheetId="1">#REF!</definedName>
    <definedName name="A_PERIOD_1995">#REF!</definedName>
    <definedName name="A_PERIOD_1996" localSheetId="1">#REF!</definedName>
    <definedName name="A_PERIOD_1996">#REF!</definedName>
    <definedName name="A_PERIOD_1997">#REF!</definedName>
    <definedName name="A_PERIOD_1998">#REF!</definedName>
    <definedName name="A_PERIOD_1999" localSheetId="9">#REF!</definedName>
    <definedName name="A_PERIOD_1999" localSheetId="1">#REF!</definedName>
    <definedName name="A_PERIOD_1999">#REF!</definedName>
    <definedName name="A_PERIOD_2000" localSheetId="9">#REF!</definedName>
    <definedName name="A_PERIOD_2000" localSheetId="1">#REF!</definedName>
    <definedName name="A_PERIOD_2000">#REF!</definedName>
    <definedName name="A_PERIOD_2001" localSheetId="9">#REF!</definedName>
    <definedName name="A_PERIOD_2001" localSheetId="1">#REF!</definedName>
    <definedName name="A_PERIOD_2001">#REF!</definedName>
    <definedName name="A_PERIOD_2002" localSheetId="9">#REF!</definedName>
    <definedName name="A_PERIOD_2002" localSheetId="1">#REF!</definedName>
    <definedName name="A_PERIOD_2002">#REF!</definedName>
    <definedName name="A_PERIOD_2003" localSheetId="9">#REF!</definedName>
    <definedName name="A_PERIOD_2003" localSheetId="1">#REF!</definedName>
    <definedName name="A_PERIOD_2003">#REF!</definedName>
    <definedName name="A_PERIOD_2004" localSheetId="9">#REF!</definedName>
    <definedName name="A_PERIOD_2004" localSheetId="1">#REF!</definedName>
    <definedName name="A_PERIOD_2004">#REF!</definedName>
    <definedName name="A_PERIOD_2005" localSheetId="9">#REF!</definedName>
    <definedName name="A_PERIOD_2005" localSheetId="1">#REF!</definedName>
    <definedName name="A_PERIOD_2005">#REF!</definedName>
    <definedName name="A_PERIOD_2006" localSheetId="9">#REF!</definedName>
    <definedName name="A_PERIOD_2006" localSheetId="1">#REF!</definedName>
    <definedName name="A_PERIOD_2006">#REF!</definedName>
    <definedName name="A_PERIOD_2007" localSheetId="9">#REF!</definedName>
    <definedName name="A_PERIOD_2007" localSheetId="1">#REF!</definedName>
    <definedName name="A_PERIOD_2007">#REF!</definedName>
    <definedName name="A_PERIOD_2008" localSheetId="9">#REF!</definedName>
    <definedName name="A_PERIOD_2008" localSheetId="1">#REF!</definedName>
    <definedName name="A_PERIOD_2008">#REF!</definedName>
    <definedName name="A_PERIOD_2009" localSheetId="9">#REF!</definedName>
    <definedName name="A_PERIOD_2009" localSheetId="1">#REF!</definedName>
    <definedName name="A_PERIOD_2009_Q1" localSheetId="1">#REF!</definedName>
    <definedName name="A_PERIOD_2009_Q1">#REF!</definedName>
    <definedName name="A_PERIOD_2009_Q2" localSheetId="1">#REF!</definedName>
    <definedName name="A_PERIOD_2009_Q2">#REF!</definedName>
    <definedName name="A_PERIOD_2009_Q3" localSheetId="1">#REF!</definedName>
    <definedName name="A_PERIOD_2009_Q3">#REF!</definedName>
    <definedName name="A_PERIOD_2009_Q4" localSheetId="1">#REF!</definedName>
    <definedName name="A_PERIOD_2009_Q4">#REF!</definedName>
    <definedName name="A_PERIOD_2010" localSheetId="9">#REF!</definedName>
    <definedName name="A_PERIOD_2010" localSheetId="1">#REF!</definedName>
    <definedName name="A_PERIOD_2010_H1" localSheetId="1">#REF!</definedName>
    <definedName name="A_PERIOD_2010_H1">#REF!</definedName>
    <definedName name="A_PERIOD_2010_H2" localSheetId="1">#REF!</definedName>
    <definedName name="A_PERIOD_2010_H2">#REF!</definedName>
    <definedName name="A_PERIOD_2010_Q1" localSheetId="1">#REF!</definedName>
    <definedName name="A_PERIOD_2010_Q1">#REF!</definedName>
    <definedName name="A_PERIOD_2010_Q2" localSheetId="1">#REF!</definedName>
    <definedName name="A_PERIOD_2010_Q2">#REF!</definedName>
    <definedName name="A_PERIOD_2010_Q3" localSheetId="1">#REF!</definedName>
    <definedName name="A_PERIOD_2010_Q3">#REF!</definedName>
    <definedName name="A_PERIOD_2010_Q4" localSheetId="1">#REF!</definedName>
    <definedName name="A_PERIOD_2010_Q4">#REF!</definedName>
    <definedName name="A_PERIOD_2011" localSheetId="9">#REF!</definedName>
    <definedName name="A_PERIOD_2011" localSheetId="1">#REF!</definedName>
    <definedName name="A_PERIOD_2011_H1" localSheetId="1">#REF!</definedName>
    <definedName name="A_PERIOD_2011_H1">#REF!</definedName>
    <definedName name="A_PERIOD_2011_H2" localSheetId="1">#REF!</definedName>
    <definedName name="A_PERIOD_2011_H2">#REF!</definedName>
    <definedName name="A_PERIOD_2011_Q1" localSheetId="1">#REF!</definedName>
    <definedName name="A_PERIOD_2011_Q1">#REF!</definedName>
    <definedName name="A_PERIOD_2011_Q2" localSheetId="1">#REF!</definedName>
    <definedName name="A_PERIOD_2011_Q2">#REF!</definedName>
    <definedName name="A_PERIOD_2011_Q3" localSheetId="1">#REF!</definedName>
    <definedName name="A_PERIOD_2011_Q3">#REF!</definedName>
    <definedName name="A_PERIOD_2011_Q4" localSheetId="1">#REF!</definedName>
    <definedName name="A_PERIOD_2011_Q4">#REF!</definedName>
    <definedName name="A_PERIOD_2012" localSheetId="1">#REF!</definedName>
    <definedName name="A_PERIOD_2012_H1" localSheetId="1">#REF!</definedName>
    <definedName name="A_PERIOD_2012_H1">#REF!</definedName>
    <definedName name="A_PERIOD_2012_H2" localSheetId="1">#REF!</definedName>
    <definedName name="A_PERIOD_2012_H2">#REF!</definedName>
    <definedName name="A_PERIOD_2012_Q1" localSheetId="1">#REF!</definedName>
    <definedName name="A_PERIOD_2012_Q1">#REF!</definedName>
    <definedName name="A_PERIOD_2012_Q2" localSheetId="1">#REF!</definedName>
    <definedName name="A_PERIOD_2012_Q2">#REF!</definedName>
    <definedName name="A_PERIOD_2012_Q3" localSheetId="1">#REF!</definedName>
    <definedName name="A_PERIOD_2012_Q3">#REF!</definedName>
    <definedName name="A_PERIOD_2012_Q4" localSheetId="1">#REF!</definedName>
    <definedName name="A_PERIOD_2012_Q4">#REF!</definedName>
    <definedName name="A_PERIOD_2013" localSheetId="1">#REF!</definedName>
    <definedName name="A_PERIOD_2013_Q1" localSheetId="1">#REF!</definedName>
    <definedName name="A_PERIOD_2013_Q1">#REF!</definedName>
    <definedName name="A_PERIOD_2013_Q2" localSheetId="1">#REF!</definedName>
    <definedName name="A_PERIOD_2013_Q2">#REF!</definedName>
    <definedName name="A_PERIOD_2013_Q3" localSheetId="1">#REF!</definedName>
    <definedName name="A_PERIOD_2013_Q3">#REF!</definedName>
    <definedName name="A_PERIOD_2013_Q4" localSheetId="1">#REF!</definedName>
    <definedName name="A_PERIOD_2013_Q4">#REF!</definedName>
    <definedName name="A_PERIOD_2014" localSheetId="1">#REF!</definedName>
    <definedName name="A_PERIOD_2015" localSheetId="1">#REF!</definedName>
    <definedName name="A_SECTION_EQTY_200008062_1314" localSheetId="1">#REF!</definedName>
    <definedName name="A_SECTION_EQTY_200008062_1314">#REF!</definedName>
    <definedName name="A_SECTION_EQTY_200008062_131E" localSheetId="1">#REF!</definedName>
    <definedName name="A_SECTION_EQTY_200008062_131E">#REF!</definedName>
    <definedName name="A_SECTION_EQTY_200008062_131O" localSheetId="1">#REF!</definedName>
    <definedName name="A_SECTION_EQTY_200008062_131O">#REF!</definedName>
    <definedName name="A_SECTION_EQTY_200008062_13A">#REF!</definedName>
    <definedName name="A_SECTION_EQTY_200008062_13K">#REF!</definedName>
    <definedName name="A_SECTION_EQTY_200008062_13U">#REF!</definedName>
    <definedName name="A_SECTION_EQTY_200008062_13V">#REF!</definedName>
    <definedName name="A_SECTION_EQTY_200008062_Reference_Data">#REF!</definedName>
    <definedName name="A_SECTION_EQTY_200012577_1314">#REF!</definedName>
    <definedName name="A_SECTION_EQTY_200012577_131E">#REF!</definedName>
    <definedName name="A_SECTION_EQTY_200012577_131O">#REF!</definedName>
    <definedName name="A_SECTION_EQTY_200012577_13A">#REF!</definedName>
    <definedName name="A_SECTION_EQTY_200012577_13K">#REF!</definedName>
    <definedName name="A_SECTION_EQTY_200012577_13U">#REF!</definedName>
    <definedName name="A_SECTION_EQTY_200012577_13V">#REF!</definedName>
    <definedName name="A_SECTION_EQTY_200012577_Reference_Data">#REF!</definedName>
    <definedName name="A_SECTION_EQTY_200015373_1314">#REF!</definedName>
    <definedName name="A_SECTION_EQTY_200015373_131E">#REF!</definedName>
    <definedName name="A_SECTION_EQTY_200015373_131O">#REF!</definedName>
    <definedName name="A_SECTION_EQTY_200015373_13A">#REF!</definedName>
    <definedName name="A_SECTION_EQTY_200015373_13K">#REF!</definedName>
    <definedName name="A_SECTION_EQTY_200015373_13U">#REF!</definedName>
    <definedName name="A_SECTION_EQTY_200015373_13V">#REF!</definedName>
    <definedName name="A_SECTION_EQTY_200015373_Reference_Data">#REF!</definedName>
    <definedName name="A_SECTION_EQTY_200015981_1314">#REF!</definedName>
    <definedName name="A_SECTION_EQTY_200015981_131E">#REF!</definedName>
    <definedName name="A_SECTION_EQTY_200015981_131O">#REF!</definedName>
    <definedName name="A_SECTION_EQTY_200015981_13A">#REF!</definedName>
    <definedName name="A_SECTION_EQTY_200015981_13K">#REF!</definedName>
    <definedName name="A_SECTION_EQTY_200015981_13U">#REF!</definedName>
    <definedName name="A_SECTION_EQTY_200015981_13V">#REF!</definedName>
    <definedName name="A_SECTION_EQTY_200015981_Reference_Data">#REF!</definedName>
    <definedName name="A_SECTION_ISSR_208006264_1314" localSheetId="1">#REF!</definedName>
    <definedName name="A_SECTION_ISSR_208006264_1314">#REF!</definedName>
    <definedName name="A_SECTION_ISSR_208006264_13168" localSheetId="1">#REF!</definedName>
    <definedName name="A_SECTION_ISSR_208006264_13168">#REF!</definedName>
    <definedName name="A_SECTION_ISSR_208006264_1316S" localSheetId="1">#REF!</definedName>
    <definedName name="A_SECTION_ISSR_208006264_1316S">#REF!</definedName>
    <definedName name="A_SECTION_ISSR_208006264_1316T">#REF!</definedName>
    <definedName name="A_SECTION_ISSR_208006264_1316U">#REF!</definedName>
    <definedName name="A_SECTION_ISSR_208006264_13171">#REF!</definedName>
    <definedName name="A_SECTION_ISSR_208006264_13172">#REF!</definedName>
    <definedName name="A_SECTION_ISSR_208006264_1319">#REF!</definedName>
    <definedName name="A_SECTION_ISSR_208006264_131E">#REF!</definedName>
    <definedName name="A_SECTION_ISSR_208006264_131J">#REF!</definedName>
    <definedName name="A_SECTION_ISSR_208006264_131O">#REF!</definedName>
    <definedName name="A_SECTION_ISSR_208006264_13U">#REF!</definedName>
    <definedName name="A_SECTION_ISSR_208006264_13V">#REF!</definedName>
    <definedName name="A_SECTION_ISSR_208006264_Reference_Data">#REF!</definedName>
    <definedName name="A_SECTION_ISSR_208009569_1314">#REF!</definedName>
    <definedName name="A_SECTION_ISSR_208009569_13168">#REF!</definedName>
    <definedName name="A_SECTION_ISSR_208009569_1316U">#REF!</definedName>
    <definedName name="A_SECTION_ISSR_208009569_1319">#REF!</definedName>
    <definedName name="A_SECTION_ISSR_208009569_131E">#REF!</definedName>
    <definedName name="A_SECTION_ISSR_208009569_131J">#REF!</definedName>
    <definedName name="A_SECTION_ISSR_208009569_131O">#REF!</definedName>
    <definedName name="A_SECTION_ISSR_208009569_13U">#REF!</definedName>
    <definedName name="A_SECTION_ISSR_208009569_13V">#REF!</definedName>
    <definedName name="A_SECTION_ISSR_208009569_Reference_Data">#REF!</definedName>
    <definedName name="A_SECTION_ISSR_208012915_1314">#REF!</definedName>
    <definedName name="A_SECTION_ISSR_208012915_13168">#REF!</definedName>
    <definedName name="A_SECTION_ISSR_208012915_1316S">#REF!</definedName>
    <definedName name="A_SECTION_ISSR_208012915_1316T">#REF!</definedName>
    <definedName name="A_SECTION_ISSR_208012915_1316U">#REF!</definedName>
    <definedName name="A_SECTION_ISSR_208012915_13171">#REF!</definedName>
    <definedName name="A_SECTION_ISSR_208012915_13172">#REF!</definedName>
    <definedName name="A_SECTION_ISSR_208012915_1319">#REF!</definedName>
    <definedName name="A_SECTION_ISSR_208012915_131E">#REF!</definedName>
    <definedName name="A_SECTION_ISSR_208012915_131J">#REF!</definedName>
    <definedName name="A_SECTION_ISSR_208012915_131O">#REF!</definedName>
    <definedName name="A_SECTION_ISSR_208012915_13U">#REF!</definedName>
    <definedName name="A_SECTION_ISSR_208012915_13V">#REF!</definedName>
    <definedName name="A_SECTION_ISSR_208012915_Reference_Data">#REF!</definedName>
    <definedName name="AA">#REF!</definedName>
    <definedName name="AB">#REF!</definedName>
    <definedName name="abc" localSheetId="1">#REF!</definedName>
    <definedName name="abc">#REF!</definedName>
    <definedName name="ABF.CP">#REF!</definedName>
    <definedName name="ABF.RP">#REF!</definedName>
    <definedName name="abnorm">#REF!</definedName>
    <definedName name="abnorm_pre">#REF!</definedName>
    <definedName name="abnorm_tax">#REF!</definedName>
    <definedName name="ABS_2H93" localSheetId="1">#REF!</definedName>
    <definedName name="ABS_2H93">#REF!</definedName>
    <definedName name="ABS_2H94" localSheetId="1">#REF!</definedName>
    <definedName name="ABS_2H94">#REF!</definedName>
    <definedName name="AC">#REF!</definedName>
    <definedName name="aca" localSheetId="1">#REF!</definedName>
    <definedName name="aca">#REF!</definedName>
    <definedName name="Acc_payable_growth_fore" localSheetId="1">#REF!</definedName>
    <definedName name="Acc_payable_growth_fore">#REF!</definedName>
    <definedName name="Acc_Rec_growth_fore" localSheetId="1">#REF!</definedName>
    <definedName name="Acc_Rec_growth_fore">#REF!</definedName>
    <definedName name="accounts">#REF!</definedName>
    <definedName name="Accounts_payable">#REF!</definedName>
    <definedName name="accretion" localSheetId="1">#REF!</definedName>
    <definedName name="accretion">#REF!</definedName>
    <definedName name="Accrued_compensation_growth_fore" localSheetId="1">#REF!</definedName>
    <definedName name="Accrued_compensation_growth_fore">#REF!</definedName>
    <definedName name="Accrued_expenses_growth_fore" localSheetId="1">#REF!</definedName>
    <definedName name="Accrued_expenses_growth_fore">#REF!</definedName>
    <definedName name="Accum_Cap_Expenses_growth_fore">#REF!</definedName>
    <definedName name="Accum_Goodwill_Amort_growth_fore">#REF!</definedName>
    <definedName name="ACE">#REF!</definedName>
    <definedName name="acl">#REF!</definedName>
    <definedName name="acqinv">#REF!</definedName>
    <definedName name="acqsub">#REF!</definedName>
    <definedName name="AcquInv" localSheetId="1">#REF!</definedName>
    <definedName name="AcquInv">#REF!</definedName>
    <definedName name="Acquisition_divestments">#REF!</definedName>
    <definedName name="ACQUISITION93" localSheetId="1">#REF!</definedName>
    <definedName name="ACQUISITION93">#REF!</definedName>
    <definedName name="ACQUISITION94" localSheetId="1">#REF!</definedName>
    <definedName name="ACQUISITION94">#REF!</definedName>
    <definedName name="ACQUISITION95" localSheetId="1">#REF!</definedName>
    <definedName name="ACQUISITION95">#REF!</definedName>
    <definedName name="ACQUISITION96">#REF!</definedName>
    <definedName name="ACQUISITION97">#REF!</definedName>
    <definedName name="AD">#REF!</definedName>
    <definedName name="Add__Cash">#REF!</definedName>
    <definedName name="Add__Listed_Investments">#REF!</definedName>
    <definedName name="Add__Other_Investments">#REF!</definedName>
    <definedName name="ADDED_VALUE">#REF!</definedName>
    <definedName name="Adj_net_oper_fore" localSheetId="1">#REF!</definedName>
    <definedName name="Adj_net_oper_fore">#REF!</definedName>
    <definedName name="Adjusted_EPS">#REF!</definedName>
    <definedName name="Adjusted_Net_Operating_Profit">#REF!</definedName>
    <definedName name="AE">#REF!</definedName>
    <definedName name="AEGN" localSheetId="1">#REF!</definedName>
    <definedName name="AEGN">#REF!</definedName>
    <definedName name="af">#REF!</definedName>
    <definedName name="afa" localSheetId="1">#REF!</definedName>
    <definedName name="afa">#REF!</definedName>
    <definedName name="afc" localSheetId="1">#REF!</definedName>
    <definedName name="afc">#REF!</definedName>
    <definedName name="AFL" localSheetId="1">#REF!</definedName>
    <definedName name="AFL">#REF!</definedName>
    <definedName name="ag">#REF!</definedName>
    <definedName name="Agent_compensation" localSheetId="1">#REF!</definedName>
    <definedName name="Agent_compensation">#REF!</definedName>
    <definedName name="AGF" localSheetId="1">#REF!</definedName>
    <definedName name="AGF">#REF!</definedName>
    <definedName name="ah">#REF!</definedName>
    <definedName name="ai">#REF!</definedName>
    <definedName name="aie" localSheetId="1">#REF!</definedName>
    <definedName name="aie">#REF!</definedName>
    <definedName name="AIG" localSheetId="1">#REF!</definedName>
    <definedName name="AIG">#REF!</definedName>
    <definedName name="aj">#REF!</definedName>
    <definedName name="ak">#REF!</definedName>
    <definedName name="AL" localSheetId="1">#REF!</definedName>
    <definedName name="AL">#REF!</definedName>
    <definedName name="ALL" localSheetId="1">#REF!</definedName>
    <definedName name="ALL">#REF!</definedName>
    <definedName name="All_00_PS">#REF!</definedName>
    <definedName name="All_00_Rev">#REF!</definedName>
    <definedName name="All_97_PS">#REF!</definedName>
    <definedName name="All_97_Rev">#REF!</definedName>
    <definedName name="All_98_PS">#REF!</definedName>
    <definedName name="All_98_Rev">#REF!</definedName>
    <definedName name="All_99_PS">#REF!</definedName>
    <definedName name="All_99_Rev">#REF!</definedName>
    <definedName name="All_EPS_00">#REF!</definedName>
    <definedName name="All_EPS_98">#REF!</definedName>
    <definedName name="All_EPS_99">#REF!</definedName>
    <definedName name="All_Mkt_Cap">#REF!</definedName>
    <definedName name="All_Off_High">#REF!</definedName>
    <definedName name="All_Stocks">#REF!</definedName>
    <definedName name="alogin" localSheetId="1">#REF!</definedName>
    <definedName name="alogin">#REF!</definedName>
    <definedName name="Alt_Instru" localSheetId="5">#REF!</definedName>
    <definedName name="Alt_Instru" localSheetId="1">#REF!</definedName>
    <definedName name="Alt_Instru">#REF!</definedName>
    <definedName name="altinst" localSheetId="5">#REF!</definedName>
    <definedName name="altinst">#REF!</definedName>
    <definedName name="ALV">#REF!</definedName>
    <definedName name="am">#REF!</definedName>
    <definedName name="AM_AUM" localSheetId="1">#REF!</definedName>
    <definedName name="AM_AUM">#REF!</definedName>
    <definedName name="AM_CAP" localSheetId="1">#REF!</definedName>
    <definedName name="AM_CAP">#REF!</definedName>
    <definedName name="AM_EXP" localSheetId="1">#REF!</definedName>
    <definedName name="AM_EXP">#REF!</definedName>
    <definedName name="AM_FEE">#REF!</definedName>
    <definedName name="AM_FEEAUMRAT">#REF!</definedName>
    <definedName name="AM_MARGINAUM">#REF!</definedName>
    <definedName name="AM_PPRETAX">#REF!</definedName>
    <definedName name="AM_PRETAX">#REF!</definedName>
    <definedName name="AMG">#REF!</definedName>
    <definedName name="AMH">#REF!</definedName>
    <definedName name="Amort" localSheetId="1">#REF!</definedName>
    <definedName name="Amort" localSheetId="14">#REF!</definedName>
    <definedName name="Amort">#REF!</definedName>
    <definedName name="Amortisation" localSheetId="1">#REF!</definedName>
    <definedName name="Amortisation">#REF!</definedName>
    <definedName name="AMP" localSheetId="1">#REF!</definedName>
    <definedName name="AMP">#REF!</definedName>
    <definedName name="an">#REF!</definedName>
    <definedName name="ANALYST" localSheetId="5">#REF!</definedName>
    <definedName name="ANALYST" localSheetId="1">#REF!</definedName>
    <definedName name="ANALYST">#REF!</definedName>
    <definedName name="AnalystBeta" localSheetId="1">#REF!</definedName>
    <definedName name="AnalystBeta">#REF!</definedName>
    <definedName name="and">#REF!</definedName>
    <definedName name="anf">#REF!</definedName>
    <definedName name="anl">#REF!</definedName>
    <definedName name="ao">#REF!</definedName>
    <definedName name="AorF91" localSheetId="1">#REF!</definedName>
    <definedName name="AorF91">#REF!</definedName>
    <definedName name="AorF92" localSheetId="1">#REF!</definedName>
    <definedName name="AorF92">#REF!</definedName>
    <definedName name="AorF93" localSheetId="1">#REF!</definedName>
    <definedName name="AorF93">#REF!</definedName>
    <definedName name="AorF94">#REF!</definedName>
    <definedName name="AorF95">#REF!</definedName>
    <definedName name="AorF96">#REF!</definedName>
    <definedName name="AorF97">#REF!</definedName>
    <definedName name="ap">#REF!</definedName>
    <definedName name="aq">#REF!</definedName>
    <definedName name="aratio" localSheetId="1">#REF!</definedName>
    <definedName name="aratio">#REF!</definedName>
    <definedName name="areashape" localSheetId="1">#REF!</definedName>
    <definedName name="areashape">#REF!</definedName>
    <definedName name="Arial" localSheetId="1">#REF!</definedName>
    <definedName name="Arial">#REF!</definedName>
    <definedName name="as">#REF!</definedName>
    <definedName name="asdg">#REF!</definedName>
    <definedName name="asf">#REF!</definedName>
    <definedName name="Asia">#REF!</definedName>
    <definedName name="Asia_w">#REF!</definedName>
    <definedName name="ass">#REF!</definedName>
    <definedName name="ass_reval">#REF!</definedName>
    <definedName name="AssDisc" localSheetId="1">#REF!</definedName>
    <definedName name="AssDisc">#REF!</definedName>
    <definedName name="AssDiscName" localSheetId="1">#REF!</definedName>
    <definedName name="AssDiscName">#REF!</definedName>
    <definedName name="AssDiv1" localSheetId="1">#REF!</definedName>
    <definedName name="AssDiv1">#REF!</definedName>
    <definedName name="AssDiv1Name">#REF!</definedName>
    <definedName name="AssDiv2">#REF!</definedName>
    <definedName name="AssDiv2Name">#REF!</definedName>
    <definedName name="AssDiv3">#REF!</definedName>
    <definedName name="AssDiv3Name">#REF!</definedName>
    <definedName name="AssDiv4">#REF!</definedName>
    <definedName name="AssDiv4Name">#REF!</definedName>
    <definedName name="AssDiv5">#REF!</definedName>
    <definedName name="AssDiv5Name">#REF!</definedName>
    <definedName name="AssDiv6">#REF!</definedName>
    <definedName name="AssDiv6Name">#REF!</definedName>
    <definedName name="AssDiv7">#REF!</definedName>
    <definedName name="AssDiv7Name">#REF!</definedName>
    <definedName name="AssDiv8">#REF!</definedName>
    <definedName name="AssDiv8Name">#REF!</definedName>
    <definedName name="AssDiv9">#REF!</definedName>
    <definedName name="AssDiv9Name">#REF!</definedName>
    <definedName name="AssDivCorpOver">#REF!</definedName>
    <definedName name="Asset_Beta" localSheetId="5">#REF!</definedName>
    <definedName name="Asset_Beta">#REF!</definedName>
    <definedName name="asset97" localSheetId="1">#REF!</definedName>
    <definedName name="asset97">#REF!</definedName>
    <definedName name="asset98" localSheetId="1">#REF!</definedName>
    <definedName name="asset98">#REF!</definedName>
    <definedName name="asset99" localSheetId="1">#REF!</definedName>
    <definedName name="asset99">#REF!</definedName>
    <definedName name="AssetQuality">#REF!</definedName>
    <definedName name="AssetReval">#REF!</definedName>
    <definedName name="assetsls">#REF!</definedName>
    <definedName name="AssetStructure" localSheetId="1">#REF!</definedName>
    <definedName name="AssetStructure">#REF!</definedName>
    <definedName name="ASSOC93" localSheetId="1">#REF!</definedName>
    <definedName name="ASSOC93">#REF!</definedName>
    <definedName name="ASSOC94" localSheetId="1">#REF!</definedName>
    <definedName name="ASSOC94">#REF!</definedName>
    <definedName name="AssocComDiv">#REF!</definedName>
    <definedName name="AssocCompPat1">#REF!</definedName>
    <definedName name="AssocCompPat10">#REF!</definedName>
    <definedName name="AssocCompPat10Name">#REF!</definedName>
    <definedName name="AssocCompPat1Name">#REF!</definedName>
    <definedName name="AssocCompPat2">#REF!</definedName>
    <definedName name="AssocCompPat2Name">#REF!</definedName>
    <definedName name="AssocCompPat3">#REF!</definedName>
    <definedName name="AssocCompPat3Name">#REF!</definedName>
    <definedName name="AssocCompPat4">#REF!</definedName>
    <definedName name="AssocCompPat4Name">#REF!</definedName>
    <definedName name="AssocCompPat5">#REF!</definedName>
    <definedName name="AssocCompPat5Name">#REF!</definedName>
    <definedName name="AssocCompPat6">#REF!</definedName>
    <definedName name="AssocCompPat6Name">#REF!</definedName>
    <definedName name="AssocCompPat7">#REF!</definedName>
    <definedName name="AssocCompPat7Name">#REF!</definedName>
    <definedName name="AssocCompPat8">#REF!</definedName>
    <definedName name="AssocCompPat8Name">#REF!</definedName>
    <definedName name="AssocCompPat9">#REF!</definedName>
    <definedName name="AssocCompPat9Name">#REF!</definedName>
    <definedName name="AssocDebt">#REF!</definedName>
    <definedName name="AssocEqu">#REF!</definedName>
    <definedName name="Associated_income">#REF!</definedName>
    <definedName name="AssocOtherLiab" localSheetId="1">#REF!</definedName>
    <definedName name="AssocOtherLiab">#REF!</definedName>
    <definedName name="AssocPat" localSheetId="1">#REF!</definedName>
    <definedName name="AssocPat">#REF!</definedName>
    <definedName name="AssocSales" localSheetId="1">#REF!</definedName>
    <definedName name="AssocSales">#REF!</definedName>
    <definedName name="AssocTotAss">#REF!</definedName>
    <definedName name="AssReg1">#REF!</definedName>
    <definedName name="AssReg1Name">#REF!</definedName>
    <definedName name="AssReg2">#REF!</definedName>
    <definedName name="AssReg2Name">#REF!</definedName>
    <definedName name="AssReg3">#REF!</definedName>
    <definedName name="AssReg3Name">#REF!</definedName>
    <definedName name="AssReg4">#REF!</definedName>
    <definedName name="AssReg4Name">#REF!</definedName>
    <definedName name="AssReg5">#REF!</definedName>
    <definedName name="AssReg5Name">#REF!</definedName>
    <definedName name="AssReg6">#REF!</definedName>
    <definedName name="AssReg6Name">#REF!</definedName>
    <definedName name="AssReg7">#REF!</definedName>
    <definedName name="AssReg7Name">#REF!</definedName>
    <definedName name="AssReg8">#REF!</definedName>
    <definedName name="AssReg8Name">#REF!</definedName>
    <definedName name="AssReg9">#REF!</definedName>
    <definedName name="AssReg9Name">#REF!</definedName>
    <definedName name="AssRegDisc">#REF!</definedName>
    <definedName name="AssRegDiscName">#REF!</definedName>
    <definedName name="AssRegDivCorpOver">#REF!</definedName>
    <definedName name="ata">#REF!</definedName>
    <definedName name="ate">#REF!</definedName>
    <definedName name="att">#REF!</definedName>
    <definedName name="atype">#REF!</definedName>
    <definedName name="audnew">#REF!</definedName>
    <definedName name="audold">#REF!</definedName>
    <definedName name="aUSA">#REF!</definedName>
    <definedName name="Australia">#REF!</definedName>
    <definedName name="Average_Benefits_per_Policy_Receiving_Benefits" localSheetId="1">#REF!</definedName>
    <definedName name="Average_Benefits_per_Policy_Receiving_Benefits">#REF!</definedName>
    <definedName name="Average_invested_capital">#REF!</definedName>
    <definedName name="Average_invested_capital_DCF">#REF!</definedName>
    <definedName name="Avgasset" localSheetId="1">#REF!</definedName>
    <definedName name="Avgasset" localSheetId="14">#REF!</definedName>
    <definedName name="Avgasset">#REF!</definedName>
    <definedName name="Avgequity" localSheetId="1">#REF!</definedName>
    <definedName name="Avgequity" localSheetId="14">#REF!</definedName>
    <definedName name="Avgequity">#REF!</definedName>
    <definedName name="avintpaid">#REF!</definedName>
    <definedName name="AVZ" localSheetId="1">#REF!</definedName>
    <definedName name="AVZ">#REF!</definedName>
    <definedName name="AXA" localSheetId="1">#REF!</definedName>
    <definedName name="AXA">#REF!</definedName>
    <definedName name="AXA_AU" localSheetId="1">#REF!</definedName>
    <definedName name="AXA_AU">#REF!</definedName>
    <definedName name="b">#REF!</definedName>
    <definedName name="BA">#REF!</definedName>
    <definedName name="bab" localSheetId="1">#REF!</definedName>
    <definedName name="bab">#REF!</definedName>
    <definedName name="backbone" localSheetId="1">#REF!</definedName>
    <definedName name="backbone">#REF!</definedName>
    <definedName name="backto">#REF!</definedName>
    <definedName name="bad" localSheetId="1">#REF!</definedName>
    <definedName name="bad">#REF!</definedName>
    <definedName name="bae" localSheetId="1">#REF!</definedName>
    <definedName name="bae">#REF!</definedName>
    <definedName name="bahtnew" localSheetId="1">#REF!</definedName>
    <definedName name="bahtnew">#REF!</definedName>
    <definedName name="bahtold">#REF!</definedName>
    <definedName name="Bal_sheet">#REF!</definedName>
    <definedName name="Balance_sheet">#REF!</definedName>
    <definedName name="BalanceSheet">#REF!</definedName>
    <definedName name="BALFULL">#REF!</definedName>
    <definedName name="BALN">#REF!</definedName>
    <definedName name="BALSHEET" localSheetId="4">#REF!</definedName>
    <definedName name="BALSHEET">#REF!</definedName>
    <definedName name="BanksAccounts">#REF!</definedName>
    <definedName name="BanksOnly" localSheetId="14">#REF!,#REF!,#REF!,#REF!,#REF!,#REF!,#REF!,#REF!,#REF!,#REF!</definedName>
    <definedName name="BanksOnly">#REF!,#REF!,#REF!,#REF!,#REF!,#REF!,#REF!,#REF!,#REF!,#REF!</definedName>
    <definedName name="bao">#REF!</definedName>
    <definedName name="bap">#REF!</definedName>
    <definedName name="baseassump">#REF!</definedName>
    <definedName name="baseassumption">#REF!</definedName>
    <definedName name="bat" localSheetId="1">#REF!</definedName>
    <definedName name="bat">#REF!</definedName>
    <definedName name="bay" localSheetId="1">#REF!</definedName>
    <definedName name="bay">#REF!</definedName>
    <definedName name="bb" localSheetId="1">#REF!</definedName>
    <definedName name="bb">#REF!</definedName>
    <definedName name="bba">#REF!</definedName>
    <definedName name="bbf">#REF!</definedName>
    <definedName name="BBME">#REF!</definedName>
    <definedName name="bbx" localSheetId="1">#REF!</definedName>
    <definedName name="bbx">#REF!</definedName>
    <definedName name="BC">#REF!</definedName>
    <definedName name="bca" localSheetId="1">#REF!</definedName>
    <definedName name="bca">#REF!</definedName>
    <definedName name="bcb" localSheetId="1">#REF!</definedName>
    <definedName name="bcb">#REF!</definedName>
    <definedName name="bce" localSheetId="1">#REF!</definedName>
    <definedName name="bce">#REF!</definedName>
    <definedName name="bcl">#REF!</definedName>
    <definedName name="bcm">#REF!</definedName>
    <definedName name="bcp">#REF!</definedName>
    <definedName name="bcr">#REF!</definedName>
    <definedName name="bct">#REF!</definedName>
    <definedName name="bcw">#REF!</definedName>
    <definedName name="BD">#REF!</definedName>
    <definedName name="bdb" localSheetId="1">#REF!</definedName>
    <definedName name="bdb">#REF!</definedName>
    <definedName name="bdc" localSheetId="1">#REF!</definedName>
    <definedName name="bdc">#REF!</definedName>
    <definedName name="bdd" localSheetId="1">#REF!</definedName>
    <definedName name="bdd">#REF!</definedName>
    <definedName name="bdi">#REF!</definedName>
    <definedName name="bdp">#REF!</definedName>
    <definedName name="bds">#REF!</definedName>
    <definedName name="bdt">#REF!</definedName>
    <definedName name="BE">#REF!</definedName>
    <definedName name="BEN" localSheetId="1">#REF!</definedName>
    <definedName name="BEN">#REF!</definedName>
    <definedName name="beq" localSheetId="1">#REF!</definedName>
    <definedName name="beq">#REF!</definedName>
    <definedName name="bet" localSheetId="1">#REF!</definedName>
    <definedName name="bet">#REF!</definedName>
    <definedName name="beta" localSheetId="9">#REF!</definedName>
    <definedName name="BETA" localSheetId="5">#REF!</definedName>
    <definedName name="BETA">#REF!</definedName>
    <definedName name="bf">#REF!</definedName>
    <definedName name="bfa" localSheetId="1">#REF!</definedName>
    <definedName name="bfa">#REF!</definedName>
    <definedName name="bfc" localSheetId="1">#REF!</definedName>
    <definedName name="bfc">#REF!</definedName>
    <definedName name="BFI" localSheetId="1">#REF!</definedName>
    <definedName name="BFI">#REF!</definedName>
    <definedName name="bg">#REF!</definedName>
    <definedName name="bh">#REF!</definedName>
    <definedName name="bi">#REF!</definedName>
    <definedName name="bia" localSheetId="1">#REF!</definedName>
    <definedName name="bia">#REF!</definedName>
    <definedName name="bib" localSheetId="1">#REF!</definedName>
    <definedName name="bib">#REF!</definedName>
    <definedName name="bie" localSheetId="1">#REF!</definedName>
    <definedName name="bie">#REF!</definedName>
    <definedName name="bin">#REF!</definedName>
    <definedName name="bio">#REF!</definedName>
    <definedName name="bir">#REF!</definedName>
    <definedName name="bit">#REF!</definedName>
    <definedName name="bj">#REF!</definedName>
    <definedName name="bk">#REF!</definedName>
    <definedName name="BK_BDEBTRWA" localSheetId="1">#REF!</definedName>
    <definedName name="BK_BDEBTRWA">#REF!</definedName>
    <definedName name="BK_CAP" localSheetId="1">#REF!</definedName>
    <definedName name="BK_CAP">#REF!</definedName>
    <definedName name="BK_COMMINC" localSheetId="1">#REF!</definedName>
    <definedName name="BK_COMMINC">#REF!</definedName>
    <definedName name="BK_COSTINCRAT">#REF!</definedName>
    <definedName name="BK_COSTS">#REF!</definedName>
    <definedName name="BK_CREDLOSS">#REF!</definedName>
    <definedName name="BK_CUSTDEP">#REF!</definedName>
    <definedName name="BK_CUSTLEND">#REF!</definedName>
    <definedName name="BK_LLR">#REF!</definedName>
    <definedName name="BK_LLRLOAN">#REF!</definedName>
    <definedName name="BK_LLRNPL">#REF!</definedName>
    <definedName name="Bk_Mtg_Loan_gwt">#REF!</definedName>
    <definedName name="BK_NETINCMARGIN" localSheetId="1">#REF!</definedName>
    <definedName name="BK_NETINCMARGIN">#REF!</definedName>
    <definedName name="BK_NETINTINC" localSheetId="1">#REF!</definedName>
    <definedName name="BK_NETINTINC">#REF!</definedName>
    <definedName name="BK_NIITOTOPINCRAT" localSheetId="1">#REF!</definedName>
    <definedName name="BK_NIITOTOPINCRAT">#REF!</definedName>
    <definedName name="BK_NIMRWA">#REF!</definedName>
    <definedName name="BK_NONCORE">#REF!</definedName>
    <definedName name="BK_NPL">#REF!</definedName>
    <definedName name="BK_NPLLOAN">#REF!</definedName>
    <definedName name="BK_OTHER">#REF!</definedName>
    <definedName name="BK_PPRETAX">#REF!</definedName>
    <definedName name="BK_PRETAX">#REF!</definedName>
    <definedName name="BK_REV_DOM">#REF!</definedName>
    <definedName name="BK_REV_EUR">#REF!</definedName>
    <definedName name="BK_REV_LA">#REF!</definedName>
    <definedName name="BK_REV_NA">#REF!</definedName>
    <definedName name="BK_REV_OTH">#REF!</definedName>
    <definedName name="BK_REV_PDOM">#REF!</definedName>
    <definedName name="BK_REV_PEUR">#REF!</definedName>
    <definedName name="BK_REV_PLA">#REF!</definedName>
    <definedName name="BK_REV_PNA">#REF!</definedName>
    <definedName name="BK_REV_POTH">#REF!</definedName>
    <definedName name="BK_RWA">#REF!</definedName>
    <definedName name="BK_TIER1">#REF!</definedName>
    <definedName name="BK_TIER1RAT">#REF!</definedName>
    <definedName name="BK_TOTASSETS">#REF!</definedName>
    <definedName name="BK_TOTOPINC">#REF!</definedName>
    <definedName name="bl">#REF!</definedName>
    <definedName name="BLA" localSheetId="1">#REF!</definedName>
    <definedName name="BLA">#REF!</definedName>
    <definedName name="BLK" localSheetId="1">#REF!</definedName>
    <definedName name="BLK">#REF!</definedName>
    <definedName name="bll" localSheetId="1">#REF!</definedName>
    <definedName name="bll">#REF!</definedName>
    <definedName name="BLPH1" localSheetId="14" hidden="1">#REF!</definedName>
    <definedName name="BLPH1" hidden="1">#REF!</definedName>
    <definedName name="BLPH2" localSheetId="14" hidden="1">#REF!</definedName>
    <definedName name="BLPH2" hidden="1">#REF!</definedName>
    <definedName name="BLPH3" localSheetId="14" hidden="1">#REF!</definedName>
    <definedName name="BLPH3" hidden="1">#REF!</definedName>
    <definedName name="BLPH4" localSheetId="14" hidden="1">#REF!</definedName>
    <definedName name="BLPH4" hidden="1">#REF!</definedName>
    <definedName name="BLPH5" localSheetId="14" hidden="1">#REF!</definedName>
    <definedName name="BLPH5" hidden="1">#REF!</definedName>
    <definedName name="BLPH6" localSheetId="14" hidden="1">#REF!</definedName>
    <definedName name="BLPH6" hidden="1">#REF!</definedName>
    <definedName name="BLPH7" localSheetId="14" hidden="1">#REF!</definedName>
    <definedName name="BLPH7" hidden="1">#REF!</definedName>
    <definedName name="BLQ">#REF!</definedName>
    <definedName name="blt">#REF!</definedName>
    <definedName name="bm">#REF!</definedName>
    <definedName name="bmi" localSheetId="1">#REF!</definedName>
    <definedName name="bmi">#REF!</definedName>
    <definedName name="bnd" localSheetId="1">#REF!</definedName>
    <definedName name="bnd">#REF!</definedName>
    <definedName name="bnf" localSheetId="1">#REF!</definedName>
    <definedName name="bnf">#REF!</definedName>
    <definedName name="bni">#REF!</definedName>
    <definedName name="bnl">#REF!</definedName>
    <definedName name="Board_Lot" localSheetId="4">#REF!</definedName>
    <definedName name="Board_Lot" localSheetId="5">#REF!</definedName>
    <definedName name="Board_Lot">#REF!</definedName>
    <definedName name="boc">#REF!</definedName>
    <definedName name="BOCGroup">#REF!</definedName>
    <definedName name="BOCGrp">#REF!</definedName>
    <definedName name="boi" localSheetId="1">#REF!</definedName>
    <definedName name="boi">#REF!</definedName>
    <definedName name="bol" localSheetId="1">#REF!</definedName>
    <definedName name="bol">#REF!</definedName>
    <definedName name="bookval94" localSheetId="1">#REF!</definedName>
    <definedName name="bookval94">#REF!</definedName>
    <definedName name="bookval95">#REF!</definedName>
    <definedName name="bookval96">#REF!</definedName>
    <definedName name="bookval97">#REF!</definedName>
    <definedName name="bor">#REF!</definedName>
    <definedName name="bot">#REF!</definedName>
    <definedName name="bpp">#REF!</definedName>
    <definedName name="bpr">#REF!</definedName>
    <definedName name="bpu">#REF!</definedName>
    <definedName name="Brandnames">#REF!</definedName>
    <definedName name="bre">#REF!</definedName>
    <definedName name="bri">#REF!</definedName>
    <definedName name="Bridge" localSheetId="4">#REF!</definedName>
    <definedName name="Bridge" localSheetId="5">#REF!</definedName>
    <definedName name="Bridge">#REF!</definedName>
    <definedName name="BriefCoName" localSheetId="4">#REF!</definedName>
    <definedName name="BriefCoName" localSheetId="5">#REF!</definedName>
    <definedName name="BriefCoName">#REF!</definedName>
    <definedName name="BriefDate">#REF!</definedName>
    <definedName name="BriefInvPlay">#REF!</definedName>
    <definedName name="BriefPrevDate">#REF!</definedName>
    <definedName name="BriefPrevRecom">#REF!</definedName>
    <definedName name="BriefRationale">#REF!</definedName>
    <definedName name="BriefRecom">#REF!</definedName>
    <definedName name="BriefSummary">#REF!</definedName>
    <definedName name="BriefTime">#REF!</definedName>
    <definedName name="brr">#REF!</definedName>
    <definedName name="BRT">#REF!</definedName>
    <definedName name="bs">#REF!</definedName>
    <definedName name="BS_1">#REF!</definedName>
    <definedName name="BS_2">#REF!</definedName>
    <definedName name="BS_3">#REF!</definedName>
    <definedName name="BS_4">#REF!</definedName>
    <definedName name="bs_canada">#REF!</definedName>
    <definedName name="bs_hsbcmaly">#REF!</definedName>
    <definedName name="bs_invstmt">#REF!</definedName>
    <definedName name="bs_Saudi">#REF!</definedName>
    <definedName name="BS1MIDL">#REF!</definedName>
    <definedName name="BS2MIDL">#REF!</definedName>
    <definedName name="bsf">#REF!</definedName>
    <definedName name="bshaust">#REF!</definedName>
    <definedName name="bshkaustra" localSheetId="1">#REF!</definedName>
    <definedName name="bshkaustra">#REF!</definedName>
    <definedName name="BSHKB" localSheetId="1">#REF!</definedName>
    <definedName name="BSHKB">#REF!</definedName>
    <definedName name="bsmarine" localSheetId="1">#REF!</definedName>
    <definedName name="bsmarine">#REF!</definedName>
    <definedName name="BSR" localSheetId="1">#REF!</definedName>
    <definedName name="BSR">#REF!</definedName>
    <definedName name="bst" localSheetId="1">#REF!</definedName>
    <definedName name="bst">#REF!</definedName>
    <definedName name="bt">#REF!</definedName>
    <definedName name="bta" localSheetId="1">#REF!</definedName>
    <definedName name="bta">#REF!</definedName>
    <definedName name="btd" localSheetId="1">#REF!</definedName>
    <definedName name="btd">#REF!</definedName>
    <definedName name="bte" localSheetId="1">#REF!</definedName>
    <definedName name="bte">#REF!</definedName>
    <definedName name="btl">#REF!</definedName>
    <definedName name="btp">#REF!</definedName>
    <definedName name="btt">#REF!</definedName>
    <definedName name="bud">#REF!</definedName>
    <definedName name="BusinessMix">#REF!</definedName>
    <definedName name="buyoutmin">#REF!</definedName>
    <definedName name="BVPS">#REF!</definedName>
    <definedName name="BVPS00" localSheetId="1">#REF!</definedName>
    <definedName name="BVPS00">#REF!</definedName>
    <definedName name="BVPS01" localSheetId="1">#REF!</definedName>
    <definedName name="BVPS01">#REF!</definedName>
    <definedName name="BVPS99" localSheetId="1">#REF!</definedName>
    <definedName name="BVPS99">#REF!</definedName>
    <definedName name="BVPSH00">#REF!</definedName>
    <definedName name="BVPSH01">#REF!</definedName>
    <definedName name="BVPSH86">#REF!</definedName>
    <definedName name="BVPSH87">#REF!</definedName>
    <definedName name="BVPSH88">#REF!</definedName>
    <definedName name="BVPSH89">#REF!</definedName>
    <definedName name="BVPSH90">#REF!</definedName>
    <definedName name="BVPSH91">#REF!</definedName>
    <definedName name="BVPSH92">#REF!</definedName>
    <definedName name="BVPSH93">#REF!</definedName>
    <definedName name="BVPSH94">#REF!</definedName>
    <definedName name="BVPSH95">#REF!</definedName>
    <definedName name="BVPSH96">#REF!</definedName>
    <definedName name="BVPSH97">#REF!</definedName>
    <definedName name="BVPSH98">#REF!</definedName>
    <definedName name="BVPSH99">#REF!</definedName>
    <definedName name="BVS00">#REF!</definedName>
    <definedName name="CA">#REF!</definedName>
    <definedName name="CABLE" localSheetId="1">#REF!</definedName>
    <definedName name="CABLE">#REF!</definedName>
    <definedName name="cac" localSheetId="1">#REF!</definedName>
    <definedName name="cac">#REF!</definedName>
    <definedName name="cadnew" localSheetId="1">#REF!</definedName>
    <definedName name="cadnew">#REF!</definedName>
    <definedName name="cadold" localSheetId="1">#REF!</definedName>
    <definedName name="cadold">#REF!</definedName>
    <definedName name="cam">#REF!</definedName>
    <definedName name="Canada">#REF!</definedName>
    <definedName name="canada_loanbook" localSheetId="1">#REF!</definedName>
    <definedName name="canada_loanbook">#REF!</definedName>
    <definedName name="cap">#REF!</definedName>
    <definedName name="cap_int">#REF!</definedName>
    <definedName name="CAP_INT93" localSheetId="1">#REF!</definedName>
    <definedName name="CAP_INT93">#REF!</definedName>
    <definedName name="CAP_INT94" localSheetId="1">#REF!</definedName>
    <definedName name="CAP_INT94">#REF!</definedName>
    <definedName name="CAP_INT95" localSheetId="1">#REF!</definedName>
    <definedName name="CAP_INT95">#REF!</definedName>
    <definedName name="CAP_INT96">#REF!</definedName>
    <definedName name="CAP_INT97">#REF!</definedName>
    <definedName name="cap_int98">#REF!</definedName>
    <definedName name="CapChanges" localSheetId="1">#REF!</definedName>
    <definedName name="CapChanges">#REF!</definedName>
    <definedName name="capemp91" localSheetId="1">#REF!</definedName>
    <definedName name="capemp91">#REF!</definedName>
    <definedName name="capemp92" localSheetId="1">#REF!</definedName>
    <definedName name="capemp92">#REF!</definedName>
    <definedName name="capemp93">#REF!</definedName>
    <definedName name="capemp94">#REF!</definedName>
    <definedName name="capemp95">#REF!</definedName>
    <definedName name="capemp96">#REF!</definedName>
    <definedName name="capemp97">#REF!</definedName>
    <definedName name="CAPEX">#REF!</definedName>
    <definedName name="capex91" localSheetId="1">#REF!</definedName>
    <definedName name="capex91">#REF!</definedName>
    <definedName name="capex92" localSheetId="1">#REF!</definedName>
    <definedName name="capex92">#REF!</definedName>
    <definedName name="capex93" localSheetId="1">#REF!</definedName>
    <definedName name="capex93">#REF!</definedName>
    <definedName name="capex94">#REF!</definedName>
    <definedName name="capex95">#REF!</definedName>
    <definedName name="capex96">#REF!</definedName>
    <definedName name="capex97">#REF!</definedName>
    <definedName name="Capexp_92">#REF!</definedName>
    <definedName name="Capexp_93">#REF!</definedName>
    <definedName name="Capexp_94">#REF!</definedName>
    <definedName name="Capexp_95">#REF!</definedName>
    <definedName name="CAPEXP92">#REF!</definedName>
    <definedName name="CAPEXP93">#REF!</definedName>
    <definedName name="CAPEXP94">#REF!</definedName>
    <definedName name="CAPEXP95">#REF!</definedName>
    <definedName name="CAPEXP96">#REF!</definedName>
    <definedName name="CAPEXP97">#REF!</definedName>
    <definedName name="capita">#REF!</definedName>
    <definedName name="Capital_gains">#REF!</definedName>
    <definedName name="Capital_spending">#REF!</definedName>
    <definedName name="Capital_Spending_Budgets__estimated_by_Salomon_Smith_Barney" localSheetId="1">#REF!</definedName>
    <definedName name="Capital_Spending_Budgets__estimated_by_Salomon_Smith_Barney">#REF!</definedName>
    <definedName name="Capitalization" localSheetId="1">#REF!</definedName>
    <definedName name="Capitalization">#REF!</definedName>
    <definedName name="capres">#REF!</definedName>
    <definedName name="CardCoName" localSheetId="1">#REF!</definedName>
    <definedName name="CardCoName">#REF!</definedName>
    <definedName name="CardDate" localSheetId="1">#REF!</definedName>
    <definedName name="CardDate">#REF!</definedName>
    <definedName name="CardInvPlay" localSheetId="1">#REF!</definedName>
    <definedName name="CardInvPlay">#REF!</definedName>
    <definedName name="CardPrevDate">#REF!</definedName>
    <definedName name="CardPrevRecom">#REF!</definedName>
    <definedName name="CardRationale">#REF!</definedName>
    <definedName name="CardRecom">#REF!</definedName>
    <definedName name="CardSummary">#REF!</definedName>
    <definedName name="CardTime">#REF!</definedName>
    <definedName name="cash" localSheetId="14">#REF!</definedName>
    <definedName name="cash">#REF!</definedName>
    <definedName name="Cash___Liquid_assets">#REF!</definedName>
    <definedName name="Cash_DCF">#REF!</definedName>
    <definedName name="Cash_Exp_gr" localSheetId="1">#REF!</definedName>
    <definedName name="Cash_Exp_gr">#REF!</definedName>
    <definedName name="Cash_fore" localSheetId="1">#REF!</definedName>
    <definedName name="Cash_fore">#REF!</definedName>
    <definedName name="Cash_growth_fore" localSheetId="1">#REF!</definedName>
    <definedName name="Cash_growth_fore">#REF!</definedName>
    <definedName name="Cash_Operating_Taxes">#REF!</definedName>
    <definedName name="Cash_operating_taxes_fore" localSheetId="1">#REF!</definedName>
    <definedName name="Cash_operating_taxes_fore">#REF!</definedName>
    <definedName name="CASH93" localSheetId="1">#REF!</definedName>
    <definedName name="CASH93">#REF!</definedName>
    <definedName name="CASH94" localSheetId="1">#REF!</definedName>
    <definedName name="CASH94">#REF!</definedName>
    <definedName name="CASH95">#REF!</definedName>
    <definedName name="CASH96">#REF!</definedName>
    <definedName name="CASH97">#REF!</definedName>
    <definedName name="CASHFLOW">#REF!</definedName>
    <definedName name="CashflowStatement">#REF!</definedName>
    <definedName name="CashLiquid">#REF!</definedName>
    <definedName name="CB">#REF!</definedName>
    <definedName name="CC" localSheetId="9">#REF!</definedName>
    <definedName name="CC" localSheetId="14">#REF!</definedName>
    <definedName name="cc">#REF!</definedName>
    <definedName name="cc_AdjWeightShares" localSheetId="4">#REF!</definedName>
    <definedName name="cc_AdjWeightShares" localSheetId="1">#REF!</definedName>
    <definedName name="cc_AdjWeightShares">#REF!</definedName>
    <definedName name="cc_AorF" localSheetId="4">#REF!</definedName>
    <definedName name="cc_AorF">#REF!</definedName>
    <definedName name="cc_AssocDiv" localSheetId="4">#REF!</definedName>
    <definedName name="cc_AssocDiv">#REF!</definedName>
    <definedName name="cc_AssocProfit">#REF!</definedName>
    <definedName name="cc_AttEarnings">#REF!</definedName>
    <definedName name="cc_CapEmp">#REF!</definedName>
    <definedName name="cc_CapEx">#REF!</definedName>
    <definedName name="cc_Cash">#REF!</definedName>
    <definedName name="cc_CashFlowPS">#REF!</definedName>
    <definedName name="cc_CFCheckSum">#REF!</definedName>
    <definedName name="cc_CFDividends">#REF!</definedName>
    <definedName name="cc_CFInvestments">#REF!</definedName>
    <definedName name="cc_CFOthers">#REF!</definedName>
    <definedName name="cc_CFProceedsFromDisposal">#REF!</definedName>
    <definedName name="cc_CFSharesIssues">#REF!</definedName>
    <definedName name="cc_ChangeWorkCap">#REF!</definedName>
    <definedName name="cc_CheckSum">#REF!</definedName>
    <definedName name="cc_Depreciation">#REF!</definedName>
    <definedName name="cc_DPSTaxRate">#REF!</definedName>
    <definedName name="cc_EBIT">#REF!</definedName>
    <definedName name="cc_EBITDA">#REF!</definedName>
    <definedName name="cc_EBITDAwithoutAssoc">#REF!</definedName>
    <definedName name="cc_EBITwithoutAssoc">#REF!</definedName>
    <definedName name="cc_EnlgdGrossCashFlow">#REF!</definedName>
    <definedName name="cc_EnlgdNetProfit">#REF!</definedName>
    <definedName name="cc_EPSAdj">#REF!</definedName>
    <definedName name="cc_EPSDiluted">#REF!</definedName>
    <definedName name="cc_ExcepItems">#REF!</definedName>
    <definedName name="cc_ExtraItems">#REF!</definedName>
    <definedName name="cc_FDCFPS">#REF!</definedName>
    <definedName name="cc_FixedAssets">#REF!</definedName>
    <definedName name="cc_FreeCashFlow">#REF!</definedName>
    <definedName name="cc_FYEnd">#REF!</definedName>
    <definedName name="cc_GrossCashFlow">#REF!</definedName>
    <definedName name="cc_GrossDebt">#REF!</definedName>
    <definedName name="cc_GrossDPSUnadj">#REF!</definedName>
    <definedName name="cc_IntangibleAssets">#REF!</definedName>
    <definedName name="cc_IntExpense">#REF!</definedName>
    <definedName name="cc_IntIncome">#REF!</definedName>
    <definedName name="cc_InvestInc">#REF!</definedName>
    <definedName name="cc_LTDebt">#REF!</definedName>
    <definedName name="cc_MinoritiesBS">#REF!</definedName>
    <definedName name="cc_MinoritiesPL">#REF!</definedName>
    <definedName name="cc_NetCashDebtYE">#REF!</definedName>
    <definedName name="cc_NetCashFlow">#REF!</definedName>
    <definedName name="cc_NetDebt">#REF!</definedName>
    <definedName name="cc_NetDPS">#REF!</definedName>
    <definedName name="cc_NetInterest">#REF!</definedName>
    <definedName name="cc_NetProfit">#REF!</definedName>
    <definedName name="cc_NetProfit1H">#REF!</definedName>
    <definedName name="cc_NetProfit2H">#REF!</definedName>
    <definedName name="cc_OtherAdj">#REF!</definedName>
    <definedName name="cc_OtherCreditors">#REF!</definedName>
    <definedName name="cc_OtherCurAssets">#REF!</definedName>
    <definedName name="cc_OtherCurLiabilities">#REF!</definedName>
    <definedName name="cc_OtherDebtors">#REF!</definedName>
    <definedName name="cc_OtherLTAssets">#REF!</definedName>
    <definedName name="cc_OtherLTLiabilities">#REF!</definedName>
    <definedName name="cc_Others">#REF!</definedName>
    <definedName name="cc_PrefDiv">#REF!</definedName>
    <definedName name="cc_PTProfit">#REF!</definedName>
    <definedName name="cc_ReportCurrencyUnit">"HK$"</definedName>
    <definedName name="cc_ReportCurrencyUnitFactor">1</definedName>
    <definedName name="cc_Reserves">#REF!</definedName>
    <definedName name="cc_RetainEarn">#REF!</definedName>
    <definedName name="cc_RevNAV">#REF!</definedName>
    <definedName name="cc_RNBVPS">#REF!</definedName>
    <definedName name="cc_ShareCap">#REF!</definedName>
    <definedName name="cc_SharesAtYE">#REF!</definedName>
    <definedName name="cc_SHFunds">#REF!</definedName>
    <definedName name="cc_STDebt">#REF!</definedName>
    <definedName name="cc_STMktSecurities">#REF!</definedName>
    <definedName name="cc_Stock">#REF!</definedName>
    <definedName name="cc_Tax">#REF!</definedName>
    <definedName name="cc_TaxPaid">#REF!</definedName>
    <definedName name="cc_TO">#REF!</definedName>
    <definedName name="cc_TotalAssets">#REF!</definedName>
    <definedName name="cc_TotalCurAssets">#REF!</definedName>
    <definedName name="cc_TotalCurLiabilities">#REF!</definedName>
    <definedName name="cc_TotalDivPL">#REF!</definedName>
    <definedName name="cc_TotalLiabSHFundsMI">#REF!</definedName>
    <definedName name="cc_TotalLTAssets">#REF!</definedName>
    <definedName name="cc_TotalLTLiabilities">#REF!</definedName>
    <definedName name="cc_TotalNotionalInterestSavings">#REF!</definedName>
    <definedName name="cc_TotalOutstandingShares">#REF!</definedName>
    <definedName name="cc_TradeCreditors">#REF!</definedName>
    <definedName name="cc_TradeDebtors">#REF!</definedName>
    <definedName name="cc_WeightEnlgdShCap">#REF!</definedName>
    <definedName name="cc_WorkingCapital">#REF!</definedName>
    <definedName name="cc_Yr1">#REF!</definedName>
    <definedName name="cc_Yr10">#REF!</definedName>
    <definedName name="cc_Yr11">#REF!</definedName>
    <definedName name="cc_Yr12">#REF!</definedName>
    <definedName name="cc_Yr13">#REF!</definedName>
    <definedName name="cc_Yr14">#REF!</definedName>
    <definedName name="cc_Yr15">#REF!</definedName>
    <definedName name="cc_Yr16">#REF!</definedName>
    <definedName name="cc_Yr17">#REF!</definedName>
    <definedName name="cc_Yr18">#REF!</definedName>
    <definedName name="cc_Yr2">#REF!</definedName>
    <definedName name="cc_Yr3">#REF!</definedName>
    <definedName name="cc_Yr4">#REF!</definedName>
    <definedName name="cc_Yr5">#REF!</definedName>
    <definedName name="cc_Yr6">#REF!</definedName>
    <definedName name="cc_Yr7">#REF!</definedName>
    <definedName name="cc_Yr8">#REF!</definedName>
    <definedName name="cc_Yr9">#REF!</definedName>
    <definedName name="cce">#REF!</definedName>
    <definedName name="CCList">#REF!</definedName>
    <definedName name="ccn">#REF!</definedName>
    <definedName name="ccode">#REF!</definedName>
    <definedName name="CCSelectedName">#REF!</definedName>
    <definedName name="CCStart">#REF!</definedName>
    <definedName name="CD">#REF!</definedName>
    <definedName name="cde" localSheetId="1">#REF!</definedName>
    <definedName name="cde">#REF!</definedName>
    <definedName name="cdi" localSheetId="1">#REF!</definedName>
    <definedName name="cdi">#REF!</definedName>
    <definedName name="cdp" localSheetId="1">#REF!</definedName>
    <definedName name="cdp">#REF!</definedName>
    <definedName name="CE">#REF!</definedName>
    <definedName name="cell6" localSheetId="1">#REF!</definedName>
    <definedName name="cell6">#REF!</definedName>
    <definedName name="cell8" localSheetId="5">#REF!</definedName>
    <definedName name="cell8" localSheetId="1">#REF!</definedName>
    <definedName name="cell8">#REF!</definedName>
    <definedName name="cellYears1">#REF!</definedName>
    <definedName name="cellYears1b" localSheetId="1">#REF!</definedName>
    <definedName name="cellYears1b">#REF!</definedName>
    <definedName name="cellYears1c">#REF!</definedName>
    <definedName name="cellYears2">#REF!</definedName>
    <definedName name="cellYears2b" localSheetId="1">#REF!</definedName>
    <definedName name="cellYears2b">#REF!</definedName>
    <definedName name="cellYears2c">#REF!</definedName>
    <definedName name="CFA" localSheetId="1">#REF!</definedName>
    <definedName name="CFA">#REF!</definedName>
    <definedName name="cfc" localSheetId="1">#REF!</definedName>
    <definedName name="cfc">#REF!</definedName>
    <definedName name="CFEBDITA" localSheetId="1">#REF!</definedName>
    <definedName name="CFEBDITA">#REF!</definedName>
    <definedName name="CFLFULL">#REF!</definedName>
    <definedName name="CFormats">#REF!</definedName>
    <definedName name="cfps">#REF!</definedName>
    <definedName name="cfps91" localSheetId="4">#REF!</definedName>
    <definedName name="cfps91" localSheetId="5">#REF!</definedName>
    <definedName name="cfps91" localSheetId="1">#REF!</definedName>
    <definedName name="cfps91">#REF!</definedName>
    <definedName name="cfps92" localSheetId="4">#REF!</definedName>
    <definedName name="cfps92" localSheetId="5">#REF!</definedName>
    <definedName name="cfps92">#REF!</definedName>
    <definedName name="CFPS93" localSheetId="9">#REF!</definedName>
    <definedName name="cfps93" localSheetId="4">#REF!</definedName>
    <definedName name="cfps93" localSheetId="5">#REF!</definedName>
    <definedName name="cfps93">#REF!</definedName>
    <definedName name="CFPS94" localSheetId="9">#REF!</definedName>
    <definedName name="cfps94">#REF!</definedName>
    <definedName name="CFPS95" localSheetId="9">#REF!</definedName>
    <definedName name="cfps95">#REF!</definedName>
    <definedName name="cfps96">#REF!</definedName>
    <definedName name="cfps97">#REF!</definedName>
    <definedName name="CFR">#REF!</definedName>
    <definedName name="cfx">#REF!</definedName>
    <definedName name="CGNU">#REF!</definedName>
    <definedName name="ch_debt">#REF!</definedName>
    <definedName name="Change_in_first_year_premium_pricing" localSheetId="1">#REF!</definedName>
    <definedName name="Change_in_first_year_premium_pricing">#REF!</definedName>
    <definedName name="changes_est_area" localSheetId="1">#REF!</definedName>
    <definedName name="changes_est_area">#REF!</definedName>
    <definedName name="chart_data">#REF!</definedName>
    <definedName name="chart_data_pd">#REF!</definedName>
    <definedName name="chart_index">#REF!</definedName>
    <definedName name="chart_name">#REF!</definedName>
    <definedName name="chart_range">#REF!</definedName>
    <definedName name="CHART1">"Chart 2"</definedName>
    <definedName name="CheckLeverage">#REF!</definedName>
    <definedName name="CheckROA">#REF!</definedName>
    <definedName name="chg">#REF!</definedName>
    <definedName name="chgtoest" localSheetId="1">#REF!</definedName>
    <definedName name="chgtoest">#REF!</definedName>
    <definedName name="CHINA" localSheetId="5">#REF!</definedName>
    <definedName name="CHINA" localSheetId="1">#REF!</definedName>
    <definedName name="CHINA">#REF!</definedName>
    <definedName name="China_map">#REF!</definedName>
    <definedName name="Choices" localSheetId="14">#N/A</definedName>
    <definedName name="Choices">#REF!</definedName>
    <definedName name="Choices_Wrapper" localSheetId="14">#N/A</definedName>
    <definedName name="Choices_Wrapper">#REF!</definedName>
    <definedName name="Chrysler_Highlighted">#REF!</definedName>
    <definedName name="cii" localSheetId="1">#REF!</definedName>
    <definedName name="cii">#REF!</definedName>
    <definedName name="civ" localSheetId="1">#REF!</definedName>
    <definedName name="civ">#REF!</definedName>
    <definedName name="CL.CA" localSheetId="1">#REF!</definedName>
    <definedName name="CL.CA">#REF!</definedName>
    <definedName name="Claims_Payout_Ratio____Total" localSheetId="1">#REF!</definedName>
    <definedName name="Claims_Payout_Ratio____Total">#REF!</definedName>
    <definedName name="CLI.CA" localSheetId="1">#REF!</definedName>
    <definedName name="CLI.CA">#REF!</definedName>
    <definedName name="clsp" localSheetId="1">#REF!</definedName>
    <definedName name="clsp" localSheetId="14">#REF!</definedName>
    <definedName name="clsp">#REF!</definedName>
    <definedName name="cn">#REF!</definedName>
    <definedName name="CNA" localSheetId="1">#REF!</definedName>
    <definedName name="CNA">#REF!</definedName>
    <definedName name="CNC" localSheetId="1">#REF!</definedName>
    <definedName name="CNC">#REF!</definedName>
    <definedName name="cni" localSheetId="1">#REF!</definedName>
    <definedName name="cni">#REF!</definedName>
    <definedName name="CNP">#REF!</definedName>
    <definedName name="Co_name" localSheetId="9">#REF!</definedName>
    <definedName name="Co_Name" localSheetId="5">#REF!</definedName>
    <definedName name="Co_Name" localSheetId="1">#REF!</definedName>
    <definedName name="Co_name" localSheetId="14">#REF!</definedName>
    <definedName name="Co_Name">#REF!</definedName>
    <definedName name="coc" localSheetId="1">#REF!</definedName>
    <definedName name="coc">#REF!</definedName>
    <definedName name="code" localSheetId="5">#REF!</definedName>
    <definedName name="code">#REF!</definedName>
    <definedName name="codeDestination">#REF!</definedName>
    <definedName name="CODELK_Path">#REF!</definedName>
    <definedName name="COE_AMP" localSheetId="1">#REF!</definedName>
    <definedName name="COE_AMP" localSheetId="14">#REF!</definedName>
    <definedName name="COE_AMP">#REF!</definedName>
    <definedName name="COE_AXA" localSheetId="1">#REF!</definedName>
    <definedName name="COE_AXA" localSheetId="14">#REF!</definedName>
    <definedName name="COE_AXA">#REF!</definedName>
    <definedName name="COE_HIH" localSheetId="1">#REF!</definedName>
    <definedName name="COE_HIH">#REF!</definedName>
    <definedName name="COE_NRM" localSheetId="1">#REF!</definedName>
    <definedName name="COE_NRM" localSheetId="14">#REF!</definedName>
    <definedName name="COE_NRM">#REF!</definedName>
    <definedName name="COE_QBE" localSheetId="1">#REF!</definedName>
    <definedName name="COE_QBE" localSheetId="14">#REF!</definedName>
    <definedName name="COE_QBE">#REF!</definedName>
    <definedName name="COE_TWR" localSheetId="1">#REF!</definedName>
    <definedName name="COE_TWR" localSheetId="14">#REF!</definedName>
    <definedName name="COE_TWR">#REF!</definedName>
    <definedName name="cofund" localSheetId="1">#REF!</definedName>
    <definedName name="cofund">#REF!</definedName>
    <definedName name="COGS">#REF!</definedName>
    <definedName name="cogs_handsets">#REF!</definedName>
    <definedName name="cogs_internet">#REF!</definedName>
    <definedName name="cogs_mobile">#REF!</definedName>
    <definedName name="cogs_other">#REF!</definedName>
    <definedName name="coi" localSheetId="1">#REF!</definedName>
    <definedName name="coi">#REF!</definedName>
    <definedName name="column_start">#REF!</definedName>
    <definedName name="ColumnHeading">#REF!</definedName>
    <definedName name="comments" localSheetId="1">#REF!</definedName>
    <definedName name="comments">#REF!</definedName>
    <definedName name="COMP">#REF!</definedName>
    <definedName name="COMPANY" localSheetId="1">#REF!</definedName>
    <definedName name="COMPANY">#REF!</definedName>
    <definedName name="Company_Code">#REF!</definedName>
    <definedName name="Company_reported_exceptionals">#REF!</definedName>
    <definedName name="company_summary" localSheetId="1">#REF!</definedName>
    <definedName name="company_summary">#REF!</definedName>
    <definedName name="COMPANYA" localSheetId="1">#REF!</definedName>
    <definedName name="COMPANYA">#REF!</definedName>
    <definedName name="CompanyCodeName" localSheetId="1">#REF!</definedName>
    <definedName name="CompanyCodeName">#REF!</definedName>
    <definedName name="CompanyExchangeCode">#REF!</definedName>
    <definedName name="CompanyName">#REF!</definedName>
    <definedName name="Concap">#REF!</definedName>
    <definedName name="ConsAdjProf" localSheetId="1">#REF!</definedName>
    <definedName name="ConsAdjProf">#REF!</definedName>
    <definedName name="Consolidated_Cash_Flow_Statement" localSheetId="1">#REF!</definedName>
    <definedName name="Consolidated_Cash_Flow_Statement">#REF!</definedName>
    <definedName name="Consolidation" localSheetId="1">#REF!</definedName>
    <definedName name="Consolidation">#REF!</definedName>
    <definedName name="conv">#REF!</definedName>
    <definedName name="Convertibles_options">#REF!</definedName>
    <definedName name="ConvertiblesOthers" localSheetId="1">#REF!</definedName>
    <definedName name="ConvertiblesOthers">#REF!</definedName>
    <definedName name="ConvertNote" localSheetId="1">#REF!</definedName>
    <definedName name="ConvertNote">#REF!</definedName>
    <definedName name="ConvertPrefShares" localSheetId="1">#REF!</definedName>
    <definedName name="ConvertPrefShares">#REF!</definedName>
    <definedName name="cop">#REF!</definedName>
    <definedName name="CopyArea">#REF!</definedName>
    <definedName name="core_ncnd">#REF!</definedName>
    <definedName name="cost">#REF!</definedName>
    <definedName name="cost_chg" localSheetId="1">#REF!</definedName>
    <definedName name="cost_chg">#REF!</definedName>
    <definedName name="cost_income" localSheetId="1">#REF!</definedName>
    <definedName name="cost_income">#REF!</definedName>
    <definedName name="Cost_of_Debt" localSheetId="4">#REF!</definedName>
    <definedName name="Cost_of_Debt" localSheetId="5">#REF!</definedName>
    <definedName name="Cost_of_Debt" localSheetId="1">#REF!</definedName>
    <definedName name="Cost_of_Debt">#REF!</definedName>
    <definedName name="Cost_of_Debts" localSheetId="4">#REF!</definedName>
    <definedName name="Cost_of_Debts">#REF!</definedName>
    <definedName name="Cost_of_goods_sold">#REF!</definedName>
    <definedName name="CostOfGoodsSold" localSheetId="1">#REF!</definedName>
    <definedName name="CostOfGoodsSold">#REF!</definedName>
    <definedName name="cot" localSheetId="1">#REF!</definedName>
    <definedName name="cot">#REF!</definedName>
    <definedName name="COUNT">#REF!</definedName>
    <definedName name="Country" localSheetId="9">#REF!</definedName>
    <definedName name="COUNTRY" localSheetId="4">#REF!</definedName>
    <definedName name="COUNTRY" localSheetId="5">#REF!</definedName>
    <definedName name="COUNTRY" localSheetId="1">#REF!</definedName>
    <definedName name="Country" localSheetId="14">#REF!</definedName>
    <definedName name="COUNTRY">#REF!</definedName>
    <definedName name="COUNTRY1" localSheetId="4">#REF!</definedName>
    <definedName name="COUNTRY1" localSheetId="5">#REF!</definedName>
    <definedName name="COUNTRY1">#REF!</definedName>
    <definedName name="COUNTRY1a" localSheetId="4">#REF!</definedName>
    <definedName name="COUNTRY1a">#REF!</definedName>
    <definedName name="COUNTRYa">#REF!</definedName>
    <definedName name="Cov_00_PS">#REF!</definedName>
    <definedName name="Cov_00_Rev">#REF!</definedName>
    <definedName name="Cov_97_PS">#REF!</definedName>
    <definedName name="Cov_97_Rev">#REF!</definedName>
    <definedName name="Cov_98_PS">#REF!</definedName>
    <definedName name="Cov_98_Rev">#REF!</definedName>
    <definedName name="Cov_99_PS">#REF!</definedName>
    <definedName name="Cov_99_Rev">#REF!</definedName>
    <definedName name="Cov_EPS_00">#REF!</definedName>
    <definedName name="Cov_EPS_98">#REF!</definedName>
    <definedName name="Cov_EPS_99">#REF!</definedName>
    <definedName name="Cov_Mkt_Cap">#REF!</definedName>
    <definedName name="Cov_Off_High">#REF!</definedName>
    <definedName name="Cov_Perf_97">#REF!</definedName>
    <definedName name="Cov_Perf_98">#REF!</definedName>
    <definedName name="Cov_Perf_99">#REF!</definedName>
    <definedName name="cov_perf_99b">#REF!</definedName>
    <definedName name="Cov_Univ_Avg">#REF!</definedName>
    <definedName name="Cov_Univ_Total">#REF!</definedName>
    <definedName name="cover" localSheetId="1">#REF!</definedName>
    <definedName name="cover">#REF!</definedName>
    <definedName name="CPGname">#REF!</definedName>
    <definedName name="cpgprice">#REF!</definedName>
    <definedName name="cps">#REF!</definedName>
    <definedName name="csi" localSheetId="1">#REF!</definedName>
    <definedName name="csi">#REF!</definedName>
    <definedName name="cta" localSheetId="1">#REF!</definedName>
    <definedName name="cta">#REF!</definedName>
    <definedName name="CTopics">#REF!</definedName>
    <definedName name="curr_trans">#REF!</definedName>
    <definedName name="CurrAss" localSheetId="1">#REF!</definedName>
    <definedName name="CurrAss">#REF!</definedName>
    <definedName name="CurrAssOther" localSheetId="1">#REF!</definedName>
    <definedName name="CurrAssOther">#REF!</definedName>
    <definedName name="CurrDebt" localSheetId="1">#REF!</definedName>
    <definedName name="CurrDebt">#REF!</definedName>
    <definedName name="CURRENCY">#REF!</definedName>
    <definedName name="currencyList">#REF!</definedName>
    <definedName name="Current_cost_adjusted_net_income">#REF!</definedName>
    <definedName name="Current_no_of_shares">#REF!</definedName>
    <definedName name="CurrInvestments" localSheetId="1">#REF!</definedName>
    <definedName name="CurrInvestments">#REF!</definedName>
    <definedName name="CurrLiab" localSheetId="1">#REF!</definedName>
    <definedName name="CurrLiab">#REF!</definedName>
    <definedName name="CurrOfFinancials" localSheetId="14">#REF!</definedName>
    <definedName name="CurrOfFinancials">#REF!</definedName>
    <definedName name="CurrProvisions" localSheetId="1">#REF!</definedName>
    <definedName name="CurrProvisions">#REF!</definedName>
    <definedName name="CurrTradeCredit" localSheetId="1">#REF!</definedName>
    <definedName name="CurrTradeCredit">#REF!</definedName>
    <definedName name="Customer_advances">#REF!</definedName>
    <definedName name="Customer_deposits_growth_fore" localSheetId="1">#REF!</definedName>
    <definedName name="Customer_deposits_growth_fore">#REF!</definedName>
    <definedName name="cwo" localSheetId="1">#REF!</definedName>
    <definedName name="cwo">#REF!</definedName>
    <definedName name="cwt" localSheetId="1">#REF!</definedName>
    <definedName name="cwt">#REF!</definedName>
    <definedName name="d">#REF!</definedName>
    <definedName name="D_HNR1" localSheetId="1">#REF!</definedName>
    <definedName name="D_HNR1">#REF!</definedName>
    <definedName name="D_MUV2" localSheetId="1">#REF!</definedName>
    <definedName name="D_MUV2">#REF!</definedName>
    <definedName name="DA">#REF!</definedName>
    <definedName name="daf" localSheetId="1">#REF!</definedName>
    <definedName name="daf">#REF!</definedName>
    <definedName name="dai" localSheetId="1">#REF!</definedName>
    <definedName name="dai">#REF!</definedName>
    <definedName name="damort">#REF!</definedName>
    <definedName name="das" localSheetId="1">#REF!</definedName>
    <definedName name="das">#REF!</definedName>
    <definedName name="Data1.1">#REF!</definedName>
    <definedName name="Data1.2">#REF!</definedName>
    <definedName name="Data2.1">#REF!</definedName>
    <definedName name="Data2.2">#REF!</definedName>
    <definedName name="Data3.1">#REF!</definedName>
    <definedName name="Data3.2">#REF!</definedName>
    <definedName name="Data4.1">#REF!</definedName>
    <definedName name="Data4.2">#REF!</definedName>
    <definedName name="Data5.1" localSheetId="1">#REF!</definedName>
    <definedName name="Data5.1">#REF!</definedName>
    <definedName name="Data5.2" localSheetId="1">#REF!</definedName>
    <definedName name="Data5.2">#REF!</definedName>
    <definedName name="DataAnaPhNo" localSheetId="1">#REF!</definedName>
    <definedName name="DataAnaPhNo">#REF!</definedName>
    <definedName name="_xlnm.Database">#REF!</definedName>
    <definedName name="DataBriefTime">#REF!</definedName>
    <definedName name="DataCardDate">#REF!</definedName>
    <definedName name="DataCardTime">#REF!</definedName>
    <definedName name="DataDate">#REF!</definedName>
    <definedName name="DataInvPlay">#REF!</definedName>
    <definedName name="DataPeriod">#REF!</definedName>
    <definedName name="DataPeriodEnd">#REF!</definedName>
    <definedName name="DataPhone">#REF!</definedName>
    <definedName name="DataPrevDate">#REF!</definedName>
    <definedName name="DataPrevRecom">#REF!</definedName>
    <definedName name="DataPrevTime">#REF!</definedName>
    <definedName name="DataRationale">#REF!</definedName>
    <definedName name="DataRecom">#REF!</definedName>
    <definedName name="DataSummary">#REF!</definedName>
    <definedName name="DataTime">#REF!</definedName>
    <definedName name="DATE">#REF!</definedName>
    <definedName name="DATES">#REF!</definedName>
    <definedName name="DB" localSheetId="14">"WIREAUPROD"</definedName>
    <definedName name="DB">#REF!</definedName>
    <definedName name="DB_ITEMS" localSheetId="1">#REF!</definedName>
    <definedName name="DB_ITEMS">#REF!</definedName>
    <definedName name="db_lines" localSheetId="1">#REF!</definedName>
    <definedName name="db_lines">#REF!</definedName>
    <definedName name="DB_RATIOS" localSheetId="1">#REF!</definedName>
    <definedName name="DB_RATIOS">#REF!</definedName>
    <definedName name="dc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c" localSheetId="1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c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cf" hidden="1">#REF!</definedName>
    <definedName name="DCF_EY1">#REF!</definedName>
    <definedName name="DCF_EY10">#REF!</definedName>
    <definedName name="DCF_EY14">#REF!</definedName>
    <definedName name="DCF_EY15">#REF!</definedName>
    <definedName name="DCF_EY2">#REF!</definedName>
    <definedName name="DCF_EY24">#REF!</definedName>
    <definedName name="DCF_EY25">#REF!</definedName>
    <definedName name="DCF_EY3">#REF!</definedName>
    <definedName name="DCF_EY4">#REF!</definedName>
    <definedName name="DCF_EY5">#REF!</definedName>
    <definedName name="DCF_EY9">#REF!</definedName>
    <definedName name="DCF_P">#REF!</definedName>
    <definedName name="DCF1A">#REF!</definedName>
    <definedName name="DCF1B">#REF!</definedName>
    <definedName name="DCF2A">#REF!</definedName>
    <definedName name="DCF2B">#REF!</definedName>
    <definedName name="DCF3A">#REF!</definedName>
    <definedName name="DCF3B">#REF!</definedName>
    <definedName name="DCF4A">#REF!</definedName>
    <definedName name="DCF4B">#REF!</definedName>
    <definedName name="DCF5B">#REF!</definedName>
    <definedName name="DCF6A">#REF!</definedName>
    <definedName name="DCF6B">#REF!</definedName>
    <definedName name="DCF7A">#REF!</definedName>
    <definedName name="DCF7B">#REF!</definedName>
    <definedName name="DCF8A">#REF!</definedName>
    <definedName name="DCF8B">#REF!</definedName>
    <definedName name="DCF9A">#REF!</definedName>
    <definedName name="DCF9B">#REF!</definedName>
    <definedName name="dcfb" localSheetId="1">#REF!</definedName>
    <definedName name="dcfb">#REF!</definedName>
    <definedName name="DCFTOOLSNAME1">#REF!</definedName>
    <definedName name="dcfv" localSheetId="1">#REF!</definedName>
    <definedName name="dcfv">#REF!</definedName>
    <definedName name="DD">#REF!</definedName>
    <definedName name="DE">#REF!</definedName>
    <definedName name="Debt_growth">#REF!</definedName>
    <definedName name="Debt_Premium" localSheetId="4">#REF!</definedName>
    <definedName name="Debt_Premium" localSheetId="5">#REF!</definedName>
    <definedName name="Debt_Premium" localSheetId="1">#REF!</definedName>
    <definedName name="Debt_Premium">#REF!</definedName>
    <definedName name="DebtMove" localSheetId="1">#REF!</definedName>
    <definedName name="DebtMove">#REF!</definedName>
    <definedName name="DEBTORS93" localSheetId="1">#REF!</definedName>
    <definedName name="DEBTORS93">#REF!</definedName>
    <definedName name="DEBTORS94" localSheetId="1">#REF!</definedName>
    <definedName name="DEBTORS94">#REF!</definedName>
    <definedName name="DEBTORS95">#REF!</definedName>
    <definedName name="DEBTORS96">#REF!</definedName>
    <definedName name="DEBTORS97">#REF!</definedName>
    <definedName name="Deferred_tax_asset_growth_fore">#REF!</definedName>
    <definedName name="Deferred_tax_liability_growth_fore">#REF!</definedName>
    <definedName name="dep">#REF!</definedName>
    <definedName name="DEP_2H93" localSheetId="1">#REF!</definedName>
    <definedName name="DEP_2H93">#REF!</definedName>
    <definedName name="dep_2h94" localSheetId="1">#REF!</definedName>
    <definedName name="dep_2h94">#REF!</definedName>
    <definedName name="Dep_and_Amort">#REF!</definedName>
    <definedName name="Dep_margin_fore" localSheetId="1">#REF!</definedName>
    <definedName name="Dep_margin_fore">#REF!</definedName>
    <definedName name="depn">#REF!</definedName>
    <definedName name="depn91" localSheetId="4">#REF!</definedName>
    <definedName name="depn91" localSheetId="5">#REF!</definedName>
    <definedName name="depn91" localSheetId="1">#REF!</definedName>
    <definedName name="depn91">#REF!</definedName>
    <definedName name="depn92" localSheetId="4">#REF!</definedName>
    <definedName name="depn92" localSheetId="5">#REF!</definedName>
    <definedName name="depn92">#REF!</definedName>
    <definedName name="depn93" localSheetId="4">#REF!</definedName>
    <definedName name="depn93" localSheetId="5">#REF!</definedName>
    <definedName name="depn93">#REF!</definedName>
    <definedName name="depn94">#REF!</definedName>
    <definedName name="depn95">#REF!</definedName>
    <definedName name="depn96">#REF!</definedName>
    <definedName name="depn97">#REF!</definedName>
    <definedName name="deposit97">#REF!</definedName>
    <definedName name="deposit98">#REF!</definedName>
    <definedName name="deposit99">#REF!</definedName>
    <definedName name="Depr" localSheetId="1">#REF!</definedName>
    <definedName name="Depr" localSheetId="14">#REF!</definedName>
    <definedName name="Depr">#REF!</definedName>
    <definedName name="deprec">#REF!</definedName>
    <definedName name="Depreciation">#REF!</definedName>
    <definedName name="Depreciation_fore" localSheetId="1">#REF!</definedName>
    <definedName name="Depreciation_fore">#REF!</definedName>
    <definedName name="Depreciations">#REF!</definedName>
    <definedName name="DES">#REF!</definedName>
    <definedName name="desktop" localSheetId="1">#REF!</definedName>
    <definedName name="desktop" localSheetId="14">#REF!</definedName>
    <definedName name="desktop">#REF!</definedName>
    <definedName name="DetailColumns">#REF!</definedName>
    <definedName name="dfd" localSheetId="1">#REF!</definedName>
    <definedName name="dfd">#REF!</definedName>
    <definedName name="DFG" localSheetId="1">#REF!</definedName>
    <definedName name="DFG">#REF!</definedName>
    <definedName name="DIA" localSheetId="1">#REF!</definedName>
    <definedName name="DIA">#REF!</definedName>
    <definedName name="did">#REF!</definedName>
    <definedName name="disc">#REF!</definedName>
    <definedName name="Discount_factor">#REF!</definedName>
    <definedName name="divass">#REF!</definedName>
    <definedName name="divest">#REF!</definedName>
    <definedName name="DIVESTMENT93" localSheetId="1">#REF!</definedName>
    <definedName name="DIVESTMENT93">#REF!</definedName>
    <definedName name="DIVESTMENT94" localSheetId="1">#REF!</definedName>
    <definedName name="DIVESTMENT94">#REF!</definedName>
    <definedName name="DIVESTMENT95" localSheetId="1">#REF!</definedName>
    <definedName name="DIVESTMENT95">#REF!</definedName>
    <definedName name="DIVESTMENT96">#REF!</definedName>
    <definedName name="DIVESTMENT97">#REF!</definedName>
    <definedName name="DIVFULL">#REF!</definedName>
    <definedName name="Dividend_paid">#REF!</definedName>
    <definedName name="DIVIDEND93" localSheetId="1">#REF!</definedName>
    <definedName name="DIVIDEND93">#REF!</definedName>
    <definedName name="DIVIDEND94" localSheetId="1">#REF!</definedName>
    <definedName name="DIVIDEND94">#REF!</definedName>
    <definedName name="DIVIDEND95" localSheetId="1">#REF!</definedName>
    <definedName name="DIVIDEND95">#REF!</definedName>
    <definedName name="DIVIDEND96">#REF!</definedName>
    <definedName name="DIVIDEND97">#REF!</definedName>
    <definedName name="Dividends">#REF!</definedName>
    <definedName name="DivisPaid">#REF!</definedName>
    <definedName name="DIVP00" localSheetId="1">#REF!</definedName>
    <definedName name="DIVP00">#REF!</definedName>
    <definedName name="DIVP01" localSheetId="1">#REF!</definedName>
    <definedName name="DIVP01">#REF!</definedName>
    <definedName name="DIVP86">#REF!</definedName>
    <definedName name="DIVP87">#REF!</definedName>
    <definedName name="DIVP88">#REF!</definedName>
    <definedName name="DIVP89">#REF!</definedName>
    <definedName name="DIVP90">#REF!</definedName>
    <definedName name="DIVP91">#REF!</definedName>
    <definedName name="DIVP92">#REF!</definedName>
    <definedName name="DIVP93">#REF!</definedName>
    <definedName name="DIVP94">#REF!</definedName>
    <definedName name="DIVP95">#REF!</definedName>
    <definedName name="DIVP96">#REF!</definedName>
    <definedName name="DIVP97">#REF!</definedName>
    <definedName name="DIVP98">#REF!</definedName>
    <definedName name="DIVP99">#REF!</definedName>
    <definedName name="DivPaid">#REF!</definedName>
    <definedName name="divpd">#REF!</definedName>
    <definedName name="DIVQA" localSheetId="1">#REF!</definedName>
    <definedName name="DIVQA">#REF!</definedName>
    <definedName name="DIVQB" localSheetId="1">#REF!</definedName>
    <definedName name="DIVQB">#REF!</definedName>
    <definedName name="DIVS00" localSheetId="1">#REF!</definedName>
    <definedName name="DIVS00">#REF!</definedName>
    <definedName name="DIVS01">#REF!</definedName>
    <definedName name="DIVS86">#REF!</definedName>
    <definedName name="DIVS87">#REF!</definedName>
    <definedName name="DIVS88">#REF!</definedName>
    <definedName name="DIVS89">#REF!</definedName>
    <definedName name="DIVS90">#REF!</definedName>
    <definedName name="DIVS91">#REF!</definedName>
    <definedName name="DIVS92">#REF!</definedName>
    <definedName name="DIVS93">#REF!</definedName>
    <definedName name="DIVS94">#REF!</definedName>
    <definedName name="DIVS95">#REF!</definedName>
    <definedName name="DIVS96">#REF!</definedName>
    <definedName name="DIVS97">#REF!</definedName>
    <definedName name="DIVS98">#REF!</definedName>
    <definedName name="DIVS99">#REF!</definedName>
    <definedName name="divspfor">#REF!</definedName>
    <definedName name="DLD">#REF!</definedName>
    <definedName name="DnA_fore">#REF!</definedName>
    <definedName name="DnA_growth_fore">#REF!</definedName>
    <definedName name="DocType" localSheetId="1">Word</definedName>
    <definedName name="DocType">Word</definedName>
    <definedName name="DOMLD" localSheetId="1">#REF!</definedName>
    <definedName name="DOMLD">#REF!</definedName>
    <definedName name="DownTrend">#REF!</definedName>
    <definedName name="dps">#REF!</definedName>
    <definedName name="dps00">#REF!</definedName>
    <definedName name="dps00e">#REF!</definedName>
    <definedName name="dps01e">#REF!</definedName>
    <definedName name="dps98e">#REF!</definedName>
    <definedName name="dps99e">#REF!</definedName>
    <definedName name="drp_part">#REF!</definedName>
    <definedName name="DRPDisc" localSheetId="1">#REF!</definedName>
    <definedName name="DRPDisc">#REF!</definedName>
    <definedName name="DRPPat" localSheetId="1">#REF!</definedName>
    <definedName name="DRPPat">#REF!</definedName>
    <definedName name="ds">#REF!</definedName>
    <definedName name="dsd" localSheetId="1">#REF!</definedName>
    <definedName name="dsd">#REF!</definedName>
    <definedName name="DSDDE_Path">#REF!</definedName>
    <definedName name="dtd" localSheetId="1">#REF!</definedName>
    <definedName name="dtd">#REF!</definedName>
    <definedName name="dtoev" localSheetId="1">#REF!</definedName>
    <definedName name="dtoev">#REF!</definedName>
    <definedName name="dwayne" localSheetId="1">#REF!</definedName>
    <definedName name="dwayne" localSheetId="14">#REF!</definedName>
    <definedName name="dwayne">#REF!</definedName>
    <definedName name="e">#REF!</definedName>
    <definedName name="E_ALL_002570.SZ" localSheetId="1">#REF!</definedName>
    <definedName name="E_ALL_002570.SZ">#REF!</definedName>
    <definedName name="E_ALL_002891.SZ">#REF!</definedName>
    <definedName name="E_ALL_0220.HK">#REF!</definedName>
    <definedName name="E_ALL_0322.HK">#REF!</definedName>
    <definedName name="E_ALL_3799.HK" localSheetId="1">#REF!</definedName>
    <definedName name="E_ALL_3799.HK">#REF!</definedName>
    <definedName name="E_ALL_600054.SS" localSheetId="1">#REF!</definedName>
    <definedName name="E_ALL_600054.SS">#REF!</definedName>
    <definedName name="E_ALL_600872.SS">#REF!</definedName>
    <definedName name="E_ALL_600887.SS" localSheetId="1">#REF!</definedName>
    <definedName name="E_ALL_600887.SS">#REF!</definedName>
    <definedName name="E_ALL_603288.SS">#REF!</definedName>
    <definedName name="E_ALL_605499.SS">#REF!</definedName>
    <definedName name="E_ALL_KEYWORDS_TYPE_Breakdown_EQTY_200008062" localSheetId="1">#REF!</definedName>
    <definedName name="E_ALL_KEYWORDS_TYPE_Breakdown_EQTY_200008062">#REF!</definedName>
    <definedName name="E_ALL_KEYWORDS_TYPE_Breakdown_EQTY_200012577" localSheetId="1">#REF!</definedName>
    <definedName name="E_ALL_KEYWORDS_TYPE_Breakdown_EQTY_200012577">#REF!</definedName>
    <definedName name="E_ALL_KEYWORDS_TYPE_Breakdown_EQTY_200015373" localSheetId="1">#REF!</definedName>
    <definedName name="E_ALL_KEYWORDS_TYPE_Breakdown_EQTY_200015373">#REF!</definedName>
    <definedName name="E_ALL_KEYWORDS_TYPE_ScalarContributed_EQTY_200008062" localSheetId="1">#REF!,#REF!</definedName>
    <definedName name="E_ALL_KEYWORDS_TYPE_ScalarContributed_EQTY_200008062">#REF!,#REF!</definedName>
    <definedName name="E_ALL_KEYWORDS_TYPE_ScalarContributed_EQTY_200011454">#REF!,#REF!</definedName>
    <definedName name="E_ALL_KEYWORDS_TYPE_ScalarContributed_EQTY_200012577" localSheetId="1">#REF!,#REF!</definedName>
    <definedName name="E_ALL_KEYWORDS_TYPE_ScalarContributed_EQTY_200012577">#REF!,#REF!</definedName>
    <definedName name="E_ALL_KEYWORDS_TYPE_ScalarContributed_EQTY_200015373" localSheetId="1">#REF!,#REF!</definedName>
    <definedName name="E_ALL_KEYWORDS_TYPE_ScalarContributed_EQTY_200015373">#REF!,#REF!</definedName>
    <definedName name="E_ALL_KEYWORDS_TYPE_ScalarContributed_EQTY_200015981">#REF!,#REF!</definedName>
    <definedName name="E_ALL_KEYWORDS_TYPE_ScalarReference_EQTY_200008062" localSheetId="1">#REF!</definedName>
    <definedName name="E_ALL_KEYWORDS_TYPE_ScalarReference_EQTY_200008062">#REF!</definedName>
    <definedName name="E_ALL_KEYWORDS_TYPE_ScalarReference_EQTY_200012577" localSheetId="1">#REF!</definedName>
    <definedName name="E_ALL_KEYWORDS_TYPE_ScalarReference_EQTY_200012577">#REF!</definedName>
    <definedName name="E_ALL_KEYWORDS_TYPE_ScalarReference_EQTY_200015373" localSheetId="1">#REF!</definedName>
    <definedName name="E_ALL_KEYWORDS_TYPE_ScalarReference_EQTY_200015373">#REF!</definedName>
    <definedName name="E_ALL_KEYWORDS_TYPE_ScalarReference_EQTY_200015981">#REF!</definedName>
    <definedName name="E_ALL_KEYWORDS_TYPE_ScalarReference_ISSR_208006264" localSheetId="1">#REF!</definedName>
    <definedName name="E_ALL_KEYWORDS_TYPE_ScalarReference_ISSR_208006264">#REF!</definedName>
    <definedName name="E_ALL_KEYWORDS_TYPE_ScalarReference_ISSR_208009569" localSheetId="1">#REF!</definedName>
    <definedName name="E_ALL_KEYWORDS_TYPE_ScalarReference_ISSR_208009569">#REF!</definedName>
    <definedName name="E_ALL_KEYWORDS_TYPE_ScalarReference_ISSR_208012915" localSheetId="1">#REF!</definedName>
    <definedName name="E_ALL_KEYWORDS_TYPE_ScalarReference_ISSR_208012915">#REF!</definedName>
    <definedName name="E_ALL_KEYWORDS_TYPE_Vector_EQTY_200008062" localSheetId="1">#REF!,#REF!,#REF!,#REF!,#REF!</definedName>
    <definedName name="E_ALL_KEYWORDS_TYPE_Vector_EQTY_200008062">#REF!,#REF!,#REF!,#REF!,#REF!</definedName>
    <definedName name="E_ALL_KEYWORDS_TYPE_Vector_EQTY_200011454">#REF!,#REF!,#REF!,#REF!,#REF!</definedName>
    <definedName name="E_ALL_KEYWORDS_TYPE_Vector_EQTY_200012577" localSheetId="1">#REF!,#REF!,#REF!,#REF!,#REF!</definedName>
    <definedName name="E_ALL_KEYWORDS_TYPE_Vector_EQTY_200012577">#REF!,#REF!,#REF!,#REF!,#REF!</definedName>
    <definedName name="E_ALL_KEYWORDS_TYPE_Vector_EQTY_200015373" localSheetId="1">#REF!,#REF!,#REF!,#REF!,#REF!</definedName>
    <definedName name="E_ALL_KEYWORDS_TYPE_Vector_EQTY_200015373">#REF!,#REF!,#REF!,#REF!,#REF!</definedName>
    <definedName name="E_ALL_KEYWORDS_TYPE_Vector_EQTY_200015981">#REF!,#REF!,#REF!,#REF!,#REF!</definedName>
    <definedName name="E_ALL_KEYWORDS_TYPE_Vector_EQTY_200016726">#REF!,#REF!,#REF!,#REF!,#REF!</definedName>
    <definedName name="E_ALL_KEYWORDS_TYPE_Vector_EQTY_200016740" localSheetId="1">#REF!,#REF!,#REF!,#REF!,#REF!</definedName>
    <definedName name="E_ALL_KEYWORDS_TYPE_Vector_EQTY_200019345" localSheetId="1">#REF!,#REF!,#REF!,#REF!,#REF!</definedName>
    <definedName name="E_ALL_KEYWORDS_TYPE_Vector_EQTY_200019345">#REF!,#REF!,#REF!,#REF!,#REF!</definedName>
    <definedName name="E_ALL_KEYWORDS_TYPE_Vector_ISSR_208006264" localSheetId="1">#REF!,#REF!,#REF!,#REF!,#REF!,#REF!,#REF!,#REF!,#REF!,#REF!,#REF!,#REF!,#REF!,#REF!</definedName>
    <definedName name="E_ALL_KEYWORDS_TYPE_Vector_ISSR_208006264">#REF!,#REF!,#REF!,#REF!,#REF!,#REF!,#REF!,#REF!,#REF!,#REF!,#REF!,#REF!,#REF!,#REF!</definedName>
    <definedName name="E_ALL_KEYWORDS_TYPE_Vector_ISSR_208008749">#REF!,#REF!,#REF!,#REF!,#REF!,#REF!,#REF!,#REF!,#REF!,#REF!,#REF!,#REF!,#REF!,#REF!,#REF!</definedName>
    <definedName name="E_ALL_KEYWORDS_TYPE_Vector_ISSR_208009569" localSheetId="1">#REF!,#REF!,#REF!,#REF!,#REF!,#REF!,#REF!,#REF!,#REF!,#REF!,#REF!,#REF!,#REF!,#REF!</definedName>
    <definedName name="E_ALL_KEYWORDS_TYPE_Vector_ISSR_208009569">#REF!,#REF!,#REF!,#REF!,#REF!,#REF!,#REF!,#REF!,#REF!,#REF!,#REF!,#REF!,#REF!,#REF!</definedName>
    <definedName name="E_ALL_KEYWORDS_TYPE_Vector_ISSR_208012915" localSheetId="1">#REF!,#REF!,#REF!,#REF!,#REF!,#REF!,#REF!,#REF!,#REF!,#REF!,#REF!,#REF!,#REF!,#REF!</definedName>
    <definedName name="E_ALL_KEYWORDS_TYPE_Vector_ISSR_208012915">#REF!,#REF!,#REF!,#REF!,#REF!,#REF!,#REF!,#REF!,#REF!,#REF!,#REF!,#REF!,#REF!,#REF!</definedName>
    <definedName name="E_ALL_PERIODS_002570.SZ" localSheetId="1">#REF!</definedName>
    <definedName name="E_ALL_PERIODS_002570.SZ">#REF!</definedName>
    <definedName name="E_ALL_PERIODS_600054.SS" localSheetId="1">#REF!</definedName>
    <definedName name="E_ALL_PERIODS_600054.SS">#REF!</definedName>
    <definedName name="E_ALL_PERIODS_600887.SS" localSheetId="1">#REF!</definedName>
    <definedName name="E_ALL_PERIODS_600887.SS">#REF!</definedName>
    <definedName name="E_ALL_SECTION_KEYWORDS_EQTY_200008062_1314" localSheetId="1">#REF!</definedName>
    <definedName name="E_ALL_SECTION_KEYWORDS_EQTY_200008062_1314">#REF!</definedName>
    <definedName name="E_ALL_SECTION_KEYWORDS_EQTY_200008062_131E" localSheetId="1">#REF!</definedName>
    <definedName name="E_ALL_SECTION_KEYWORDS_EQTY_200008062_131E">#REF!</definedName>
    <definedName name="E_ALL_SECTION_KEYWORDS_EQTY_200008062_131O" localSheetId="1">#REF!</definedName>
    <definedName name="E_ALL_SECTION_KEYWORDS_EQTY_200008062_131O">#REF!</definedName>
    <definedName name="E_ALL_SECTION_KEYWORDS_EQTY_200008062_13A">#REF!</definedName>
    <definedName name="E_ALL_SECTION_KEYWORDS_EQTY_200008062_13K">#REF!</definedName>
    <definedName name="E_ALL_SECTION_KEYWORDS_EQTY_200008062_13U">#REF!</definedName>
    <definedName name="E_ALL_SECTION_KEYWORDS_EQTY_200008062_13V">#REF!</definedName>
    <definedName name="E_ALL_SECTION_KEYWORDS_EQTY_200008062_Reference_Data">#REF!</definedName>
    <definedName name="E_ALL_SECTION_KEYWORDS_EQTY_200012577_1314">#REF!</definedName>
    <definedName name="E_ALL_SECTION_KEYWORDS_EQTY_200012577_131E">#REF!</definedName>
    <definedName name="E_ALL_SECTION_KEYWORDS_EQTY_200012577_131O">#REF!</definedName>
    <definedName name="E_ALL_SECTION_KEYWORDS_EQTY_200012577_13A">#REF!</definedName>
    <definedName name="E_ALL_SECTION_KEYWORDS_EQTY_200012577_13K">#REF!</definedName>
    <definedName name="E_ALL_SECTION_KEYWORDS_EQTY_200012577_13U">#REF!</definedName>
    <definedName name="E_ALL_SECTION_KEYWORDS_EQTY_200012577_13V">#REF!</definedName>
    <definedName name="E_ALL_SECTION_KEYWORDS_EQTY_200012577_Reference_Data">#REF!</definedName>
    <definedName name="E_ALL_SECTION_KEYWORDS_EQTY_200015373_1314">#REF!</definedName>
    <definedName name="E_ALL_SECTION_KEYWORDS_EQTY_200015373_131E">#REF!</definedName>
    <definedName name="E_ALL_SECTION_KEYWORDS_EQTY_200015373_131O">#REF!</definedName>
    <definedName name="E_ALL_SECTION_KEYWORDS_EQTY_200015373_13A">#REF!</definedName>
    <definedName name="E_ALL_SECTION_KEYWORDS_EQTY_200015373_13K">#REF!</definedName>
    <definedName name="E_ALL_SECTION_KEYWORDS_EQTY_200015373_13U">#REF!</definedName>
    <definedName name="E_ALL_SECTION_KEYWORDS_EQTY_200015373_13V">#REF!</definedName>
    <definedName name="E_ALL_SECTION_KEYWORDS_EQTY_200015373_Reference_Data">#REF!</definedName>
    <definedName name="E_ALL_SECTION_KEYWORDS_EQTY_200015981_1314">#REF!</definedName>
    <definedName name="E_ALL_SECTION_KEYWORDS_EQTY_200015981_131E">#REF!</definedName>
    <definedName name="E_ALL_SECTION_KEYWORDS_EQTY_200015981_131O">#REF!</definedName>
    <definedName name="E_ALL_SECTION_KEYWORDS_EQTY_200015981_13A">#REF!</definedName>
    <definedName name="E_ALL_SECTION_KEYWORDS_EQTY_200015981_13K">#REF!</definedName>
    <definedName name="E_ALL_SECTION_KEYWORDS_EQTY_200015981_13U">#REF!</definedName>
    <definedName name="E_ALL_SECTION_KEYWORDS_EQTY_200015981_13V">#REF!</definedName>
    <definedName name="E_ALL_SECTION_KEYWORDS_EQTY_200015981_Reference_Data">#REF!</definedName>
    <definedName name="E_ALL_SECTION_KEYWORDS_ISSR_208006264_1314" localSheetId="1">#REF!</definedName>
    <definedName name="E_ALL_SECTION_KEYWORDS_ISSR_208006264_1314">#REF!</definedName>
    <definedName name="E_ALL_SECTION_KEYWORDS_ISSR_208006264_13168" localSheetId="1">#REF!</definedName>
    <definedName name="E_ALL_SECTION_KEYWORDS_ISSR_208006264_13168">#REF!</definedName>
    <definedName name="E_ALL_SECTION_KEYWORDS_ISSR_208006264_1316S" localSheetId="1">#REF!</definedName>
    <definedName name="E_ALL_SECTION_KEYWORDS_ISSR_208006264_1316S">#REF!</definedName>
    <definedName name="E_ALL_SECTION_KEYWORDS_ISSR_208006264_1316T">#REF!</definedName>
    <definedName name="E_ALL_SECTION_KEYWORDS_ISSR_208006264_1316U">#REF!</definedName>
    <definedName name="E_ALL_SECTION_KEYWORDS_ISSR_208006264_13171">#REF!</definedName>
    <definedName name="E_ALL_SECTION_KEYWORDS_ISSR_208006264_13172">#REF!</definedName>
    <definedName name="E_ALL_SECTION_KEYWORDS_ISSR_208006264_1319">#REF!</definedName>
    <definedName name="E_ALL_SECTION_KEYWORDS_ISSR_208006264_131E">#REF!</definedName>
    <definedName name="E_ALL_SECTION_KEYWORDS_ISSR_208006264_131J">#REF!</definedName>
    <definedName name="E_ALL_SECTION_KEYWORDS_ISSR_208006264_131O">#REF!</definedName>
    <definedName name="E_ALL_SECTION_KEYWORDS_ISSR_208006264_13U">#REF!</definedName>
    <definedName name="E_ALL_SECTION_KEYWORDS_ISSR_208006264_13V">#REF!</definedName>
    <definedName name="E_ALL_SECTION_KEYWORDS_ISSR_208006264_Reference_Data">#REF!</definedName>
    <definedName name="E_ALL_SECTION_KEYWORDS_ISSR_208009569_1314">#REF!</definedName>
    <definedName name="E_ALL_SECTION_KEYWORDS_ISSR_208009569_13168">#REF!</definedName>
    <definedName name="E_ALL_SECTION_KEYWORDS_ISSR_208009569_1316U">#REF!</definedName>
    <definedName name="E_ALL_SECTION_KEYWORDS_ISSR_208009569_1319">#REF!</definedName>
    <definedName name="E_ALL_SECTION_KEYWORDS_ISSR_208009569_131E">#REF!</definedName>
    <definedName name="E_ALL_SECTION_KEYWORDS_ISSR_208009569_131J">#REF!</definedName>
    <definedName name="E_ALL_SECTION_KEYWORDS_ISSR_208009569_131O">#REF!</definedName>
    <definedName name="E_ALL_SECTION_KEYWORDS_ISSR_208009569_13U">#REF!</definedName>
    <definedName name="E_ALL_SECTION_KEYWORDS_ISSR_208009569_13V">#REF!</definedName>
    <definedName name="E_ALL_SECTION_KEYWORDS_ISSR_208009569_Reference_Data">#REF!</definedName>
    <definedName name="E_ALL_SECTION_KEYWORDS_ISSR_208012915_1314">#REF!</definedName>
    <definedName name="E_ALL_SECTION_KEYWORDS_ISSR_208012915_13168">#REF!</definedName>
    <definedName name="E_ALL_SECTION_KEYWORDS_ISSR_208012915_1316S">#REF!</definedName>
    <definedName name="E_ALL_SECTION_KEYWORDS_ISSR_208012915_1316T">#REF!</definedName>
    <definedName name="E_ALL_SECTION_KEYWORDS_ISSR_208012915_1316U">#REF!</definedName>
    <definedName name="E_ALL_SECTION_KEYWORDS_ISSR_208012915_13171">#REF!</definedName>
    <definedName name="E_ALL_SECTION_KEYWORDS_ISSR_208012915_13172">#REF!</definedName>
    <definedName name="E_ALL_SECTION_KEYWORDS_ISSR_208012915_1319">#REF!</definedName>
    <definedName name="E_ALL_SECTION_KEYWORDS_ISSR_208012915_131E">#REF!</definedName>
    <definedName name="E_ALL_SECTION_KEYWORDS_ISSR_208012915_131J">#REF!</definedName>
    <definedName name="E_ALL_SECTION_KEYWORDS_ISSR_208012915_131O">#REF!</definedName>
    <definedName name="E_ALL_SECTION_KEYWORDS_ISSR_208012915_13U">#REF!</definedName>
    <definedName name="E_ALL_SECTION_KEYWORDS_ISSR_208012915_13V">#REF!</definedName>
    <definedName name="E_ALL_SECTION_KEYWORDS_ISSR_208012915_Reference_Data">#REF!</definedName>
    <definedName name="E_ALL_SECTION_KEYWORDS_ISSR_208017703_136J" localSheetId="1">#REF!,#REF!</definedName>
    <definedName name="E_ALL_SECTION_KEYWORDS_ISSR_208017703_136J">#REF!,#REF!</definedName>
    <definedName name="E_ALL_SECTIONS_EQTY_200008062" localSheetId="1">#REF!,#REF!,#REF!,#REF!,#REF!,#REF!,#REF!,#REF!</definedName>
    <definedName name="E_ALL_SECTIONS_EQTY_200008062">#REF!,#REF!,#REF!,#REF!,#REF!,#REF!,#REF!,#REF!</definedName>
    <definedName name="E_ALL_SECTIONS_EQTY_200011454">#REF!,#REF!,#REF!,#REF!,#REF!,#REF!,#REF!,#REF!</definedName>
    <definedName name="E_ALL_SECTIONS_EQTY_200012577" localSheetId="1">#REF!,#REF!,#REF!,#REF!,#REF!,#REF!,#REF!,#REF!</definedName>
    <definedName name="E_ALL_SECTIONS_EQTY_200012577">#REF!,#REF!,#REF!,#REF!,#REF!,#REF!,#REF!,#REF!</definedName>
    <definedName name="E_ALL_SECTIONS_EQTY_200015373" localSheetId="1">#REF!,#REF!,#REF!,#REF!,#REF!,#REF!,#REF!,#REF!</definedName>
    <definedName name="E_ALL_SECTIONS_EQTY_200015373">#REF!,#REF!,#REF!,#REF!,#REF!,#REF!,#REF!,#REF!</definedName>
    <definedName name="E_ALL_SECTIONS_EQTY_200015981">#REF!,#REF!,#REF!,#REF!,#REF!,#REF!,#REF!,#REF!</definedName>
    <definedName name="E_ALL_SECTIONS_EQTY_200019345" localSheetId="1">#REF!,#REF!,#REF!,#REF!,#REF!,#REF!,#REF!,#REF!</definedName>
    <definedName name="E_ALL_SECTIONS_EQTY_200019345">#REF!,#REF!,#REF!,#REF!,#REF!,#REF!,#REF!,#REF!</definedName>
    <definedName name="E_ALL_SECTIONS_ISSR_208006264" localSheetId="1">#REF!,#REF!,#REF!,#REF!,#REF!,#REF!,#REF!,#REF!,#REF!,#REF!,#REF!,#REF!,#REF!,#REF!</definedName>
    <definedName name="E_ALL_SECTIONS_ISSR_208006264">#REF!,#REF!,#REF!,#REF!,#REF!,#REF!,#REF!,#REF!,#REF!,#REF!,#REF!,#REF!,#REF!,#REF!</definedName>
    <definedName name="E_ALL_SECTIONS_ISSR_208008749">#REF!,#REF!,#REF!,#REF!,#REF!,#REF!,#REF!,#REF!,#REF!,#REF!,#REF!,#REF!,#REF!,#REF!,#REF!</definedName>
    <definedName name="E_ALL_SECTIONS_ISSR_208009569" localSheetId="1">#REF!,#REF!,#REF!,#REF!,#REF!,#REF!,#REF!,#REF!,#REF!,#REF!</definedName>
    <definedName name="E_ALL_SECTIONS_ISSR_208009569">#REF!,#REF!,#REF!,#REF!,#REF!,#REF!,#REF!,#REF!,#REF!,#REF!</definedName>
    <definedName name="E_ALL_SECTIONS_ISSR_208012915" localSheetId="1">#REF!,#REF!,#REF!,#REF!,#REF!,#REF!,#REF!,#REF!,#REF!,#REF!,#REF!,#REF!,#REF!,#REF!</definedName>
    <definedName name="E_ALL_SECTIONS_ISSR_208012915">#REF!,#REF!,#REF!,#REF!,#REF!,#REF!,#REF!,#REF!,#REF!,#REF!,#REF!,#REF!,#REF!,#REF!</definedName>
    <definedName name="E_CURRENCY_EQTY_200008062_PRI" localSheetId="1">#REF!</definedName>
    <definedName name="E_CURRENCY_EQTY_200008062_PRI">#REF!</definedName>
    <definedName name="E_CURRENCY_EQTY_200008062_PUB" localSheetId="1">#REF!</definedName>
    <definedName name="E_CURRENCY_EQTY_200008062_PUB">#REF!</definedName>
    <definedName name="E_CURRENCY_EQTY_200008062_REP" localSheetId="1">#REF!</definedName>
    <definedName name="E_CURRENCY_EQTY_200008062_REP">#REF!</definedName>
    <definedName name="E_CURRENCY_EQTY_200011454_PRI">#REF!</definedName>
    <definedName name="E_CURRENCY_EQTY_200011454_PUB">#REF!</definedName>
    <definedName name="E_CURRENCY_EQTY_200011454_REP">#REF!</definedName>
    <definedName name="E_CURRENCY_EQTY_200012577_PRI">#REF!</definedName>
    <definedName name="E_CURRENCY_EQTY_200012577_PUB">#REF!</definedName>
    <definedName name="E_CURRENCY_EQTY_200012577_REP">#REF!</definedName>
    <definedName name="E_CURRENCY_EQTY_200015373_PRI">#REF!</definedName>
    <definedName name="E_CURRENCY_EQTY_200015373_PUB">#REF!</definedName>
    <definedName name="E_CURRENCY_EQTY_200015373_REP">#REF!</definedName>
    <definedName name="E_CURRENCY_EQTY_200015981_PRI">#REF!</definedName>
    <definedName name="E_CURRENCY_EQTY_200015981_PUB">#REF!</definedName>
    <definedName name="E_CURRENCY_EQTY_200015981_REP">#REF!</definedName>
    <definedName name="E_CURRENCY_EQTY_200019345_PRI" localSheetId="1">#REF!</definedName>
    <definedName name="E_CURRENCY_EQTY_200019345_PRI">#REF!</definedName>
    <definedName name="E_CURRENCY_EQTY_200019345_PUB" localSheetId="1">#REF!</definedName>
    <definedName name="E_CURRENCY_EQTY_200019345_PUB">#REF!</definedName>
    <definedName name="E_CURRENCY_EQTY_200019345_REP" localSheetId="1">#REF!</definedName>
    <definedName name="E_CURRENCY_EQTY_200019345_REP">#REF!</definedName>
    <definedName name="E_CURRENCY_ISSR_208006264_REP" localSheetId="1">#REF!</definedName>
    <definedName name="E_CURRENCY_ISSR_208006264_REP">#REF!</definedName>
    <definedName name="E_CURRENCY_ISSR_208008749_REP">#REF!</definedName>
    <definedName name="E_CURRENCY_ISSR_208009569_REP" localSheetId="1">#REF!</definedName>
    <definedName name="E_CURRENCY_ISSR_208009569_REP">#REF!</definedName>
    <definedName name="E_CURRENCY_ISSR_208012915_REP" localSheetId="1">#REF!</definedName>
    <definedName name="E_CURRENCY_ISSR_208012915_REP">#REF!</definedName>
    <definedName name="E_CURRENCY_ISSR_208017703_REP" localSheetId="1">#REF!</definedName>
    <definedName name="E_CURRENCY_ISSR_208017703_REP">#REF!</definedName>
    <definedName name="E_ENTITY_DATA_EQTY_200008062" localSheetId="1">#REF!</definedName>
    <definedName name="E_ENTITY_DATA_EQTY_200008062">#REF!</definedName>
    <definedName name="E_ENTITY_DATA_EQTY_200012577" localSheetId="1">#REF!</definedName>
    <definedName name="E_ENTITY_DATA_EQTY_200012577">#REF!</definedName>
    <definedName name="E_ENTITY_DATA_EQTY_200015373" localSheetId="1">#REF!</definedName>
    <definedName name="E_ENTITY_DATA_EQTY_200015373">#REF!</definedName>
    <definedName name="E_ENTITY_DATA_EQTY_200015981">#REF!</definedName>
    <definedName name="E_ENTITY_DATA_ISSR_208006264" localSheetId="1">#REF!</definedName>
    <definedName name="E_ENTITY_DATA_ISSR_208006264">#REF!</definedName>
    <definedName name="E_ENTITY_DATA_ISSR_208009569" localSheetId="1">#REF!</definedName>
    <definedName name="E_ENTITY_DATA_ISSR_208009569">#REF!</definedName>
    <definedName name="E_ENTITY_DATA_ISSR_208012915" localSheetId="1">#REF!</definedName>
    <definedName name="E_ENTITY_DATA_ISSR_208012915">#REF!</definedName>
    <definedName name="E_KEYWORD_EQTY_200008062_ACT1" localSheetId="1">#REF!</definedName>
    <definedName name="E_KEYWORD_EQTY_200008062_ACT1">#REF!</definedName>
    <definedName name="E_KEYWORD_EQTY_200008062_ACT2" localSheetId="1">#REF!</definedName>
    <definedName name="E_KEYWORD_EQTY_200008062_ACT2">#REF!</definedName>
    <definedName name="E_KEYWORD_EQTY_200008062_AEJ_CONVICTION" localSheetId="1">#REF!</definedName>
    <definedName name="E_KEYWORD_EQTY_200008062_AEJ_CONVICTION">#REF!</definedName>
    <definedName name="E_KEYWORD_EQTY_200008062_AEJ_LIST">#REF!</definedName>
    <definedName name="E_KEYWORD_EQTY_200008062_BETA_ANALYST">#REF!</definedName>
    <definedName name="E_KEYWORD_EQTY_200008062_BVPS">#REF!</definedName>
    <definedName name="E_KEYWORD_EQTY_200008062_BVPS_PUB">#REF!</definedName>
    <definedName name="E_KEYWORD_EQTY_200008062_CATALYST1_DATE">#REF!</definedName>
    <definedName name="E_KEYWORD_EQTY_200008062_CATALYST1_EVENT">#REF!</definedName>
    <definedName name="E_KEYWORD_EQTY_200008062_CATALYST2_DATE">#REF!</definedName>
    <definedName name="E_KEYWORD_EQTY_200008062_CATALYST2_EVENT">#REF!</definedName>
    <definedName name="E_KEYWORD_EQTY_200008062_CATALYST3_DATE">#REF!</definedName>
    <definedName name="E_KEYWORD_EQTY_200008062_CATALYST3_EVENT">#REF!</definedName>
    <definedName name="E_KEYWORD_EQTY_200008062_CATALYST4_DATE">#REF!</definedName>
    <definedName name="E_KEYWORD_EQTY_200008062_CATALYST4_EVENT">#REF!</definedName>
    <definedName name="E_KEYWORD_EQTY_200008062_CATALYST5_DATE">#REF!</definedName>
    <definedName name="E_KEYWORD_EQTY_200008062_CATALYST5_EVENT">#REF!</definedName>
    <definedName name="E_KEYWORD_EQTY_200008062_CF_NI_PRE_PREF">#REF!</definedName>
    <definedName name="E_KEYWORD_EQTY_200008062_COMMON_DIV_PAID">#REF!</definedName>
    <definedName name="E_KEYWORD_EQTY_200008062_CURRENCY_ISO">#REF!</definedName>
    <definedName name="E_KEYWORD_EQTY_200008062_DILUTE_SHARES">#REF!</definedName>
    <definedName name="E_KEYWORD_EQTY_200008062_DPS">#REF!</definedName>
    <definedName name="E_KEYWORD_EQTY_200008062_DPS_PUB">#REF!</definedName>
    <definedName name="E_KEYWORD_EQTY_200008062_EBIT_PUB">#REF!</definedName>
    <definedName name="E_KEYWORD_EQTY_200008062_EBITDA_PUB">#REF!</definedName>
    <definedName name="E_KEYWORD_EQTY_200008062_EPS">#REF!</definedName>
    <definedName name="E_KEYWORD_EQTY_200008062_EPS_CONS_PUB">#REF!</definedName>
    <definedName name="E_KEYWORD_EQTY_200008062_EPS_FUL_DIL">#REF!</definedName>
    <definedName name="E_KEYWORD_EQTY_200008062_EPS_POST_BASIC">#REF!</definedName>
    <definedName name="E_KEYWORD_EQTY_200008062_EPS_PUB">#REF!</definedName>
    <definedName name="E_KEYWORD_EQTY_200008062_EQ_PUB">#REF!</definedName>
    <definedName name="E_KEYWORD_EQTY_200008062_EV_ADJ_PUB">#REF!</definedName>
    <definedName name="E_KEYWORD_EQTY_200008062_FOREIGN_HOLDNG">#REF!</definedName>
    <definedName name="E_KEYWORD_EQTY_200008062_FREE_FLOAT">#REF!</definedName>
    <definedName name="E_KEYWORD_EQTY_200008062_FULLY_DIL_EPS">#REF!</definedName>
    <definedName name="E_KEYWORD_EQTY_200008062_INC_MINORITY">#REF!</definedName>
    <definedName name="E_KEYWORD_EQTY_200008062_Interim_Type">#REF!</definedName>
    <definedName name="E_KEYWORD_EQTY_200008062_LEGAL_RATING">#REF!</definedName>
    <definedName name="E_KEYWORD_EQTY_200008062_MARGIN_TAX_RATE">#REF!</definedName>
    <definedName name="E_KEYWORD_EQTY_200008062_MKT_EQ_RISK_PREM">#REF!</definedName>
    <definedName name="E_KEYWORD_EQTY_200008062_NET_DEBT_PUB">#REF!</definedName>
    <definedName name="E_KEYWORD_EQTY_200008062_NET_EARNING">#REF!</definedName>
    <definedName name="E_KEYWORD_EQTY_200008062_NET_INC">#REF!</definedName>
    <definedName name="E_KEYWORD_EQTY_200008062_NI_CONS">#REF!</definedName>
    <definedName name="E_KEYWORD_EQTY_200008062_NI_PRE_PREF">#REF!</definedName>
    <definedName name="E_KEYWORD_EQTY_200008062_NI_PUB">#REF!</definedName>
    <definedName name="E_KEYWORD_EQTY_200008062_NON_OP_ADD">#REF!</definedName>
    <definedName name="E_KEYWORD_EQTY_200008062_NUM_SH">#REF!</definedName>
    <definedName name="E_KEYWORD_EQTY_200008062_PREF_DIV">#REF!</definedName>
    <definedName name="E_KEYWORD_EQTY_200008062_PRI_TARG_METH">#REF!</definedName>
    <definedName name="E_KEYWORD_EQTY_200008062_PRI_TARG_MULT">#REF!</definedName>
    <definedName name="E_KEYWORD_EQTY_200008062_PRICE_CURRENCY_ISO">#REF!</definedName>
    <definedName name="E_KEYWORD_EQTY_200008062_PROV_INC_TAX">#REF!</definedName>
    <definedName name="E_KEYWORD_EQTY_200008062_PTP_PUB">#REF!</definedName>
    <definedName name="E_KEYWORD_EQTY_200008062_PUB_CURRENCY_ISO">#REF!</definedName>
    <definedName name="E_KEYWORD_EQTY_200008062_REVS_PUB">#REF!</definedName>
    <definedName name="E_KEYWORD_EQTY_200008062_RISK_FR_RATE">#REF!</definedName>
    <definedName name="E_KEYWORD_EQTY_200008062_Security_Name">#REF!</definedName>
    <definedName name="E_KEYWORD_EQTY_200008062_SH">#REF!</definedName>
    <definedName name="E_KEYWORD_EQTY_200008062_TARGET_PRICE">#REF!</definedName>
    <definedName name="E_KEYWORD_EQTY_200008062_TAX_EXC">#REF!</definedName>
    <definedName name="E_KEYWORD_EQTY_200008062_Ticker">#REF!</definedName>
    <definedName name="E_KEYWORD_EQTY_200008062_TP_PERIOD">#REF!</definedName>
    <definedName name="E_KEYWORD_EQTY_200012577_ACT1">#REF!</definedName>
    <definedName name="E_KEYWORD_EQTY_200012577_AEJ_CONVICTION">#REF!</definedName>
    <definedName name="E_KEYWORD_EQTY_200012577_AEJ_LIST">#REF!</definedName>
    <definedName name="E_KEYWORD_EQTY_200012577_BETA_ANALYST">#REF!</definedName>
    <definedName name="E_KEYWORD_EQTY_200012577_BVPS">#REF!</definedName>
    <definedName name="E_KEYWORD_EQTY_200012577_BVPS_PUB">#REF!</definedName>
    <definedName name="E_KEYWORD_EQTY_200012577_CATALYST1_DATE">#REF!</definedName>
    <definedName name="E_KEYWORD_EQTY_200012577_CATALYST1_EVENT">#REF!</definedName>
    <definedName name="E_KEYWORD_EQTY_200012577_CATALYST2_DATE">#REF!</definedName>
    <definedName name="E_KEYWORD_EQTY_200012577_CATALYST2_EVENT">#REF!</definedName>
    <definedName name="E_KEYWORD_EQTY_200012577_CATALYST3_DATE">#REF!</definedName>
    <definedName name="E_KEYWORD_EQTY_200012577_CATALYST3_EVENT">#REF!</definedName>
    <definedName name="E_KEYWORD_EQTY_200012577_CATALYST4_DATE">#REF!</definedName>
    <definedName name="E_KEYWORD_EQTY_200012577_CATALYST4_EVENT">#REF!</definedName>
    <definedName name="E_KEYWORD_EQTY_200012577_CATALYST5_DATE">#REF!</definedName>
    <definedName name="E_KEYWORD_EQTY_200012577_CATALYST5_EVENT">#REF!</definedName>
    <definedName name="E_KEYWORD_EQTY_200012577_CF_NI_PRE_PREF">#REF!</definedName>
    <definedName name="E_KEYWORD_EQTY_200012577_COMMON_DIV_PAID">#REF!</definedName>
    <definedName name="E_KEYWORD_EQTY_200012577_CURRENCY_ISO">#REF!</definedName>
    <definedName name="E_KEYWORD_EQTY_200012577_DILUTE_SHARES">#REF!</definedName>
    <definedName name="E_KEYWORD_EQTY_200012577_DPS">#REF!</definedName>
    <definedName name="E_KEYWORD_EQTY_200012577_DPS_PUB">#REF!</definedName>
    <definedName name="E_KEYWORD_EQTY_200012577_EBIT_PUB">#REF!</definedName>
    <definedName name="E_KEYWORD_EQTY_200012577_EBITDA_PUB">#REF!</definedName>
    <definedName name="E_KEYWORD_EQTY_200012577_EPS">#REF!</definedName>
    <definedName name="E_KEYWORD_EQTY_200012577_EPS_CONS_PUB">#REF!</definedName>
    <definedName name="E_KEYWORD_EQTY_200012577_EPS_FUL_DIL">#REF!</definedName>
    <definedName name="E_KEYWORD_EQTY_200012577_EPS_POST_BASIC">#REF!</definedName>
    <definedName name="E_KEYWORD_EQTY_200012577_EPS_PUB">#REF!</definedName>
    <definedName name="E_KEYWORD_EQTY_200012577_EQ_PUB">#REF!</definedName>
    <definedName name="E_KEYWORD_EQTY_200012577_EV_ADJ_PUB">#REF!</definedName>
    <definedName name="E_KEYWORD_EQTY_200012577_FOREIGN_HOLDNG">#REF!</definedName>
    <definedName name="E_KEYWORD_EQTY_200012577_FREE_FLOAT">#REF!</definedName>
    <definedName name="E_KEYWORD_EQTY_200012577_FULLY_DIL_EPS">#REF!</definedName>
    <definedName name="E_KEYWORD_EQTY_200012577_INC_MINORITY">#REF!</definedName>
    <definedName name="E_KEYWORD_EQTY_200012577_Interim_Type">#REF!</definedName>
    <definedName name="E_KEYWORD_EQTY_200012577_LEGAL_RATING">#REF!</definedName>
    <definedName name="E_KEYWORD_EQTY_200012577_MARGIN_TAX_RATE">#REF!</definedName>
    <definedName name="E_KEYWORD_EQTY_200012577_MKT_EQ_RISK_PREM">#REF!</definedName>
    <definedName name="E_KEYWORD_EQTY_200012577_NET_DEBT_PUB">#REF!</definedName>
    <definedName name="E_KEYWORD_EQTY_200012577_NET_EARNING">#REF!</definedName>
    <definedName name="E_KEYWORD_EQTY_200012577_NET_INC">#REF!</definedName>
    <definedName name="E_KEYWORD_EQTY_200012577_NI_CONS">#REF!</definedName>
    <definedName name="E_KEYWORD_EQTY_200012577_NI_PRE_PREF">#REF!</definedName>
    <definedName name="E_KEYWORD_EQTY_200012577_NI_PUB">#REF!</definedName>
    <definedName name="E_KEYWORD_EQTY_200012577_NON_OP_ADD">#REF!</definedName>
    <definedName name="E_KEYWORD_EQTY_200012577_NUM_SH">#REF!</definedName>
    <definedName name="E_KEYWORD_EQTY_200012577_PREF_DIV">#REF!</definedName>
    <definedName name="E_KEYWORD_EQTY_200012577_PRI_TARG_METH">#REF!</definedName>
    <definedName name="E_KEYWORD_EQTY_200012577_PRI_TARG_MULT">#REF!</definedName>
    <definedName name="E_KEYWORD_EQTY_200012577_PRICE_CURRENCY_ISO">#REF!</definedName>
    <definedName name="E_KEYWORD_EQTY_200012577_PROV_INC_TAX">#REF!</definedName>
    <definedName name="E_KEYWORD_EQTY_200012577_PTP_PUB">#REF!</definedName>
    <definedName name="E_KEYWORD_EQTY_200012577_PUB_CURRENCY_ISO">#REF!</definedName>
    <definedName name="E_KEYWORD_EQTY_200012577_REVS_PUB">#REF!</definedName>
    <definedName name="E_KEYWORD_EQTY_200012577_RISK_FR_RATE">#REF!</definedName>
    <definedName name="E_KEYWORD_EQTY_200012577_Security_Name">#REF!</definedName>
    <definedName name="E_KEYWORD_EQTY_200012577_SH">#REF!</definedName>
    <definedName name="E_KEYWORD_EQTY_200012577_TARGET_PRICE">#REF!</definedName>
    <definedName name="E_KEYWORD_EQTY_200012577_TAX_EXC">#REF!</definedName>
    <definedName name="E_KEYWORD_EQTY_200012577_Ticker">#REF!</definedName>
    <definedName name="E_KEYWORD_EQTY_200012577_TP_PERIOD">#REF!</definedName>
    <definedName name="E_KEYWORD_EQTY_200015373_ACT1">#REF!</definedName>
    <definedName name="E_KEYWORD_EQTY_200015373_AEJ_CONVICTION">#REF!</definedName>
    <definedName name="E_KEYWORD_EQTY_200015373_AEJ_LIST">#REF!</definedName>
    <definedName name="E_KEYWORD_EQTY_200015373_BETA_ANALYST">#REF!</definedName>
    <definedName name="E_KEYWORD_EQTY_200015373_BVPS">#REF!</definedName>
    <definedName name="E_KEYWORD_EQTY_200015373_BVPS_PUB">#REF!</definedName>
    <definedName name="E_KEYWORD_EQTY_200015373_CATALYST1_DATE">#REF!</definedName>
    <definedName name="E_KEYWORD_EQTY_200015373_CATALYST1_EVENT">#REF!</definedName>
    <definedName name="E_KEYWORD_EQTY_200015373_CATALYST2_DATE">#REF!</definedName>
    <definedName name="E_KEYWORD_EQTY_200015373_CATALYST2_EVENT">#REF!</definedName>
    <definedName name="E_KEYWORD_EQTY_200015373_CATALYST3_DATE">#REF!</definedName>
    <definedName name="E_KEYWORD_EQTY_200015373_CATALYST3_EVENT">#REF!</definedName>
    <definedName name="E_KEYWORD_EQTY_200015373_CATALYST4_DATE">#REF!</definedName>
    <definedName name="E_KEYWORD_EQTY_200015373_CATALYST4_EVENT">#REF!</definedName>
    <definedName name="E_KEYWORD_EQTY_200015373_CATALYST5_DATE">#REF!</definedName>
    <definedName name="E_KEYWORD_EQTY_200015373_CATALYST5_EVENT">#REF!</definedName>
    <definedName name="E_KEYWORD_EQTY_200015373_CF_NI_PRE_PREF">#REF!</definedName>
    <definedName name="E_KEYWORD_EQTY_200015373_COMMON_DIV_PAID">#REF!</definedName>
    <definedName name="E_KEYWORD_EQTY_200015373_CURRENCY_ISO">#REF!</definedName>
    <definedName name="E_KEYWORD_EQTY_200015373_DILUTE_SHARES">#REF!</definedName>
    <definedName name="E_KEYWORD_EQTY_200015373_DPS">#REF!</definedName>
    <definedName name="E_KEYWORD_EQTY_200015373_DPS_PUB">#REF!</definedName>
    <definedName name="E_KEYWORD_EQTY_200015373_EBIT_PUB">#REF!</definedName>
    <definedName name="E_KEYWORD_EQTY_200015373_EBITDA_PUB">#REF!</definedName>
    <definedName name="E_KEYWORD_EQTY_200015373_EPS">#REF!</definedName>
    <definedName name="E_KEYWORD_EQTY_200015373_EPS_CONS_PUB">#REF!</definedName>
    <definedName name="E_KEYWORD_EQTY_200015373_EPS_FUL_DIL">#REF!</definedName>
    <definedName name="E_KEYWORD_EQTY_200015373_EPS_POST_BASIC">#REF!</definedName>
    <definedName name="E_KEYWORD_EQTY_200015373_EPS_PUB">#REF!</definedName>
    <definedName name="E_KEYWORD_EQTY_200015373_EQ_PUB">#REF!</definedName>
    <definedName name="E_KEYWORD_EQTY_200015373_EV_ADJ_PUB">#REF!</definedName>
    <definedName name="E_KEYWORD_EQTY_200015373_FOREIGN_HOLDNG">#REF!</definedName>
    <definedName name="E_KEYWORD_EQTY_200015373_FREE_FLOAT">#REF!</definedName>
    <definedName name="E_KEYWORD_EQTY_200015373_FULLY_DIL_EPS">#REF!</definedName>
    <definedName name="E_KEYWORD_EQTY_200015373_INC_MINORITY">#REF!</definedName>
    <definedName name="E_KEYWORD_EQTY_200015373_Interim_Type">#REF!</definedName>
    <definedName name="E_KEYWORD_EQTY_200015373_LEGAL_RATING">#REF!</definedName>
    <definedName name="E_KEYWORD_EQTY_200015373_MARGIN_TAX_RATE">#REF!</definedName>
    <definedName name="E_KEYWORD_EQTY_200015373_MKT_EQ_RISK_PREM">#REF!</definedName>
    <definedName name="E_KEYWORD_EQTY_200015373_NET_DEBT_PUB">#REF!</definedName>
    <definedName name="E_KEYWORD_EQTY_200015373_NET_EARNING">#REF!</definedName>
    <definedName name="E_KEYWORD_EQTY_200015373_NET_INC">#REF!</definedName>
    <definedName name="E_KEYWORD_EQTY_200015373_NI_CONS">#REF!</definedName>
    <definedName name="E_KEYWORD_EQTY_200015373_NI_PRE_PREF">#REF!</definedName>
    <definedName name="E_KEYWORD_EQTY_200015373_NI_PUB">#REF!</definedName>
    <definedName name="E_KEYWORD_EQTY_200015373_NON_OP_ADD">#REF!</definedName>
    <definedName name="E_KEYWORD_EQTY_200015373_NUM_SH">#REF!</definedName>
    <definedName name="E_KEYWORD_EQTY_200015373_PREF_DIV">#REF!</definedName>
    <definedName name="E_KEYWORD_EQTY_200015373_PRI_TARG_METH">#REF!</definedName>
    <definedName name="E_KEYWORD_EQTY_200015373_PRI_TARG_MULT">#REF!</definedName>
    <definedName name="E_KEYWORD_EQTY_200015373_PRICE_CURRENCY_ISO">#REF!</definedName>
    <definedName name="E_KEYWORD_EQTY_200015373_PROV_INC_TAX">#REF!</definedName>
    <definedName name="E_KEYWORD_EQTY_200015373_PTP_PUB">#REF!</definedName>
    <definedName name="E_KEYWORD_EQTY_200015373_PUB_CURRENCY_ISO">#REF!</definedName>
    <definedName name="E_KEYWORD_EQTY_200015373_REVS_PUB">#REF!</definedName>
    <definedName name="E_KEYWORD_EQTY_200015373_RISK_FR_RATE">#REF!</definedName>
    <definedName name="E_KEYWORD_EQTY_200015373_Security_Name">#REF!</definedName>
    <definedName name="E_KEYWORD_EQTY_200015373_SH">#REF!</definedName>
    <definedName name="E_KEYWORD_EQTY_200015373_TARGET_PRICE">#REF!</definedName>
    <definedName name="E_KEYWORD_EQTY_200015373_TAX_EXC">#REF!</definedName>
    <definedName name="E_KEYWORD_EQTY_200015373_Ticker">#REF!</definedName>
    <definedName name="E_KEYWORD_EQTY_200015373_TP_PERIOD">#REF!</definedName>
    <definedName name="E_KEYWORD_EQTY_200015981_AEJ_CONVICTION">#REF!</definedName>
    <definedName name="E_KEYWORD_EQTY_200015981_AEJ_LIST">#REF!</definedName>
    <definedName name="E_KEYWORD_EQTY_200015981_BETA_ANALYST">#REF!</definedName>
    <definedName name="E_KEYWORD_EQTY_200015981_BVPS">#REF!</definedName>
    <definedName name="E_KEYWORD_EQTY_200015981_BVPS_PUB">#REF!</definedName>
    <definedName name="E_KEYWORD_EQTY_200015981_CATALYST1_DATE">#REF!</definedName>
    <definedName name="E_KEYWORD_EQTY_200015981_CATALYST1_EVENT">#REF!</definedName>
    <definedName name="E_KEYWORD_EQTY_200015981_CATALYST2_DATE">#REF!</definedName>
    <definedName name="E_KEYWORD_EQTY_200015981_CATALYST2_EVENT">#REF!</definedName>
    <definedName name="E_KEYWORD_EQTY_200015981_CATALYST3_DATE">#REF!</definedName>
    <definedName name="E_KEYWORD_EQTY_200015981_CATALYST3_EVENT">#REF!</definedName>
    <definedName name="E_KEYWORD_EQTY_200015981_CATALYST4_DATE">#REF!</definedName>
    <definedName name="E_KEYWORD_EQTY_200015981_CATALYST4_EVENT">#REF!</definedName>
    <definedName name="E_KEYWORD_EQTY_200015981_CATALYST5_DATE">#REF!</definedName>
    <definedName name="E_KEYWORD_EQTY_200015981_CATALYST5_EVENT">#REF!</definedName>
    <definedName name="E_KEYWORD_EQTY_200015981_CF_NI_PRE_PREF">#REF!</definedName>
    <definedName name="E_KEYWORD_EQTY_200015981_COMMON_DIV_PAID">#REF!</definedName>
    <definedName name="E_KEYWORD_EQTY_200015981_CURRENCY_ISO">#REF!</definedName>
    <definedName name="E_KEYWORD_EQTY_200015981_DILUTE_SHARES">#REF!</definedName>
    <definedName name="E_KEYWORD_EQTY_200015981_DPS">#REF!</definedName>
    <definedName name="E_KEYWORD_EQTY_200015981_DPS_PUB">#REF!</definedName>
    <definedName name="E_KEYWORD_EQTY_200015981_EBIT_PUB">#REF!</definedName>
    <definedName name="E_KEYWORD_EQTY_200015981_EBITDA_PUB">#REF!</definedName>
    <definedName name="E_KEYWORD_EQTY_200015981_EPS">#REF!</definedName>
    <definedName name="E_KEYWORD_EQTY_200015981_EPS_CONS_PUB">#REF!</definedName>
    <definedName name="E_KEYWORD_EQTY_200015981_EPS_FUL_DIL">#REF!</definedName>
    <definedName name="E_KEYWORD_EQTY_200015981_EPS_POST_BASIC">#REF!</definedName>
    <definedName name="E_KEYWORD_EQTY_200015981_EPS_PUB">#REF!</definedName>
    <definedName name="E_KEYWORD_EQTY_200015981_EQ_PUB">#REF!</definedName>
    <definedName name="E_KEYWORD_EQTY_200015981_EV_ADJ_PUB">#REF!</definedName>
    <definedName name="E_KEYWORD_EQTY_200015981_FOREIGN_HOLDNG">#REF!</definedName>
    <definedName name="E_KEYWORD_EQTY_200015981_FREE_FLOAT">#REF!</definedName>
    <definedName name="E_KEYWORD_EQTY_200015981_FULLY_DIL_EPS">#REF!</definedName>
    <definedName name="E_KEYWORD_EQTY_200015981_INC_MINORITY">#REF!</definedName>
    <definedName name="E_KEYWORD_EQTY_200015981_Interim_Type">#REF!</definedName>
    <definedName name="E_KEYWORD_EQTY_200015981_LEGAL_RATING">#REF!</definedName>
    <definedName name="E_KEYWORD_EQTY_200015981_MARGIN_TAX_RATE">#REF!</definedName>
    <definedName name="E_KEYWORD_EQTY_200015981_MKT_EQ_RISK_PREM">#REF!</definedName>
    <definedName name="E_KEYWORD_EQTY_200015981_NET_DEBT_PUB">#REF!</definedName>
    <definedName name="E_KEYWORD_EQTY_200015981_NET_EARNING">#REF!</definedName>
    <definedName name="E_KEYWORD_EQTY_200015981_NET_INC">#REF!</definedName>
    <definedName name="E_KEYWORD_EQTY_200015981_NI_CONS">#REF!</definedName>
    <definedName name="E_KEYWORD_EQTY_200015981_NI_PRE_PREF">#REF!</definedName>
    <definedName name="E_KEYWORD_EQTY_200015981_NI_PUB">#REF!</definedName>
    <definedName name="E_KEYWORD_EQTY_200015981_NON_OP_ADD">#REF!</definedName>
    <definedName name="E_KEYWORD_EQTY_200015981_NUM_SH">#REF!</definedName>
    <definedName name="E_KEYWORD_EQTY_200015981_PREF_DIV">#REF!</definedName>
    <definedName name="E_KEYWORD_EQTY_200015981_PRI_TARG_METH">#REF!</definedName>
    <definedName name="E_KEYWORD_EQTY_200015981_PRI_TARG_MULT">#REF!</definedName>
    <definedName name="E_KEYWORD_EQTY_200015981_PRICE_CURRENCY_ISO">#REF!</definedName>
    <definedName name="E_KEYWORD_EQTY_200015981_PROV_INC_TAX">#REF!</definedName>
    <definedName name="E_KEYWORD_EQTY_200015981_PTP_PUB">#REF!</definedName>
    <definedName name="E_KEYWORD_EQTY_200015981_PUB_CURRENCY_ISO">#REF!</definedName>
    <definedName name="E_KEYWORD_EQTY_200015981_REVS_PUB">#REF!</definedName>
    <definedName name="E_KEYWORD_EQTY_200015981_RISK_FR_RATE">#REF!</definedName>
    <definedName name="E_KEYWORD_EQTY_200015981_Security_Name">#REF!</definedName>
    <definedName name="E_KEYWORD_EQTY_200015981_SH">#REF!</definedName>
    <definedName name="E_KEYWORD_EQTY_200015981_TARGET_PRICE">#REF!</definedName>
    <definedName name="E_KEYWORD_EQTY_200015981_TAX_EXC">#REF!</definedName>
    <definedName name="E_KEYWORD_EQTY_200015981_Ticker">#REF!</definedName>
    <definedName name="E_KEYWORD_EQTY_200015981_TP_PERIOD">#REF!</definedName>
    <definedName name="E_KEYWORD_ISSR_208006264_ACC_AMORT" localSheetId="1">#REF!</definedName>
    <definedName name="E_KEYWORD_ISSR_208006264_ACC_AMORT">#REF!</definedName>
    <definedName name="E_KEYWORD_ISSR_208006264_ACC_DDA" localSheetId="1">#REF!</definedName>
    <definedName name="E_KEYWORD_ISSR_208006264_ACC_DDA">#REF!</definedName>
    <definedName name="E_KEYWORD_ISSR_208006264_ACC_END_DATE" localSheetId="1">#REF!</definedName>
    <definedName name="E_KEYWORD_ISSR_208006264_ACC_END_DATE">#REF!</definedName>
    <definedName name="E_KEYWORD_ISSR_208006264_ACC_PAY_GQ">#REF!</definedName>
    <definedName name="E_KEYWORD_ISSR_208006264_ACQ">#REF!</definedName>
    <definedName name="E_KEYWORD_ISSR_208006264_ADJ_UNF_PENS_GOOD">#REF!</definedName>
    <definedName name="E_KEYWORD_ISSR_208006264_ASIA_SALES_GROWTH">#REF!</definedName>
    <definedName name="E_KEYWORD_ISSR_208006264_ASSOC_JV_ADDBK">#REF!</definedName>
    <definedName name="E_KEYWORD_ISSR_208006264_ASSOCIATE">#REF!</definedName>
    <definedName name="E_KEYWORD_ISSR_208006264_ASSOCIATE_OP">#REF!</definedName>
    <definedName name="E_KEYWORD_ISSR_208006264_BAL_MINO_INT">#REF!</definedName>
    <definedName name="E_KEYWORD_ISSR_208006264_CAP_LEASES">#REF!</definedName>
    <definedName name="E_KEYWORD_ISSR_208006264_CAPEX">#REF!</definedName>
    <definedName name="E_KEYWORD_ISSR_208006264_CAPEX_EXPANSION">#REF!</definedName>
    <definedName name="E_KEYWORD_ISSR_208006264_CAPEX_MAINTENANCE">#REF!</definedName>
    <definedName name="E_KEYWORD_ISSR_208006264_CASH_EQ">#REF!</definedName>
    <definedName name="E_KEYWORD_ISSR_208006264_CASH_INT_EXP">#REF!</definedName>
    <definedName name="E_KEYWORD_ISSR_208006264_CASH_TAX_EXP">#REF!</definedName>
    <definedName name="E_KEYWORD_ISSR_208006264_CF_FIN">#REF!</definedName>
    <definedName name="E_KEYWORD_ISSR_208006264_CF_INC_MINORITY">#REF!</definedName>
    <definedName name="E_KEYWORD_ISSR_208006264_CF_INV">#REF!</definedName>
    <definedName name="E_KEYWORD_ISSR_208006264_CF_OPS">#REF!</definedName>
    <definedName name="E_KEYWORD_ISSR_208006264_CHG_LT_DEBT">#REF!</definedName>
    <definedName name="E_KEYWORD_ISSR_208006264_CO_BOR_MARGIN">#REF!</definedName>
    <definedName name="E_KEYWORD_ISSR_208006264_COGS_BEEF">#REF!</definedName>
    <definedName name="E_KEYWORD_ISSR_208006264_COGS_COFFEE">#REF!</definedName>
    <definedName name="E_KEYWORD_ISSR_208006264_COGS_CORN">#REF!</definedName>
    <definedName name="E_KEYWORD_ISSR_208006264_COGS_DAIRY">#REF!</definedName>
    <definedName name="E_KEYWORD_ISSR_208006264_COGS_ENERGY">#REF!</definedName>
    <definedName name="E_KEYWORD_ISSR_208006264_COGS_NUTS">#REF!</definedName>
    <definedName name="E_KEYWORD_ISSR_208006264_COGS_OH_WAGES">#REF!</definedName>
    <definedName name="E_KEYWORD_ISSR_208006264_COGS_OTH_AGRI">#REF!</definedName>
    <definedName name="E_KEYWORD_ISSR_208006264_COGS_OTH_EDIBLE_OIL">#REF!</definedName>
    <definedName name="E_KEYWORD_ISSR_208006264_COGS_PACK_ALUM">#REF!</definedName>
    <definedName name="E_KEYWORD_ISSR_208006264_COGS_PACK_GLASS">#REF!</definedName>
    <definedName name="E_KEYWORD_ISSR_208006264_COGS_PACK_OIL_DERIV">#REF!</definedName>
    <definedName name="E_KEYWORD_ISSR_208006264_COGS_PACK_PAPER">#REF!</definedName>
    <definedName name="E_KEYWORD_ISSR_208006264_COGS_PACK_TIN">#REF!</definedName>
    <definedName name="E_KEYWORD_ISSR_208006264_COGS_PALM_OIL">#REF!</definedName>
    <definedName name="E_KEYWORD_ISSR_208006264_COGS_RAW_OIL_DERIV">#REF!</definedName>
    <definedName name="E_KEYWORD_ISSR_208006264_COGS_RAW_OTH">#REF!</definedName>
    <definedName name="E_KEYWORD_ISSR_208006264_COGS_RAW_PULP">#REF!</definedName>
    <definedName name="E_KEYWORD_ISSR_208006264_COGS_SOYBEAN">#REF!</definedName>
    <definedName name="E_KEYWORD_ISSR_208006264_COGS_TOBACCO">#REF!</definedName>
    <definedName name="E_KEYWORD_ISSR_208006264_COGS_WHEAT">#REF!</definedName>
    <definedName name="E_KEYWORD_ISSR_208006264_CONTRIB_MARGIN_RATIO">#REF!</definedName>
    <definedName name="E_KEYWORD_ISSR_208006264_COST_GD_SD">#REF!</definedName>
    <definedName name="E_KEYWORD_ISSR_208006264_CUR_ASS">#REF!</definedName>
    <definedName name="E_KEYWORD_ISSR_208006264_CURRENCY_ISO">#REF!</definedName>
    <definedName name="E_KEYWORD_ISSR_208006264_DEBTORS">#REF!</definedName>
    <definedName name="E_KEYWORD_ISSR_208006264_DEF_INC_TAX">#REF!</definedName>
    <definedName name="E_KEYWORD_ISSR_208006264_DEPR_AMORT">#REF!</definedName>
    <definedName name="E_KEYWORD_ISSR_208006264_DEPREC">#REF!</definedName>
    <definedName name="E_KEYWORD_ISSR_208006264_DIV_PAID">#REF!</definedName>
    <definedName name="E_KEYWORD_ISSR_208006264_DIVDS_ASSOC_JV">#REF!</definedName>
    <definedName name="E_KEYWORD_ISSR_208006264_DIVDS_PD_MINORITIES">#REF!</definedName>
    <definedName name="E_KEYWORD_ISSR_208006264_DIVEST">#REF!</definedName>
    <definedName name="E_KEYWORD_ISSR_208006264_EBIT">#REF!</definedName>
    <definedName name="E_KEYWORD_ISSR_208006264_EBITDA_CALC">#REF!</definedName>
    <definedName name="E_KEYWORD_ISSR_208006264_EEMEA_SALES_GROWTH">#REF!</definedName>
    <definedName name="E_KEYWORD_ISSR_208006264_EMPLOYEES">#REF!</definedName>
    <definedName name="E_KEYWORD_ISSR_208006264_EQ">#REF!</definedName>
    <definedName name="E_KEYWORD_ISSR_208006264_EUROPE_SALES_GROWTH">#REF!</definedName>
    <definedName name="E_KEYWORD_ISSR_208006264_EXP_ALUMINIUM">#REF!</definedName>
    <definedName name="E_KEYWORD_ISSR_208006264_EXP_COCOA">#REF!</definedName>
    <definedName name="E_KEYWORD_ISSR_208006264_EXP_COFFEE">#REF!</definedName>
    <definedName name="E_KEYWORD_ISSR_208006264_EXP_CORN">#REF!</definedName>
    <definedName name="E_KEYWORD_ISSR_208006264_EXP_DAIRY">#REF!</definedName>
    <definedName name="E_KEYWORD_ISSR_208006264_EXP_GLASS">#REF!</definedName>
    <definedName name="E_KEYWORD_ISSR_208006264_EXP_OIL_DERIV_NGLS_PLASTICS">#REF!</definedName>
    <definedName name="E_KEYWORD_ISSR_208006264_EXP_OIL_PETRO_FUEL">#REF!</definedName>
    <definedName name="E_KEYWORD_ISSR_208006264_EXP_OTH_COMMODITY">#REF!</definedName>
    <definedName name="E_KEYWORD_ISSR_208006264_EXP_OTH_COST">#REF!</definedName>
    <definedName name="E_KEYWORD_ISSR_208006264_EXP_PAPER_PULP">#REF!</definedName>
    <definedName name="E_KEYWORD_ISSR_208006264_EXP_SOYBEAN">#REF!</definedName>
    <definedName name="E_KEYWORD_ISSR_208006264_EXP_STEEL">#REF!</definedName>
    <definedName name="E_KEYWORD_ISSR_208006264_EXP_SUGAR">#REF!</definedName>
    <definedName name="E_KEYWORD_ISSR_208006264_EXP_TIN">#REF!</definedName>
    <definedName name="E_KEYWORD_ISSR_208006264_EXP_WATER">#REF!</definedName>
    <definedName name="E_KEYWORD_ISSR_208006264_EXP_WHEAT">#REF!</definedName>
    <definedName name="E_KEYWORD_ISSR_208006264_FIX_ASS_INV">#REF!</definedName>
    <definedName name="E_KEYWORD_ISSR_208006264_GCI_INFL">#REF!</definedName>
    <definedName name="E_KEYWORD_ISSR_208006264_GOODWILL_AMORT">#REF!</definedName>
    <definedName name="E_KEYWORD_ISSR_208006264_GR_FIX_ASS">#REF!</definedName>
    <definedName name="E_KEYWORD_ISSR_208006264_GR_INTANG">#REF!</definedName>
    <definedName name="E_KEYWORD_ISSR_208006264_INT_EXP_IND">#REF!</definedName>
    <definedName name="E_KEYWORD_ISSR_208006264_INT_INC_IND">#REF!</definedName>
    <definedName name="E_KEYWORD_ISSR_208006264_INV_SECUR">#REF!</definedName>
    <definedName name="E_KEYWORD_ISSR_208006264_Issuer_Name">#REF!</definedName>
    <definedName name="E_KEYWORD_ISSR_208006264_LATAM_SALES_GROWTH">#REF!</definedName>
    <definedName name="E_KEYWORD_ISSR_208006264_LEASE_DEEM_DEPR">#REF!</definedName>
    <definedName name="E_KEYWORD_ISSR_208006264_LEASE_DEEM_INT">#REF!</definedName>
    <definedName name="E_KEYWORD_ISSR_208006264_LEASE_PAY">#REF!</definedName>
    <definedName name="E_KEYWORD_ISSR_208006264_LT_DEBT">#REF!</definedName>
    <definedName name="E_KEYWORD_ISSR_208006264_MEDIA_ADVERTISING">#REF!</definedName>
    <definedName name="E_KEYWORD_ISSR_208006264_MINORITIES">#REF!</definedName>
    <definedName name="E_KEYWORD_ISSR_208006264_MV_ASSOCIATES">#REF!</definedName>
    <definedName name="E_KEYWORD_ISSR_208006264_NAMERICA_SALES_GROWTH">#REF!</definedName>
    <definedName name="E_KEYWORD_ISSR_208006264_NET_DEBT">#REF!</definedName>
    <definedName name="E_KEYWORD_ISSR_208006264_NET_DEBT_ADJ">#REF!</definedName>
    <definedName name="E_KEYWORD_ISSR_208006264_NET_FIX_ASS">#REF!</definedName>
    <definedName name="E_KEYWORD_ISSR_208006264_NET_INT_CH">#REF!</definedName>
    <definedName name="E_KEYWORD_ISSR_208006264_NET_INT_EXP">#REF!</definedName>
    <definedName name="E_KEYWORD_ISSR_208006264_NET_INTANG">#REF!</definedName>
    <definedName name="E_KEYWORD_ISSR_208006264_NONPPE_CAPEX">#REF!</definedName>
    <definedName name="E_KEYWORD_ISSR_208006264_OP_COST">#REF!</definedName>
    <definedName name="E_KEYWORD_ISSR_208006264_ORD_SH_FUND">#REF!</definedName>
    <definedName name="E_KEYWORD_ISSR_208006264_ORG_REV_GRTH">#REF!</definedName>
    <definedName name="E_KEYWORD_ISSR_208006264_OTH_COST_INC">#REF!</definedName>
    <definedName name="E_KEYWORD_ISSR_208006264_OTH_CUR_ASS">#REF!</definedName>
    <definedName name="E_KEYWORD_ISSR_208006264_OTH_CUR_LIABS">#REF!</definedName>
    <definedName name="E_KEYWORD_ISSR_208006264_OTH_DACF_ADJ">#REF!</definedName>
    <definedName name="E_KEYWORD_ISSR_208006264_OTH_FIN_CF">#REF!</definedName>
    <definedName name="E_KEYWORD_ISSR_208006264_OTH_GCI_ADJ">#REF!</definedName>
    <definedName name="E_KEYWORD_ISSR_208006264_OTH_INV_CF">#REF!</definedName>
    <definedName name="E_KEYWORD_ISSR_208006264_OTH_LT_ASS">#REF!</definedName>
    <definedName name="E_KEYWORD_ISSR_208006264_OTH_LT_CRED_GQ">#REF!</definedName>
    <definedName name="E_KEYWORD_ISSR_208006264_OTH_NONCASH_ADJ">#REF!</definedName>
    <definedName name="E_KEYWORD_ISSR_208006264_OTH_OP_CF">#REF!</definedName>
    <definedName name="E_KEYWORD_ISSR_208006264_OTH_OP_INC_EXP">#REF!</definedName>
    <definedName name="E_KEYWORD_ISSR_208006264_PERIOD_MILESTONE">#REF!</definedName>
    <definedName name="E_KEYWORD_ISSR_208006264_PERSONNEL">#REF!</definedName>
    <definedName name="E_KEYWORD_ISSR_208006264_PL_SALE_ASSETS">#REF!</definedName>
    <definedName name="E_KEYWORD_ISSR_208006264_PREF_SH">#REF!</definedName>
    <definedName name="E_KEYWORD_ISSR_208006264_PROFIT_ON_DISP">#REF!</definedName>
    <definedName name="E_KEYWORD_ISSR_208006264_PT_PROF">#REF!</definedName>
    <definedName name="E_KEYWORD_ISSR_208006264_RD_EXP">#REF!</definedName>
    <definedName name="E_KEYWORD_ISSR_208006264_SALES">#REF!</definedName>
    <definedName name="E_KEYWORD_ISSR_208006264_SALES_BRAZIL">#REF!</definedName>
    <definedName name="E_KEYWORD_ISSR_208006264_SALES_CEE">#REF!</definedName>
    <definedName name="E_KEYWORD_ISSR_208006264_SALES_CHINA">#REF!</definedName>
    <definedName name="E_KEYWORD_ISSR_208006264_SALES_COCOA">#REF!</definedName>
    <definedName name="E_KEYWORD_ISSR_208006264_SALES_COFFEE">#REF!</definedName>
    <definedName name="E_KEYWORD_ISSR_208006264_SALES_CONS">#REF!</definedName>
    <definedName name="E_KEYWORD_ISSR_208006264_SALES_DAIRY">#REF!</definedName>
    <definedName name="E_KEYWORD_ISSR_208006264_SALES_EU_EX_UK">#REF!</definedName>
    <definedName name="E_KEYWORD_ISSR_208006264_SALES_FINAN">#REF!</definedName>
    <definedName name="E_KEYWORD_ISSR_208006264_SALES_FX_BRL">#REF!</definedName>
    <definedName name="E_KEYWORD_ISSR_208006264_SALES_FX_CNY">#REF!</definedName>
    <definedName name="E_KEYWORD_ISSR_208006264_SALES_FX_EUR">#REF!</definedName>
    <definedName name="E_KEYWORD_ISSR_208006264_SALES_FX_GPB">#REF!</definedName>
    <definedName name="E_KEYWORD_ISSR_208006264_SALES_FX_INR">#REF!</definedName>
    <definedName name="E_KEYWORD_ISSR_208006264_SALES_FX_KRW">#REF!</definedName>
    <definedName name="E_KEYWORD_ISSR_208006264_SALES_FX_OTH">#REF!</definedName>
    <definedName name="E_KEYWORD_ISSR_208006264_SALES_FX_RUB">#REF!</definedName>
    <definedName name="E_KEYWORD_ISSR_208006264_SALES_FX_TWD">#REF!</definedName>
    <definedName name="E_KEYWORD_ISSR_208006264_SALES_FX_USD">#REF!</definedName>
    <definedName name="E_KEYWORD_ISSR_208006264_SALES_FX_YEN">#REF!</definedName>
    <definedName name="E_KEYWORD_ISSR_208006264_SALES_GOV">#REF!</definedName>
    <definedName name="E_KEYWORD_ISSR_208006264_SALES_IND">#REF!</definedName>
    <definedName name="E_KEYWORD_ISSR_208006264_SALES_INDIA">#REF!</definedName>
    <definedName name="E_KEYWORD_ISSR_208006264_SALES_JAPAN">#REF!</definedName>
    <definedName name="E_KEYWORD_ISSR_208006264_SALES_ME">#REF!</definedName>
    <definedName name="E_KEYWORD_ISSR_208006264_SALES_OTH_AEJ">#REF!</definedName>
    <definedName name="E_KEYWORD_ISSR_208006264_SALES_OTH_AM">#REF!</definedName>
    <definedName name="E_KEYWORD_ISSR_208006264_SALES_OTH_EMEA">#REF!</definedName>
    <definedName name="E_KEYWORD_ISSR_208006264_SALES_OTH_SALES_SOURCES">#REF!</definedName>
    <definedName name="E_KEYWORD_ISSR_208006264_SALES_OTHER">#REF!</definedName>
    <definedName name="E_KEYWORD_ISSR_208006264_SALES_RUSSIA">#REF!</definedName>
    <definedName name="E_KEYWORD_ISSR_208006264_SALES_SK">#REF!</definedName>
    <definedName name="E_KEYWORD_ISSR_208006264_SALES_TAIWAN">#REF!</definedName>
    <definedName name="E_KEYWORD_ISSR_208006264_SALES_TOT_AFRICA">#REF!</definedName>
    <definedName name="E_KEYWORD_ISSR_208006264_SALES_TOT_AM">#REF!</definedName>
    <definedName name="E_KEYWORD_ISSR_208006264_SALES_TOT_ASIA">#REF!</definedName>
    <definedName name="E_KEYWORD_ISSR_208006264_SALES_TOT_EMEA">#REF!</definedName>
    <definedName name="E_KEYWORD_ISSR_208006264_SALES_UK">#REF!</definedName>
    <definedName name="E_KEYWORD_ISSR_208006264_SALES_US">#REF!</definedName>
    <definedName name="E_KEYWORD_ISSR_208006264_SALES_WATER">#REF!</definedName>
    <definedName name="E_KEYWORD_ISSR_208006264_SEL_GL_AD">#REF!</definedName>
    <definedName name="E_KEYWORD_ISSR_208006264_SH_REPUR">#REF!</definedName>
    <definedName name="E_KEYWORD_ISSR_208006264_SHORT_T_DEBT">#REF!</definedName>
    <definedName name="E_KEYWORD_ISSR_208006264_SHORT_TERM_LIABS">#REF!</definedName>
    <definedName name="E_KEYWORD_ISSR_208006264_STOCKS">#REF!</definedName>
    <definedName name="E_KEYWORD_ISSR_208006264_TOT_ASSET">#REF!</definedName>
    <definedName name="E_KEYWORD_ISSR_208006264_TOT_CF">#REF!</definedName>
    <definedName name="E_KEYWORD_ISSR_208006264_TOT_LIAB">#REF!</definedName>
    <definedName name="E_KEYWORD_ISSR_208006264_TOT_LIAB_EQ">#REF!</definedName>
    <definedName name="E_KEYWORD_ISSR_208006264_TOT_LT_LIAB">#REF!</definedName>
    <definedName name="E_KEYWORD_ISSR_208006264_TOT_OPS_EXP">#REF!</definedName>
    <definedName name="E_KEYWORD_ISSR_208006264_TOT_OPS_EXP_DDA">#REF!</definedName>
    <definedName name="E_KEYWORD_ISSR_208006264_UNF_PENS">#REF!</definedName>
    <definedName name="E_KEYWORD_ISSR_208006264_UNF_PENS_LIAB_OTH">#REF!</definedName>
    <definedName name="E_KEYWORD_ISSR_208006264_UNF_PENS_OFF">#REF!</definedName>
    <definedName name="E_KEYWORD_ISSR_208006264_WORK_CAP">#REF!</definedName>
    <definedName name="E_KEYWORD_ISSR_208009569_ACC_AMORT">#REF!</definedName>
    <definedName name="E_KEYWORD_ISSR_208009569_ACC_DDA">#REF!</definedName>
    <definedName name="E_KEYWORD_ISSR_208009569_ACC_END_DATE">#REF!</definedName>
    <definedName name="E_KEYWORD_ISSR_208009569_ACC_PAY_GQ">#REF!</definedName>
    <definedName name="E_KEYWORD_ISSR_208009569_ACQ">#REF!</definedName>
    <definedName name="E_KEYWORD_ISSR_208009569_ADJ_UNF_PENS_GOOD">#REF!</definedName>
    <definedName name="E_KEYWORD_ISSR_208009569_ASSOC_JV_ADDBK">#REF!</definedName>
    <definedName name="E_KEYWORD_ISSR_208009569_ASSOCIATE">#REF!</definedName>
    <definedName name="E_KEYWORD_ISSR_208009569_ASSOCIATE_OP">#REF!</definedName>
    <definedName name="E_KEYWORD_ISSR_208009569_BAL_MINO_INT">#REF!</definedName>
    <definedName name="E_KEYWORD_ISSR_208009569_CAP_LEASES">#REF!</definedName>
    <definedName name="E_KEYWORD_ISSR_208009569_CAPEX">#REF!</definedName>
    <definedName name="E_KEYWORD_ISSR_208009569_CAPEX_EXPANSION">#REF!</definedName>
    <definedName name="E_KEYWORD_ISSR_208009569_CAPEX_MAINTENANCE">#REF!</definedName>
    <definedName name="E_KEYWORD_ISSR_208009569_CASH_EQ">#REF!</definedName>
    <definedName name="E_KEYWORD_ISSR_208009569_CASH_INT_EXP">#REF!</definedName>
    <definedName name="E_KEYWORD_ISSR_208009569_CASH_TAX_EXP">#REF!</definedName>
    <definedName name="E_KEYWORD_ISSR_208009569_CF_FIN">#REF!</definedName>
    <definedName name="E_KEYWORD_ISSR_208009569_CF_INC_MINORITY">#REF!</definedName>
    <definedName name="E_KEYWORD_ISSR_208009569_CF_INV">#REF!</definedName>
    <definedName name="E_KEYWORD_ISSR_208009569_CF_OPS">#REF!</definedName>
    <definedName name="E_KEYWORD_ISSR_208009569_CHG_LT_DEBT">#REF!</definedName>
    <definedName name="E_KEYWORD_ISSR_208009569_CO_BOR_MARGIN">#REF!</definedName>
    <definedName name="E_KEYWORD_ISSR_208009569_CONTRIB_MARGIN_RATIO">#REF!</definedName>
    <definedName name="E_KEYWORD_ISSR_208009569_COST_GD_SD">#REF!</definedName>
    <definedName name="E_KEYWORD_ISSR_208009569_CUR_ASS">#REF!</definedName>
    <definedName name="E_KEYWORD_ISSR_208009569_CURRENCY_ISO">#REF!</definedName>
    <definedName name="E_KEYWORD_ISSR_208009569_DEBTORS">#REF!</definedName>
    <definedName name="E_KEYWORD_ISSR_208009569_DEF_INC_TAX">#REF!</definedName>
    <definedName name="E_KEYWORD_ISSR_208009569_DEPR_AMORT">#REF!</definedName>
    <definedName name="E_KEYWORD_ISSR_208009569_DEPREC">#REF!</definedName>
    <definedName name="E_KEYWORD_ISSR_208009569_DIV_PAID">#REF!</definedName>
    <definedName name="E_KEYWORD_ISSR_208009569_DIVDS_ASSOC_JV">#REF!</definedName>
    <definedName name="E_KEYWORD_ISSR_208009569_DIVDS_PD_MINORITIES">#REF!</definedName>
    <definedName name="E_KEYWORD_ISSR_208009569_DIVEST">#REF!</definedName>
    <definedName name="E_KEYWORD_ISSR_208009569_EBIT">#REF!</definedName>
    <definedName name="E_KEYWORD_ISSR_208009569_EBITDA_CALC">#REF!</definedName>
    <definedName name="E_KEYWORD_ISSR_208009569_EMPLOYEES">#REF!</definedName>
    <definedName name="E_KEYWORD_ISSR_208009569_EQ">#REF!</definedName>
    <definedName name="E_KEYWORD_ISSR_208009569_FIX_ASS_INV">#REF!</definedName>
    <definedName name="E_KEYWORD_ISSR_208009569_GCI_INFL">#REF!</definedName>
    <definedName name="E_KEYWORD_ISSR_208009569_GOODWILL_AMORT">#REF!</definedName>
    <definedName name="E_KEYWORD_ISSR_208009569_GR_FIX_ASS">#REF!</definedName>
    <definedName name="E_KEYWORD_ISSR_208009569_GR_INTANG">#REF!</definedName>
    <definedName name="E_KEYWORD_ISSR_208009569_INT_EXP_IND">#REF!</definedName>
    <definedName name="E_KEYWORD_ISSR_208009569_INT_INC_IND">#REF!</definedName>
    <definedName name="E_KEYWORD_ISSR_208009569_INV_SECUR">#REF!</definedName>
    <definedName name="E_KEYWORD_ISSR_208009569_Issuer_Name">#REF!</definedName>
    <definedName name="E_KEYWORD_ISSR_208009569_LEASE_DEEM_DEPR">#REF!</definedName>
    <definedName name="E_KEYWORD_ISSR_208009569_LEASE_DEEM_INT">#REF!</definedName>
    <definedName name="E_KEYWORD_ISSR_208009569_LEASE_PAY">#REF!</definedName>
    <definedName name="E_KEYWORD_ISSR_208009569_LT_DEBT">#REF!</definedName>
    <definedName name="E_KEYWORD_ISSR_208009569_MINORITIES">#REF!</definedName>
    <definedName name="E_KEYWORD_ISSR_208009569_MV_ASSOCIATES">#REF!</definedName>
    <definedName name="E_KEYWORD_ISSR_208009569_NET_DEBT">#REF!</definedName>
    <definedName name="E_KEYWORD_ISSR_208009569_NET_DEBT_ADJ">#REF!</definedName>
    <definedName name="E_KEYWORD_ISSR_208009569_NET_FIX_ASS">#REF!</definedName>
    <definedName name="E_KEYWORD_ISSR_208009569_NET_INT_CH">#REF!</definedName>
    <definedName name="E_KEYWORD_ISSR_208009569_NET_INT_EXP">#REF!</definedName>
    <definedName name="E_KEYWORD_ISSR_208009569_NET_INTANG">#REF!</definedName>
    <definedName name="E_KEYWORD_ISSR_208009569_NONPPE_CAPEX">#REF!</definedName>
    <definedName name="E_KEYWORD_ISSR_208009569_OP_COST">#REF!</definedName>
    <definedName name="E_KEYWORD_ISSR_208009569_ORD_SH_FUND">#REF!</definedName>
    <definedName name="E_KEYWORD_ISSR_208009569_OTH_COST_INC">#REF!</definedName>
    <definedName name="E_KEYWORD_ISSR_208009569_OTH_CUR_ASS">#REF!</definedName>
    <definedName name="E_KEYWORD_ISSR_208009569_OTH_CUR_LIABS">#REF!</definedName>
    <definedName name="E_KEYWORD_ISSR_208009569_OTH_DACF_ADJ">#REF!</definedName>
    <definedName name="E_KEYWORD_ISSR_208009569_OTH_FIN_CF">#REF!</definedName>
    <definedName name="E_KEYWORD_ISSR_208009569_OTH_GCI_ADJ">#REF!</definedName>
    <definedName name="E_KEYWORD_ISSR_208009569_OTH_INV_CF">#REF!</definedName>
    <definedName name="E_KEYWORD_ISSR_208009569_OTH_LT_ASS">#REF!</definedName>
    <definedName name="E_KEYWORD_ISSR_208009569_OTH_LT_CRED_GQ">#REF!</definedName>
    <definedName name="E_KEYWORD_ISSR_208009569_OTH_NONCASH_ADJ">#REF!</definedName>
    <definedName name="E_KEYWORD_ISSR_208009569_OTH_OP_CF">#REF!</definedName>
    <definedName name="E_KEYWORD_ISSR_208009569_OTH_OP_INC_EXP">#REF!</definedName>
    <definedName name="E_KEYWORD_ISSR_208009569_PERIOD_MILESTONE">#REF!</definedName>
    <definedName name="E_KEYWORD_ISSR_208009569_PERSONNEL">#REF!</definedName>
    <definedName name="E_KEYWORD_ISSR_208009569_PL_SALE_ASSETS">#REF!</definedName>
    <definedName name="E_KEYWORD_ISSR_208009569_PREF_SH">#REF!</definedName>
    <definedName name="E_KEYWORD_ISSR_208009569_PROFIT_ON_DISP">#REF!</definedName>
    <definedName name="E_KEYWORD_ISSR_208009569_PT_PROF">#REF!</definedName>
    <definedName name="E_KEYWORD_ISSR_208009569_RD_EXP">#REF!</definedName>
    <definedName name="E_KEYWORD_ISSR_208009569_SALES">#REF!</definedName>
    <definedName name="E_KEYWORD_ISSR_208009569_SALES_BRAZIL">#REF!</definedName>
    <definedName name="E_KEYWORD_ISSR_208009569_SALES_CEE">#REF!</definedName>
    <definedName name="E_KEYWORD_ISSR_208009569_SALES_CHINA">#REF!</definedName>
    <definedName name="E_KEYWORD_ISSR_208009569_SALES_CONS">#REF!</definedName>
    <definedName name="E_KEYWORD_ISSR_208009569_SALES_EU_EX_UK">#REF!</definedName>
    <definedName name="E_KEYWORD_ISSR_208009569_SALES_FINAN">#REF!</definedName>
    <definedName name="E_KEYWORD_ISSR_208009569_SALES_FX_BRL">#REF!</definedName>
    <definedName name="E_KEYWORD_ISSR_208009569_SALES_FX_CNY">#REF!</definedName>
    <definedName name="E_KEYWORD_ISSR_208009569_SALES_FX_EUR">#REF!</definedName>
    <definedName name="E_KEYWORD_ISSR_208009569_SALES_FX_GPB">#REF!</definedName>
    <definedName name="E_KEYWORD_ISSR_208009569_SALES_FX_INR">#REF!</definedName>
    <definedName name="E_KEYWORD_ISSR_208009569_SALES_FX_KRW">#REF!</definedName>
    <definedName name="E_KEYWORD_ISSR_208009569_SALES_FX_OTH">#REF!</definedName>
    <definedName name="E_KEYWORD_ISSR_208009569_SALES_FX_RUB">#REF!</definedName>
    <definedName name="E_KEYWORD_ISSR_208009569_SALES_FX_TWD">#REF!</definedName>
    <definedName name="E_KEYWORD_ISSR_208009569_SALES_FX_USD">#REF!</definedName>
    <definedName name="E_KEYWORD_ISSR_208009569_SALES_FX_YEN">#REF!</definedName>
    <definedName name="E_KEYWORD_ISSR_208009569_SALES_GOV">#REF!</definedName>
    <definedName name="E_KEYWORD_ISSR_208009569_SALES_IND">#REF!</definedName>
    <definedName name="E_KEYWORD_ISSR_208009569_SALES_INDIA">#REF!</definedName>
    <definedName name="E_KEYWORD_ISSR_208009569_SALES_JAPAN">#REF!</definedName>
    <definedName name="E_KEYWORD_ISSR_208009569_SALES_ME">#REF!</definedName>
    <definedName name="E_KEYWORD_ISSR_208009569_SALES_OTH_AEJ">#REF!</definedName>
    <definedName name="E_KEYWORD_ISSR_208009569_SALES_OTH_AM">#REF!</definedName>
    <definedName name="E_KEYWORD_ISSR_208009569_SALES_OTH_EMEA">#REF!</definedName>
    <definedName name="E_KEYWORD_ISSR_208009569_SALES_OTHER">#REF!</definedName>
    <definedName name="E_KEYWORD_ISSR_208009569_SALES_RUSSIA">#REF!</definedName>
    <definedName name="E_KEYWORD_ISSR_208009569_SALES_SK">#REF!</definedName>
    <definedName name="E_KEYWORD_ISSR_208009569_SALES_TAIWAN">#REF!</definedName>
    <definedName name="E_KEYWORD_ISSR_208009569_SALES_TOT_AFRICA">#REF!</definedName>
    <definedName name="E_KEYWORD_ISSR_208009569_SALES_TOT_AM">#REF!</definedName>
    <definedName name="E_KEYWORD_ISSR_208009569_SALES_TOT_ASIA">#REF!</definedName>
    <definedName name="E_KEYWORD_ISSR_208009569_SALES_TOT_EMEA">#REF!</definedName>
    <definedName name="E_KEYWORD_ISSR_208009569_SALES_UK">#REF!</definedName>
    <definedName name="E_KEYWORD_ISSR_208009569_SALES_US">#REF!</definedName>
    <definedName name="E_KEYWORD_ISSR_208009569_SEL_GL_AD">#REF!</definedName>
    <definedName name="E_KEYWORD_ISSR_208009569_SH_REPUR">#REF!</definedName>
    <definedName name="E_KEYWORD_ISSR_208009569_SHORT_T_DEBT">#REF!</definedName>
    <definedName name="E_KEYWORD_ISSR_208009569_SHORT_TERM_LIABS">#REF!</definedName>
    <definedName name="E_KEYWORD_ISSR_208009569_STOCKS">#REF!</definedName>
    <definedName name="E_KEYWORD_ISSR_208009569_TOT_ASSET">#REF!</definedName>
    <definedName name="E_KEYWORD_ISSR_208009569_TOT_CF">#REF!</definedName>
    <definedName name="E_KEYWORD_ISSR_208009569_TOT_LIAB">#REF!</definedName>
    <definedName name="E_KEYWORD_ISSR_208009569_TOT_LIAB_EQ">#REF!</definedName>
    <definedName name="E_KEYWORD_ISSR_208009569_TOT_LT_LIAB">#REF!</definedName>
    <definedName name="E_KEYWORD_ISSR_208009569_TOT_OPS_EXP">#REF!</definedName>
    <definedName name="E_KEYWORD_ISSR_208009569_TOT_OPS_EXP_DDA">#REF!</definedName>
    <definedName name="E_KEYWORD_ISSR_208009569_UNF_PENS">#REF!</definedName>
    <definedName name="E_KEYWORD_ISSR_208009569_UNF_PENS_LIAB_OTH">#REF!</definedName>
    <definedName name="E_KEYWORD_ISSR_208009569_UNF_PENS_OFF">#REF!</definedName>
    <definedName name="E_KEYWORD_ISSR_208009569_WORK_CAP">#REF!</definedName>
    <definedName name="E_KEYWORD_ISSR_208012915_ACC_AMORT">#REF!</definedName>
    <definedName name="E_KEYWORD_ISSR_208012915_ACC_DDA">#REF!</definedName>
    <definedName name="E_KEYWORD_ISSR_208012915_ACC_END_DATE">#REF!</definedName>
    <definedName name="E_KEYWORD_ISSR_208012915_ACC_PAY_GQ">#REF!</definedName>
    <definedName name="E_KEYWORD_ISSR_208012915_ACQ">#REF!</definedName>
    <definedName name="E_KEYWORD_ISSR_208012915_ADJ_UNF_PENS_GOOD">#REF!</definedName>
    <definedName name="E_KEYWORD_ISSR_208012915_ASIA_SALES_GROWTH">#REF!</definedName>
    <definedName name="E_KEYWORD_ISSR_208012915_ASSOC_JV_ADDBK">#REF!</definedName>
    <definedName name="E_KEYWORD_ISSR_208012915_ASSOCIATE">#REF!</definedName>
    <definedName name="E_KEYWORD_ISSR_208012915_ASSOCIATE_OP">#REF!</definedName>
    <definedName name="E_KEYWORD_ISSR_208012915_BAL_MINO_INT">#REF!</definedName>
    <definedName name="E_KEYWORD_ISSR_208012915_CAP_LEASES">#REF!</definedName>
    <definedName name="E_KEYWORD_ISSR_208012915_CAPEX">#REF!</definedName>
    <definedName name="E_KEYWORD_ISSR_208012915_CAPEX_EXPANSION">#REF!</definedName>
    <definedName name="E_KEYWORD_ISSR_208012915_CAPEX_MAINTENANCE">#REF!</definedName>
    <definedName name="E_KEYWORD_ISSR_208012915_CASH_EQ">#REF!</definedName>
    <definedName name="E_KEYWORD_ISSR_208012915_CASH_INT_EXP">#REF!</definedName>
    <definedName name="E_KEYWORD_ISSR_208012915_CASH_TAX_EXP">#REF!</definedName>
    <definedName name="E_KEYWORD_ISSR_208012915_CF_FIN">#REF!</definedName>
    <definedName name="E_KEYWORD_ISSR_208012915_CF_INC_MINORITY">#REF!</definedName>
    <definedName name="E_KEYWORD_ISSR_208012915_CF_INV">#REF!</definedName>
    <definedName name="E_KEYWORD_ISSR_208012915_CF_OPS">#REF!</definedName>
    <definedName name="E_KEYWORD_ISSR_208012915_CHG_LT_DEBT">#REF!</definedName>
    <definedName name="E_KEYWORD_ISSR_208012915_CO_BOR_MARGIN">#REF!</definedName>
    <definedName name="E_KEYWORD_ISSR_208012915_COGS_BEEF">#REF!</definedName>
    <definedName name="E_KEYWORD_ISSR_208012915_COGS_CHICKEN">#REF!</definedName>
    <definedName name="E_KEYWORD_ISSR_208012915_COGS_COFFEE">#REF!</definedName>
    <definedName name="E_KEYWORD_ISSR_208012915_COGS_CORN">#REF!</definedName>
    <definedName name="E_KEYWORD_ISSR_208012915_COGS_DAIRY">#REF!</definedName>
    <definedName name="E_KEYWORD_ISSR_208012915_COGS_ENERGY">#REF!</definedName>
    <definedName name="E_KEYWORD_ISSR_208012915_COGS_NUTS">#REF!</definedName>
    <definedName name="E_KEYWORD_ISSR_208012915_COGS_OH_WAGES">#REF!</definedName>
    <definedName name="E_KEYWORD_ISSR_208012915_COGS_OTH_AGRI">#REF!</definedName>
    <definedName name="E_KEYWORD_ISSR_208012915_COGS_OTH_EDIBLE_OIL">#REF!</definedName>
    <definedName name="E_KEYWORD_ISSR_208012915_COGS_PACK_ALUM">#REF!</definedName>
    <definedName name="E_KEYWORD_ISSR_208012915_COGS_PACK_GLASS">#REF!</definedName>
    <definedName name="E_KEYWORD_ISSR_208012915_COGS_PACK_OIL_DERIV">#REF!</definedName>
    <definedName name="E_KEYWORD_ISSR_208012915_COGS_PACK_PAPER">#REF!</definedName>
    <definedName name="E_KEYWORD_ISSR_208012915_COGS_PACK_TIN">#REF!</definedName>
    <definedName name="E_KEYWORD_ISSR_208012915_COGS_PALM_OIL">#REF!</definedName>
    <definedName name="E_KEYWORD_ISSR_208012915_COGS_PORK">#REF!</definedName>
    <definedName name="E_KEYWORD_ISSR_208012915_COGS_RAW_OIL_DERIV">#REF!</definedName>
    <definedName name="E_KEYWORD_ISSR_208012915_COGS_RAW_OTH">#REF!</definedName>
    <definedName name="E_KEYWORD_ISSR_208012915_COGS_RAW_PULP">#REF!</definedName>
    <definedName name="E_KEYWORD_ISSR_208012915_COGS_SOYBEAN">#REF!</definedName>
    <definedName name="E_KEYWORD_ISSR_208012915_COGS_SUGAR">#REF!</definedName>
    <definedName name="E_KEYWORD_ISSR_208012915_COGS_TOBACCO">#REF!</definedName>
    <definedName name="E_KEYWORD_ISSR_208012915_COGS_WHEAT">#REF!</definedName>
    <definedName name="E_KEYWORD_ISSR_208012915_CONTRIB_MARGIN_RATIO">#REF!</definedName>
    <definedName name="E_KEYWORD_ISSR_208012915_COST_GD_SD">#REF!</definedName>
    <definedName name="E_KEYWORD_ISSR_208012915_CUR_ASS">#REF!</definedName>
    <definedName name="E_KEYWORD_ISSR_208012915_CURRENCY_ISO">#REF!</definedName>
    <definedName name="E_KEYWORD_ISSR_208012915_DEBTORS">#REF!</definedName>
    <definedName name="E_KEYWORD_ISSR_208012915_DEF_INC_TAX">#REF!</definedName>
    <definedName name="E_KEYWORD_ISSR_208012915_DEPR_AMORT">#REF!</definedName>
    <definedName name="E_KEYWORD_ISSR_208012915_DEPREC">#REF!</definedName>
    <definedName name="E_KEYWORD_ISSR_208012915_DIV_PAID">#REF!</definedName>
    <definedName name="E_KEYWORD_ISSR_208012915_DIVDS_ASSOC_JV">#REF!</definedName>
    <definedName name="E_KEYWORD_ISSR_208012915_DIVDS_PD_MINORITIES">#REF!</definedName>
    <definedName name="E_KEYWORD_ISSR_208012915_DIVEST">#REF!</definedName>
    <definedName name="E_KEYWORD_ISSR_208012915_EBIT">#REF!</definedName>
    <definedName name="E_KEYWORD_ISSR_208012915_EBITDA_CALC">#REF!</definedName>
    <definedName name="E_KEYWORD_ISSR_208012915_EEMEA_SALES_GROWTH">#REF!</definedName>
    <definedName name="E_KEYWORD_ISSR_208012915_EMPLOYEES">#REF!</definedName>
    <definedName name="E_KEYWORD_ISSR_208012915_EQ">#REF!</definedName>
    <definedName name="E_KEYWORD_ISSR_208012915_EUROPE_SALES_GROWTH">#REF!</definedName>
    <definedName name="E_KEYWORD_ISSR_208012915_EXP_ALUMINIUM">#REF!</definedName>
    <definedName name="E_KEYWORD_ISSR_208012915_EXP_BEEF">#REF!</definedName>
    <definedName name="E_KEYWORD_ISSR_208012915_EXP_CHICKEN">#REF!</definedName>
    <definedName name="E_KEYWORD_ISSR_208012915_EXP_COCOA">#REF!</definedName>
    <definedName name="E_KEYWORD_ISSR_208012915_EXP_COFFEE">#REF!</definedName>
    <definedName name="E_KEYWORD_ISSR_208012915_EXP_CORN">#REF!</definedName>
    <definedName name="E_KEYWORD_ISSR_208012915_EXP_DAIRY">#REF!</definedName>
    <definedName name="E_KEYWORD_ISSR_208012915_EXP_GLASS">#REF!</definedName>
    <definedName name="E_KEYWORD_ISSR_208012915_EXP_NUTS">#REF!</definedName>
    <definedName name="E_KEYWORD_ISSR_208012915_EXP_OIL_DERIV_NGLS_PLASTICS">#REF!</definedName>
    <definedName name="E_KEYWORD_ISSR_208012915_EXP_OIL_PETRO_FUEL">#REF!</definedName>
    <definedName name="E_KEYWORD_ISSR_208012915_EXP_OTH_COMMODITY">#REF!</definedName>
    <definedName name="E_KEYWORD_ISSR_208012915_EXP_OTH_COST">#REF!</definedName>
    <definedName name="E_KEYWORD_ISSR_208012915_EXP_OTH_EDIBLE_OIL">#REF!</definedName>
    <definedName name="E_KEYWORD_ISSR_208012915_EXP_PALM_OIL">#REF!</definedName>
    <definedName name="E_KEYWORD_ISSR_208012915_EXP_PAPER_PULP">#REF!</definedName>
    <definedName name="E_KEYWORD_ISSR_208012915_EXP_PORK">#REF!</definedName>
    <definedName name="E_KEYWORD_ISSR_208012915_EXP_SOYBEAN">#REF!</definedName>
    <definedName name="E_KEYWORD_ISSR_208012915_EXP_STEEL">#REF!</definedName>
    <definedName name="E_KEYWORD_ISSR_208012915_EXP_SUGAR">#REF!</definedName>
    <definedName name="E_KEYWORD_ISSR_208012915_EXP_TIN">#REF!</definedName>
    <definedName name="E_KEYWORD_ISSR_208012915_EXP_WATER">#REF!</definedName>
    <definedName name="E_KEYWORD_ISSR_208012915_EXP_WHEAT">#REF!</definedName>
    <definedName name="E_KEYWORD_ISSR_208012915_FIX_ASS_INV">#REF!</definedName>
    <definedName name="E_KEYWORD_ISSR_208012915_GCI_INFL">#REF!</definedName>
    <definedName name="E_KEYWORD_ISSR_208012915_GOODWILL_AMORT">#REF!</definedName>
    <definedName name="E_KEYWORD_ISSR_208012915_GR_FIX_ASS">#REF!</definedName>
    <definedName name="E_KEYWORD_ISSR_208012915_GR_INTANG">#REF!</definedName>
    <definedName name="E_KEYWORD_ISSR_208012915_INT_EXP_IND">#REF!</definedName>
    <definedName name="E_KEYWORD_ISSR_208012915_INT_INC_IND">#REF!</definedName>
    <definedName name="E_KEYWORD_ISSR_208012915_INV_SECUR">#REF!</definedName>
    <definedName name="E_KEYWORD_ISSR_208012915_Issuer_Name">#REF!</definedName>
    <definedName name="E_KEYWORD_ISSR_208012915_LATAM_SALES_GROWTH">#REF!</definedName>
    <definedName name="E_KEYWORD_ISSR_208012915_LEASE_DEEM_DEPR">#REF!</definedName>
    <definedName name="E_KEYWORD_ISSR_208012915_LEASE_DEEM_INT">#REF!</definedName>
    <definedName name="E_KEYWORD_ISSR_208012915_LEASE_PAY">#REF!</definedName>
    <definedName name="E_KEYWORD_ISSR_208012915_LT_DEBT">#REF!</definedName>
    <definedName name="E_KEYWORD_ISSR_208012915_MEDIA_ADVERTISING">#REF!</definedName>
    <definedName name="E_KEYWORD_ISSR_208012915_MINORITIES">#REF!</definedName>
    <definedName name="E_KEYWORD_ISSR_208012915_MV_ASSOCIATES">#REF!</definedName>
    <definedName name="E_KEYWORD_ISSR_208012915_NAMERICA_SALES_GROWTH">#REF!</definedName>
    <definedName name="E_KEYWORD_ISSR_208012915_NET_DEBT">#REF!</definedName>
    <definedName name="E_KEYWORD_ISSR_208012915_NET_DEBT_ADJ">#REF!</definedName>
    <definedName name="E_KEYWORD_ISSR_208012915_NET_FIX_ASS">#REF!</definedName>
    <definedName name="E_KEYWORD_ISSR_208012915_NET_INT_CH">#REF!</definedName>
    <definedName name="E_KEYWORD_ISSR_208012915_NET_INT_EXP">#REF!</definedName>
    <definedName name="E_KEYWORD_ISSR_208012915_NET_INTANG">#REF!</definedName>
    <definedName name="E_KEYWORD_ISSR_208012915_NONPPE_CAPEX">#REF!</definedName>
    <definedName name="E_KEYWORD_ISSR_208012915_OP_COST">#REF!</definedName>
    <definedName name="E_KEYWORD_ISSR_208012915_ORD_SH_FUND">#REF!</definedName>
    <definedName name="E_KEYWORD_ISSR_208012915_ORG_REV_GRTH">#REF!</definedName>
    <definedName name="E_KEYWORD_ISSR_208012915_OTH_COST_INC">#REF!</definedName>
    <definedName name="E_KEYWORD_ISSR_208012915_OTH_CUR_ASS">#REF!</definedName>
    <definedName name="E_KEYWORD_ISSR_208012915_OTH_CUR_LIABS">#REF!</definedName>
    <definedName name="E_KEYWORD_ISSR_208012915_OTH_DACF_ADJ">#REF!</definedName>
    <definedName name="E_KEYWORD_ISSR_208012915_OTH_FIN_CF">#REF!</definedName>
    <definedName name="E_KEYWORD_ISSR_208012915_OTH_GCI_ADJ">#REF!</definedName>
    <definedName name="E_KEYWORD_ISSR_208012915_OTH_INV_CF">#REF!</definedName>
    <definedName name="E_KEYWORD_ISSR_208012915_OTH_LT_ASS">#REF!</definedName>
    <definedName name="E_KEYWORD_ISSR_208012915_OTH_LT_CRED_GQ">#REF!</definedName>
    <definedName name="E_KEYWORD_ISSR_208012915_OTH_NONCASH_ADJ">#REF!</definedName>
    <definedName name="E_KEYWORD_ISSR_208012915_OTH_OP_CF">#REF!</definedName>
    <definedName name="E_KEYWORD_ISSR_208012915_OTH_OP_INC_EXP">#REF!</definedName>
    <definedName name="E_KEYWORD_ISSR_208012915_PERIOD_MILESTONE">#REF!</definedName>
    <definedName name="E_KEYWORD_ISSR_208012915_PERSONNEL">#REF!</definedName>
    <definedName name="E_KEYWORD_ISSR_208012915_PL_SALE_ASSETS">#REF!</definedName>
    <definedName name="E_KEYWORD_ISSR_208012915_PREF_SH">#REF!</definedName>
    <definedName name="E_KEYWORD_ISSR_208012915_PROFIT_ON_DISP">#REF!</definedName>
    <definedName name="E_KEYWORD_ISSR_208012915_PT_PROF">#REF!</definedName>
    <definedName name="E_KEYWORD_ISSR_208012915_RD_EXP">#REF!</definedName>
    <definedName name="E_KEYWORD_ISSR_208012915_SALES">#REF!</definedName>
    <definedName name="E_KEYWORD_ISSR_208012915_SALES_BEEF">#REF!</definedName>
    <definedName name="E_KEYWORD_ISSR_208012915_SALES_BRAZIL">#REF!</definedName>
    <definedName name="E_KEYWORD_ISSR_208012915_SALES_CEE">#REF!</definedName>
    <definedName name="E_KEYWORD_ISSR_208012915_SALES_CHICKEN">#REF!</definedName>
    <definedName name="E_KEYWORD_ISSR_208012915_SALES_CHINA">#REF!</definedName>
    <definedName name="E_KEYWORD_ISSR_208012915_SALES_COCOA">#REF!</definedName>
    <definedName name="E_KEYWORD_ISSR_208012915_SALES_COFFEE">#REF!</definedName>
    <definedName name="E_KEYWORD_ISSR_208012915_SALES_CONS">#REF!</definedName>
    <definedName name="E_KEYWORD_ISSR_208012915_SALES_CORN">#REF!</definedName>
    <definedName name="E_KEYWORD_ISSR_208012915_SALES_DAIRY">#REF!</definedName>
    <definedName name="E_KEYWORD_ISSR_208012915_SALES_EU_EX_UK">#REF!</definedName>
    <definedName name="E_KEYWORD_ISSR_208012915_SALES_FINAN">#REF!</definedName>
    <definedName name="E_KEYWORD_ISSR_208012915_SALES_FX_BRL">#REF!</definedName>
    <definedName name="E_KEYWORD_ISSR_208012915_SALES_FX_CNY">#REF!</definedName>
    <definedName name="E_KEYWORD_ISSR_208012915_SALES_FX_EUR">#REF!</definedName>
    <definedName name="E_KEYWORD_ISSR_208012915_SALES_FX_GPB">#REF!</definedName>
    <definedName name="E_KEYWORD_ISSR_208012915_SALES_FX_INR">#REF!</definedName>
    <definedName name="E_KEYWORD_ISSR_208012915_SALES_FX_KRW">#REF!</definedName>
    <definedName name="E_KEYWORD_ISSR_208012915_SALES_FX_OTH">#REF!</definedName>
    <definedName name="E_KEYWORD_ISSR_208012915_SALES_FX_RUB">#REF!</definedName>
    <definedName name="E_KEYWORD_ISSR_208012915_SALES_FX_TWD">#REF!</definedName>
    <definedName name="E_KEYWORD_ISSR_208012915_SALES_FX_USD">#REF!</definedName>
    <definedName name="E_KEYWORD_ISSR_208012915_SALES_FX_YEN">#REF!</definedName>
    <definedName name="E_KEYWORD_ISSR_208012915_SALES_GOV">#REF!</definedName>
    <definedName name="E_KEYWORD_ISSR_208012915_SALES_IND">#REF!</definedName>
    <definedName name="E_KEYWORD_ISSR_208012915_SALES_INDIA">#REF!</definedName>
    <definedName name="E_KEYWORD_ISSR_208012915_SALES_JAPAN">#REF!</definedName>
    <definedName name="E_KEYWORD_ISSR_208012915_SALES_ME">#REF!</definedName>
    <definedName name="E_KEYWORD_ISSR_208012915_SALES_NUTS">#REF!</definedName>
    <definedName name="E_KEYWORD_ISSR_208012915_SALES_OTH_AEJ">#REF!</definedName>
    <definedName name="E_KEYWORD_ISSR_208012915_SALES_OTH_AM">#REF!</definedName>
    <definedName name="E_KEYWORD_ISSR_208012915_SALES_OTH_COMMODITY">#REF!</definedName>
    <definedName name="E_KEYWORD_ISSR_208012915_SALES_OTH_EMEA">#REF!</definedName>
    <definedName name="E_KEYWORD_ISSR_208012915_SALES_OTH_SALES_SOURCES">#REF!</definedName>
    <definedName name="E_KEYWORD_ISSR_208012915_SALES_OTHER">#REF!</definedName>
    <definedName name="E_KEYWORD_ISSR_208012915_SALES_PORK">#REF!</definedName>
    <definedName name="E_KEYWORD_ISSR_208012915_SALES_RUSSIA">#REF!</definedName>
    <definedName name="E_KEYWORD_ISSR_208012915_SALES_SK">#REF!</definedName>
    <definedName name="E_KEYWORD_ISSR_208012915_SALES_SOYBEAN">#REF!</definedName>
    <definedName name="E_KEYWORD_ISSR_208012915_SALES_SUGAR">#REF!</definedName>
    <definedName name="E_KEYWORD_ISSR_208012915_SALES_TAIWAN">#REF!</definedName>
    <definedName name="E_KEYWORD_ISSR_208012915_SALES_TOT_AFRICA">#REF!</definedName>
    <definedName name="E_KEYWORD_ISSR_208012915_SALES_TOT_AM">#REF!</definedName>
    <definedName name="E_KEYWORD_ISSR_208012915_SALES_TOT_ASIA">#REF!</definedName>
    <definedName name="E_KEYWORD_ISSR_208012915_SALES_TOT_EMEA">#REF!</definedName>
    <definedName name="E_KEYWORD_ISSR_208012915_SALES_UK">#REF!</definedName>
    <definedName name="E_KEYWORD_ISSR_208012915_SALES_US">#REF!</definedName>
    <definedName name="E_KEYWORD_ISSR_208012915_SALES_WATER">#REF!</definedName>
    <definedName name="E_KEYWORD_ISSR_208012915_SALES_WHEAT">#REF!</definedName>
    <definedName name="E_KEYWORD_ISSR_208012915_SEL_GL_AD">#REF!</definedName>
    <definedName name="E_KEYWORD_ISSR_208012915_SH_REPUR">#REF!</definedName>
    <definedName name="E_KEYWORD_ISSR_208012915_SHORT_T_DEBT">#REF!</definedName>
    <definedName name="E_KEYWORD_ISSR_208012915_SHORT_TERM_LIABS">#REF!</definedName>
    <definedName name="E_KEYWORD_ISSR_208012915_STOCKS">#REF!</definedName>
    <definedName name="E_KEYWORD_ISSR_208012915_TOT_ASSET">#REF!</definedName>
    <definedName name="E_KEYWORD_ISSR_208012915_TOT_CF">#REF!</definedName>
    <definedName name="E_KEYWORD_ISSR_208012915_TOT_LIAB">#REF!</definedName>
    <definedName name="E_KEYWORD_ISSR_208012915_TOT_LIAB_EQ">#REF!</definedName>
    <definedName name="E_KEYWORD_ISSR_208012915_TOT_LT_LIAB">#REF!</definedName>
    <definedName name="E_KEYWORD_ISSR_208012915_TOT_OPS_EXP">#REF!</definedName>
    <definedName name="E_KEYWORD_ISSR_208012915_TOT_OPS_EXP_DDA">#REF!</definedName>
    <definedName name="E_KEYWORD_ISSR_208012915_UNF_PENS">#REF!</definedName>
    <definedName name="E_KEYWORD_ISSR_208012915_UNF_PENS_LIAB_OTH">#REF!</definedName>
    <definedName name="E_KEYWORD_ISSR_208012915_UNF_PENS_OFF">#REF!</definedName>
    <definedName name="E_KEYWORD_ISSR_208012915_WORK_CAP">#REF!</definedName>
    <definedName name="E_LIVEDATA_EQTY_200008062" localSheetId="1">#REF!</definedName>
    <definedName name="E_LIVEDATA_EQTY_200008062">#REF!</definedName>
    <definedName name="E_LIVEDATA_EQTY_200012577" localSheetId="1">#REF!</definedName>
    <definedName name="E_LIVEDATA_EQTY_200012577">#REF!</definedName>
    <definedName name="E_LIVEDATA_EQTY_200015373" localSheetId="1">#REF!</definedName>
    <definedName name="E_LIVEDATA_EQTY_200015373">#REF!</definedName>
    <definedName name="E_LIVEDATA_EQTY_200015981">#REF!</definedName>
    <definedName name="E_LIVEDATA_ISSR_208006264" localSheetId="1">#REF!</definedName>
    <definedName name="E_LIVEDATA_ISSR_208006264">#REF!</definedName>
    <definedName name="E_LIVEDATA_ISSR_208009569" localSheetId="1">#REF!</definedName>
    <definedName name="E_LIVEDATA_ISSR_208009569">#REF!</definedName>
    <definedName name="E_LIVEDATA_ISSR_208012915" localSheetId="1">#REF!</definedName>
    <definedName name="E_LIVEDATA_ISSR_208012915">#REF!</definedName>
    <definedName name="E_PERIOD_1994" localSheetId="1">#REF!</definedName>
    <definedName name="E_PERIOD_1994">#REF!</definedName>
    <definedName name="E_PERIOD_1995" localSheetId="1">#REF!</definedName>
    <definedName name="E_PERIOD_1995">#REF!</definedName>
    <definedName name="E_PERIOD_1996" localSheetId="1">#REF!</definedName>
    <definedName name="E_PERIOD_1996">#REF!</definedName>
    <definedName name="E_PERIOD_1997">#REF!</definedName>
    <definedName name="E_PERIOD_1998">#REF!</definedName>
    <definedName name="E_PERIOD_1999" localSheetId="9">#REF!</definedName>
    <definedName name="E_PERIOD_1999" localSheetId="1">#REF!</definedName>
    <definedName name="E_PERIOD_1999">#REF!</definedName>
    <definedName name="E_PERIOD_2000" localSheetId="9">#REF!</definedName>
    <definedName name="E_PERIOD_2000" localSheetId="1">#REF!</definedName>
    <definedName name="E_PERIOD_2000">#REF!</definedName>
    <definedName name="E_PERIOD_2001" localSheetId="9">#REF!</definedName>
    <definedName name="E_PERIOD_2001" localSheetId="1">#REF!</definedName>
    <definedName name="E_PERIOD_2001">#REF!</definedName>
    <definedName name="E_PERIOD_2002" localSheetId="9">#REF!</definedName>
    <definedName name="E_PERIOD_2002" localSheetId="1">#REF!</definedName>
    <definedName name="E_PERIOD_2002">#REF!</definedName>
    <definedName name="E_PERIOD_2003" localSheetId="9">#REF!</definedName>
    <definedName name="E_PERIOD_2003" localSheetId="1">#REF!</definedName>
    <definedName name="E_PERIOD_2003">#REF!</definedName>
    <definedName name="E_PERIOD_2004" localSheetId="9">#REF!</definedName>
    <definedName name="E_PERIOD_2004" localSheetId="1">#REF!</definedName>
    <definedName name="E_PERIOD_2004">#REF!</definedName>
    <definedName name="E_PERIOD_2005" localSheetId="9">#REF!</definedName>
    <definedName name="E_PERIOD_2005" localSheetId="1">#REF!</definedName>
    <definedName name="E_PERIOD_2005">#REF!</definedName>
    <definedName name="E_PERIOD_2006" localSheetId="9">#REF!</definedName>
    <definedName name="E_PERIOD_2006" localSheetId="1">#REF!</definedName>
    <definedName name="E_PERIOD_2006">#REF!</definedName>
    <definedName name="E_PERIOD_2007" localSheetId="9">#REF!</definedName>
    <definedName name="E_PERIOD_2007" localSheetId="1">#REF!</definedName>
    <definedName name="E_PERIOD_2007">#REF!</definedName>
    <definedName name="E_PERIOD_2008" localSheetId="9">#REF!</definedName>
    <definedName name="E_PERIOD_2008" localSheetId="1">#REF!</definedName>
    <definedName name="E_PERIOD_2008">#REF!</definedName>
    <definedName name="E_PERIOD_2009" localSheetId="9">#REF!</definedName>
    <definedName name="E_PERIOD_2009" localSheetId="1">#REF!</definedName>
    <definedName name="E_PERIOD_2009_Q1" localSheetId="1">#REF!</definedName>
    <definedName name="E_PERIOD_2009_Q1">#REF!</definedName>
    <definedName name="E_PERIOD_2009_Q2" localSheetId="1">#REF!</definedName>
    <definedName name="E_PERIOD_2009_Q2">#REF!</definedName>
    <definedName name="E_PERIOD_2009_Q3" localSheetId="1">#REF!</definedName>
    <definedName name="E_PERIOD_2009_Q3">#REF!</definedName>
    <definedName name="E_PERIOD_2009_Q4" localSheetId="1">#REF!</definedName>
    <definedName name="E_PERIOD_2009_Q4">#REF!</definedName>
    <definedName name="E_PERIOD_2010" localSheetId="9">#REF!</definedName>
    <definedName name="E_PERIOD_2010" localSheetId="1">#REF!</definedName>
    <definedName name="E_PERIOD_2010_H1" localSheetId="1">#REF!</definedName>
    <definedName name="E_PERIOD_2010_H1">#REF!</definedName>
    <definedName name="E_PERIOD_2010_H2" localSheetId="1">#REF!</definedName>
    <definedName name="E_PERIOD_2010_H2">#REF!</definedName>
    <definedName name="E_PERIOD_2010_Q1" localSheetId="1">#REF!</definedName>
    <definedName name="E_PERIOD_2010_Q1">#REF!</definedName>
    <definedName name="E_PERIOD_2010_Q2" localSheetId="1">#REF!</definedName>
    <definedName name="E_PERIOD_2010_Q2">#REF!</definedName>
    <definedName name="E_PERIOD_2010_Q3" localSheetId="1">#REF!</definedName>
    <definedName name="E_PERIOD_2010_Q3">#REF!</definedName>
    <definedName name="E_PERIOD_2010_Q4" localSheetId="1">#REF!</definedName>
    <definedName name="E_PERIOD_2010_Q4">#REF!</definedName>
    <definedName name="E_PERIOD_2011" localSheetId="9">#REF!</definedName>
    <definedName name="E_PERIOD_2011" localSheetId="1">#REF!</definedName>
    <definedName name="E_PERIOD_2011_H1" localSheetId="1">#REF!</definedName>
    <definedName name="E_PERIOD_2011_H1">#REF!</definedName>
    <definedName name="E_PERIOD_2011_H2" localSheetId="1">#REF!</definedName>
    <definedName name="E_PERIOD_2011_H2">#REF!</definedName>
    <definedName name="E_PERIOD_2011_Q1" localSheetId="1">#REF!</definedName>
    <definedName name="E_PERIOD_2011_Q1">#REF!</definedName>
    <definedName name="E_PERIOD_2011_Q2" localSheetId="1">#REF!</definedName>
    <definedName name="E_PERIOD_2011_Q2">#REF!</definedName>
    <definedName name="E_PERIOD_2011_Q3" localSheetId="1">#REF!</definedName>
    <definedName name="E_PERIOD_2011_Q3">#REF!</definedName>
    <definedName name="E_PERIOD_2011_Q4" localSheetId="1">#REF!</definedName>
    <definedName name="E_PERIOD_2011_Q4">#REF!</definedName>
    <definedName name="E_PERIOD_2012" localSheetId="1">#REF!</definedName>
    <definedName name="E_PERIOD_2012_H1" localSheetId="1">#REF!</definedName>
    <definedName name="E_PERIOD_2012_H1">#REF!</definedName>
    <definedName name="E_PERIOD_2012_H2" localSheetId="1">#REF!</definedName>
    <definedName name="E_PERIOD_2012_H2">#REF!</definedName>
    <definedName name="E_PERIOD_2012_Q1" localSheetId="1">#REF!</definedName>
    <definedName name="E_PERIOD_2012_Q1">#REF!</definedName>
    <definedName name="E_PERIOD_2012_Q2" localSheetId="1">#REF!</definedName>
    <definedName name="E_PERIOD_2012_Q2">#REF!</definedName>
    <definedName name="E_PERIOD_2012_Q3" localSheetId="1">#REF!</definedName>
    <definedName name="E_PERIOD_2012_Q3">#REF!</definedName>
    <definedName name="E_PERIOD_2012_Q4" localSheetId="1">#REF!</definedName>
    <definedName name="E_PERIOD_2012_Q4">#REF!</definedName>
    <definedName name="E_PERIOD_2013" localSheetId="1">#REF!</definedName>
    <definedName name="E_PERIOD_2013_Q1" localSheetId="1">#REF!</definedName>
    <definedName name="E_PERIOD_2013_Q1">#REF!</definedName>
    <definedName name="E_PERIOD_2013_Q2" localSheetId="1">#REF!</definedName>
    <definedName name="E_PERIOD_2013_Q2">#REF!</definedName>
    <definedName name="E_PERIOD_2013_Q3" localSheetId="1">#REF!</definedName>
    <definedName name="E_PERIOD_2013_Q3">#REF!</definedName>
    <definedName name="E_PERIOD_2013_Q4" localSheetId="1">#REF!</definedName>
    <definedName name="E_PERIOD_2013_Q4">#REF!</definedName>
    <definedName name="E_PERIOD_2014" localSheetId="1">#REF!</definedName>
    <definedName name="E_PERIOD_2015" localSheetId="1">#REF!</definedName>
    <definedName name="E_SECTION_EQTY_200008062_1314" localSheetId="1">#REF!</definedName>
    <definedName name="E_SECTION_EQTY_200008062_1314">#REF!</definedName>
    <definedName name="E_SECTION_EQTY_200008062_131E" localSheetId="1">#REF!</definedName>
    <definedName name="E_SECTION_EQTY_200008062_131E">#REF!</definedName>
    <definedName name="E_SECTION_EQTY_200008062_131O" localSheetId="1">#REF!</definedName>
    <definedName name="E_SECTION_EQTY_200008062_131O">#REF!</definedName>
    <definedName name="E_SECTION_EQTY_200008062_13A">#REF!</definedName>
    <definedName name="E_SECTION_EQTY_200008062_13K">#REF!</definedName>
    <definedName name="E_SECTION_EQTY_200008062_13U">#REF!</definedName>
    <definedName name="E_SECTION_EQTY_200008062_13V">#REF!</definedName>
    <definedName name="E_SECTION_EQTY_200008062_Reference_Data">#REF!</definedName>
    <definedName name="E_SECTION_EQTY_200012577_1314">#REF!</definedName>
    <definedName name="E_SECTION_EQTY_200012577_131E">#REF!</definedName>
    <definedName name="E_SECTION_EQTY_200012577_131O">#REF!</definedName>
    <definedName name="E_SECTION_EQTY_200012577_13A">#REF!</definedName>
    <definedName name="E_SECTION_EQTY_200012577_13K">#REF!</definedName>
    <definedName name="E_SECTION_EQTY_200012577_13U">#REF!</definedName>
    <definedName name="E_SECTION_EQTY_200012577_13V">#REF!</definedName>
    <definedName name="E_SECTION_EQTY_200012577_Reference_Data">#REF!</definedName>
    <definedName name="E_SECTION_EQTY_200015373_1314">#REF!</definedName>
    <definedName name="E_SECTION_EQTY_200015373_131E">#REF!</definedName>
    <definedName name="E_SECTION_EQTY_200015373_131O">#REF!</definedName>
    <definedName name="E_SECTION_EQTY_200015373_13A">#REF!</definedName>
    <definedName name="E_SECTION_EQTY_200015373_13K">#REF!</definedName>
    <definedName name="E_SECTION_EQTY_200015373_13U">#REF!</definedName>
    <definedName name="E_SECTION_EQTY_200015373_13V">#REF!</definedName>
    <definedName name="E_SECTION_EQTY_200015373_Reference_Data">#REF!</definedName>
    <definedName name="E_SECTION_EQTY_200015981_1314">#REF!</definedName>
    <definedName name="E_SECTION_EQTY_200015981_131E">#REF!</definedName>
    <definedName name="E_SECTION_EQTY_200015981_131O">#REF!</definedName>
    <definedName name="E_SECTION_EQTY_200015981_13A">#REF!</definedName>
    <definedName name="E_SECTION_EQTY_200015981_13K">#REF!</definedName>
    <definedName name="E_SECTION_EQTY_200015981_13U">#REF!</definedName>
    <definedName name="E_SECTION_EQTY_200015981_13V">#REF!</definedName>
    <definedName name="E_SECTION_EQTY_200015981_Reference_Data">#REF!</definedName>
    <definedName name="E_SECTION_ISSR_208006264_1314" localSheetId="1">#REF!</definedName>
    <definedName name="E_SECTION_ISSR_208006264_1314">#REF!</definedName>
    <definedName name="E_SECTION_ISSR_208006264_13168" localSheetId="1">#REF!</definedName>
    <definedName name="E_SECTION_ISSR_208006264_13168">#REF!</definedName>
    <definedName name="E_SECTION_ISSR_208006264_1316S" localSheetId="1">#REF!</definedName>
    <definedName name="E_SECTION_ISSR_208006264_1316S">#REF!</definedName>
    <definedName name="E_SECTION_ISSR_208006264_1316T">#REF!</definedName>
    <definedName name="E_SECTION_ISSR_208006264_1316U">#REF!</definedName>
    <definedName name="E_SECTION_ISSR_208006264_13171">#REF!</definedName>
    <definedName name="E_SECTION_ISSR_208006264_13172">#REF!</definedName>
    <definedName name="E_SECTION_ISSR_208006264_1319">#REF!</definedName>
    <definedName name="E_SECTION_ISSR_208006264_131E">#REF!</definedName>
    <definedName name="E_SECTION_ISSR_208006264_131J">#REF!</definedName>
    <definedName name="E_SECTION_ISSR_208006264_131O">#REF!</definedName>
    <definedName name="E_SECTION_ISSR_208006264_13U">#REF!</definedName>
    <definedName name="E_SECTION_ISSR_208006264_13V">#REF!</definedName>
    <definedName name="E_SECTION_ISSR_208006264_Reference_Data">#REF!</definedName>
    <definedName name="E_SECTION_ISSR_208009569_1314">#REF!</definedName>
    <definedName name="E_SECTION_ISSR_208009569_13168">#REF!</definedName>
    <definedName name="E_SECTION_ISSR_208009569_1316U">#REF!</definedName>
    <definedName name="E_SECTION_ISSR_208009569_1319">#REF!</definedName>
    <definedName name="E_SECTION_ISSR_208009569_131E">#REF!</definedName>
    <definedName name="E_SECTION_ISSR_208009569_131J">#REF!</definedName>
    <definedName name="E_SECTION_ISSR_208009569_131O">#REF!</definedName>
    <definedName name="E_SECTION_ISSR_208009569_13U">#REF!</definedName>
    <definedName name="E_SECTION_ISSR_208009569_13V">#REF!</definedName>
    <definedName name="E_SECTION_ISSR_208009569_Reference_Data">#REF!</definedName>
    <definedName name="E_SECTION_ISSR_208012915_1314">#REF!</definedName>
    <definedName name="E_SECTION_ISSR_208012915_13168">#REF!</definedName>
    <definedName name="E_SECTION_ISSR_208012915_1316S">#REF!</definedName>
    <definedName name="E_SECTION_ISSR_208012915_1316T">#REF!</definedName>
    <definedName name="E_SECTION_ISSR_208012915_1316U">#REF!</definedName>
    <definedName name="E_SECTION_ISSR_208012915_13171">#REF!</definedName>
    <definedName name="E_SECTION_ISSR_208012915_13172">#REF!</definedName>
    <definedName name="E_SECTION_ISSR_208012915_1319">#REF!</definedName>
    <definedName name="E_SECTION_ISSR_208012915_131E">#REF!</definedName>
    <definedName name="E_SECTION_ISSR_208012915_131J">#REF!</definedName>
    <definedName name="E_SECTION_ISSR_208012915_131O">#REF!</definedName>
    <definedName name="E_SECTION_ISSR_208012915_13U">#REF!</definedName>
    <definedName name="E_SECTION_ISSR_208012915_13V">#REF!</definedName>
    <definedName name="E_SECTION_ISSR_208012915_Reference_Data">#REF!</definedName>
    <definedName name="E_TEMPLATEHASH" localSheetId="1">#REF!</definedName>
    <definedName name="EA">#REF!</definedName>
    <definedName name="eaa" localSheetId="1">#REF!</definedName>
    <definedName name="eaa">#REF!</definedName>
    <definedName name="EanP1" localSheetId="1">#REF!</definedName>
    <definedName name="EanP1">#REF!</definedName>
    <definedName name="eap" localSheetId="1">#REF!</definedName>
    <definedName name="eap">#REF!</definedName>
    <definedName name="earn_summary">#REF!</definedName>
    <definedName name="earn1">#REF!</definedName>
    <definedName name="earn2">#REF!</definedName>
    <definedName name="Earning">#REF!</definedName>
    <definedName name="Earnings_Table">#REF!</definedName>
    <definedName name="earnmodel" localSheetId="9">#REF!</definedName>
    <definedName name="EARNMODEL">#REF!</definedName>
    <definedName name="EarnP2">#REF!</definedName>
    <definedName name="EarnPoject1b">#REF!</definedName>
    <definedName name="earnproj">#REF!</definedName>
    <definedName name="EarnProj1">#REF!</definedName>
    <definedName name="Earnproj1a">#REF!</definedName>
    <definedName name="Earnproj1b">#REF!</definedName>
    <definedName name="EARNSUMM">#REF!</definedName>
    <definedName name="eat">#REF!</definedName>
    <definedName name="EB">#REF!</definedName>
    <definedName name="EB_BS_AccountPayable">#REF!</definedName>
    <definedName name="EB_BS_AccountReceivable">#REF!</definedName>
    <definedName name="EB_BS_BondPayable">#REF!</definedName>
    <definedName name="EB_BS_Cash">#REF!</definedName>
    <definedName name="EB_BS_ConstructionInProcess">#REF!</definedName>
    <definedName name="EB_BS_CurrentAssets">#REF!</definedName>
    <definedName name="EB_BS_CurrentLiabilities">#REF!</definedName>
    <definedName name="EB_BS_Date">#REF!</definedName>
    <definedName name="EB_BS_Depreciation">#REF!</definedName>
    <definedName name="EB_BS_END">#REF!</definedName>
    <definedName name="EB_BS_Equity">#REF!</definedName>
    <definedName name="EB_BS_ExcessCash">#REF!</definedName>
    <definedName name="EB_BS_FixedAssets">#REF!</definedName>
    <definedName name="EB_BS_FixedAssetsNetValue">#REF!</definedName>
    <definedName name="EB_BS_FixedAssetsOriginalValue">#REF!</definedName>
    <definedName name="EB_BS_ImpairmentOfFixedAsstes">#REF!</definedName>
    <definedName name="EB_BS_Inventories">#REF!</definedName>
    <definedName name="EB_BS_LongTermDebts">#REF!</definedName>
    <definedName name="EB_BS_LongTermLiabilities">#REF!</definedName>
    <definedName name="EB_BS_Margin">#REF!</definedName>
    <definedName name="EB_BS_MinorityInterests">#REF!</definedName>
    <definedName name="EB_BS_NetFixedAssets">#REF!</definedName>
    <definedName name="EB_BS_NotesPayable">#REF!</definedName>
    <definedName name="EB_BS_NotesReceivable">#REF!</definedName>
    <definedName name="EB_BS_OperatingCash">#REF!</definedName>
    <definedName name="EB_BS_OtherAssets">#REF!</definedName>
    <definedName name="EB_BS_OtherCurrentAsstes">#REF!</definedName>
    <definedName name="EB_BS_OtherCurrentDebts">#REF!</definedName>
    <definedName name="EB_BS_OtherFixedAsstes">#REF!</definedName>
    <definedName name="EB_BS_OtherLiabilities">#REF!</definedName>
    <definedName name="EB_BS_OtherLongTermDebts">#REF!</definedName>
    <definedName name="EB_BS_RetainedEarning">#REF!</definedName>
    <definedName name="EB_BS_ShareCapital">#REF!</definedName>
    <definedName name="EB_BS_ShortTermDebts">#REF!</definedName>
    <definedName name="EB_BS_ShortTermInvestment">#REF!</definedName>
    <definedName name="EB_BS_START">#REF!</definedName>
    <definedName name="EB_BS_THISYEAR">#REF!</definedName>
    <definedName name="EB_BS_THISYEAR_A1">#REF!</definedName>
    <definedName name="EB_BS_THISYEAR_A2">#REF!</definedName>
    <definedName name="EB_BS_THISYEAR_A3">#REF!</definedName>
    <definedName name="EB_BS_THISYEAR_F1">#REF!</definedName>
    <definedName name="EB_BS_THISYEAR_F2">#REF!</definedName>
    <definedName name="EB_BS_THISYEAR_F3">#REF!</definedName>
    <definedName name="EB_BS_THISYEAR_F4">#REF!</definedName>
    <definedName name="EB_BS_TotalAssets">#REF!</definedName>
    <definedName name="EB_BS_TotalLiabilities">#REF!</definedName>
    <definedName name="EB_BS_TotalLiabilitiesAndEquity">#REF!</definedName>
    <definedName name="EB_BSR_AccountPayableOnRevenue">#REF!</definedName>
    <definedName name="EB_BSR_AccountReceivableOnRevenue">#REF!</definedName>
    <definedName name="EB_BSR_Depreciation">#REF!</definedName>
    <definedName name="EB_BSR_DepreciationRate">#REF!</definedName>
    <definedName name="EB_BSR_FixedAssetsOriginalValueOnRevenue">#REF!</definedName>
    <definedName name="EB_BSR_InventoryOnRevenue">#REF!</definedName>
    <definedName name="EB_BSR_NetFixedAssetsOnRevenue">#REF!</definedName>
    <definedName name="EB_BSR_NotesReceivableOnRevenue">#REF!</definedName>
    <definedName name="EB_BSR_OperatingCashOnRevenue">#REF!</definedName>
    <definedName name="EB_BSR_OtherAssetsOnRevenue">#REF!</definedName>
    <definedName name="EB_BSR_OtherCurrentAssetsOnRevenue">#REF!</definedName>
    <definedName name="EB_BSR_OtherCurrentLiabilitiesOnRevenue">#REF!</definedName>
    <definedName name="EB_BSR_OtherLiabilitiesOnRevenue">#REF!</definedName>
    <definedName name="EB_BSR_ShortTermDebtsOnRevenue">#REF!</definedName>
    <definedName name="EB_CF_CAPEX">#REF!</definedName>
    <definedName name="EB_CF_CFF">#REF!</definedName>
    <definedName name="EB_CF_CFI">#REF!</definedName>
    <definedName name="EB_CF_CFO">#REF!</definedName>
    <definedName name="EB_CF_Date">#REF!</definedName>
    <definedName name="EB_CF_Depreciation">#REF!</definedName>
    <definedName name="EB_CF_Divident">#REF!</definedName>
    <definedName name="EB_CF_EBIT">#REF!</definedName>
    <definedName name="EB_CF_FinancialExpensesAfterTax">#REF!</definedName>
    <definedName name="EB_CF_IncreasingInEquity">#REF!</definedName>
    <definedName name="EB_CF_IncreasingInExcessSecurities">#REF!</definedName>
    <definedName name="EB_CF_IncreasingInOtherAssetsMinusOtherLiabilities">#REF!</definedName>
    <definedName name="EB_CF_IncreasingInWorkingCapital">#REF!</definedName>
    <definedName name="EB_CF_LoanAndBondPayable">#REF!</definedName>
    <definedName name="EB_CF_MinorityIncome">#REF!</definedName>
    <definedName name="EB_CF_MinorityInterests">#REF!</definedName>
    <definedName name="EB_CF_NonOperatingCashFlow">#REF!</definedName>
    <definedName name="EB_CF_NOPLAT">#REF!</definedName>
    <definedName name="EB_CF_OPFCF">#REF!</definedName>
    <definedName name="EB_CF_TaxOnEBIT">#REF!</definedName>
    <definedName name="EB_CF_THISYEAR">#REF!</definedName>
    <definedName name="EB_CF_THISYEAR_A1">#REF!</definedName>
    <definedName name="EB_CF_THISYEAR_A2">#REF!</definedName>
    <definedName name="EB_CF_THISYEAR_F1">#REF!</definedName>
    <definedName name="EB_CF_THISYEAR_F2">#REF!</definedName>
    <definedName name="EB_CF_THISYEAR_F3">#REF!</definedName>
    <definedName name="EB_CF_THISYEAR_F4">#REF!</definedName>
    <definedName name="EB_Cover_Author">#REF!</definedName>
    <definedName name="EB_Cover_Date">#REF!</definedName>
    <definedName name="EB_Cover_Phone">#REF!</definedName>
    <definedName name="EB_Cover_Title">#REF!</definedName>
    <definedName name="EB_CurrentPrice">#REF!</definedName>
    <definedName name="EB_CurrentReportID">#REF!</definedName>
    <definedName name="EB_CurrentReportYear">#REF!</definedName>
    <definedName name="EB_CurrentYear">#REF!</definedName>
    <definedName name="EB_EP_EVA">#REF!</definedName>
    <definedName name="EB_EquityPricePerShare">#REF!</definedName>
    <definedName name="EB_ExplicitForecastValue">#REF!</definedName>
    <definedName name="EB_FCF_EVA">#REF!</definedName>
    <definedName name="EB_FR_AccountPayableTurnOver">#REF!</definedName>
    <definedName name="EB_FR_AccountReceivableTurnOver">#REF!</definedName>
    <definedName name="EB_FR_ActiveMoneyTurnOver">#REF!</definedName>
    <definedName name="EB_FR_ActualTaxRate">#REF!</definedName>
    <definedName name="EB_FR_AdnimistrativeExpensesOnRevenue">#REF!</definedName>
    <definedName name="EB_FR_CAPEXOnDepreciation">#REF!</definedName>
    <definedName name="EB_FR_CAPEXOnFixedAssets">#REF!</definedName>
    <definedName name="EB_FR_CostOfEquity">#REF!</definedName>
    <definedName name="EB_FR_CostOnRevenue">#REF!</definedName>
    <definedName name="EB_FR_CurrentAssetsTurnOver">#REF!</definedName>
    <definedName name="EB_FR_CurrentRatio">#REF!</definedName>
    <definedName name="EB_FR_DebtOnAssets">#REF!</definedName>
    <definedName name="EB_FR_DebtOnEquity">#REF!</definedName>
    <definedName name="EB_FR_EBITDAGrowth">#REF!</definedName>
    <definedName name="EB_FR_EBITDAOnRevenue">#REF!</definedName>
    <definedName name="EB_FR_EBITGrowth">#REF!</definedName>
    <definedName name="EB_FR_EBITOnRevenue">#REF!</definedName>
    <definedName name="EB_FR_ExtraordinaryItemsOnIncome">#REF!</definedName>
    <definedName name="EB_FR_FixedAssetsTurnOver">#REF!</definedName>
    <definedName name="EB_FR_GrossRatio">#REF!</definedName>
    <definedName name="EB_FR_ICGrowth">#REF!</definedName>
    <definedName name="EB_FR_ICTurnOverTimes">#REF!</definedName>
    <definedName name="EB_FR_ImpliedGrowthRate">#REF!</definedName>
    <definedName name="EB_FR_InventoryTurnOver">#REF!</definedName>
    <definedName name="EB_FR_InvestmentIncomeOnIncome">#REF!</definedName>
    <definedName name="EB_FR_NetDebtOnEquity">#REF!</definedName>
    <definedName name="EB_FR_NetIncomeGrowth">#REF!</definedName>
    <definedName name="EB_FR_NetIncomeOnRevenue">#REF!</definedName>
    <definedName name="EB_FR_NetLiabilities">#REF!</definedName>
    <definedName name="EB_FR_NOPLATGrowth">#REF!</definedName>
    <definedName name="EB_FR_NOPLATOnRevenue">#REF!</definedName>
    <definedName name="EB_FR_OperatingExpensesOnRevenue">#REF!</definedName>
    <definedName name="EB_FR_OperatingIncomeGrowth">#REF!</definedName>
    <definedName name="EB_FR_OperatingTaxOnRevenue">#REF!</definedName>
    <definedName name="EB_FR_OtherAssetsNetValueTurnOver">#REF!</definedName>
    <definedName name="EB_FR_OtherAssetsTurnOver">#REF!</definedName>
    <definedName name="EB_FR_PayOutRatio">#REF!</definedName>
    <definedName name="EB_FR_QuickRatio">#REF!</definedName>
    <definedName name="EB_FR_RetainedRatio">#REF!</definedName>
    <definedName name="EB_FR_RevenueGrowth">#REF!</definedName>
    <definedName name="EB_FR_ROA">#REF!</definedName>
    <definedName name="EB_FR_ROE">#REF!</definedName>
    <definedName name="EB_FR_ROEMinusCostOfEquity">#REF!</definedName>
    <definedName name="EB_FR_ROEOnCostOfEquity">#REF!</definedName>
    <definedName name="EB_FR_ROIC">#REF!</definedName>
    <definedName name="EB_FR_ROICBeforTax">#REF!</definedName>
    <definedName name="EB_FR_THISYEAR">#REF!</definedName>
    <definedName name="EB_FR_THISYEAR_A1">#REF!</definedName>
    <definedName name="EB_FR_THISYEAR_A2">#REF!</definedName>
    <definedName name="EB_FR_THISYEAR_A3">#REF!</definedName>
    <definedName name="EB_FR_THISYEAR_F1">#REF!</definedName>
    <definedName name="EB_FR_THISYEAR_F2">#REF!</definedName>
    <definedName name="EB_FR_THISYEAR_F3">#REF!</definedName>
    <definedName name="EB_FR_THISYEAR_F4">#REF!</definedName>
    <definedName name="EB_FR_TotalAssetsTurnOver">#REF!</definedName>
    <definedName name="EB_FR_TotalAssetsTurnOverTimes">#REF!</definedName>
    <definedName name="EB_GrowthRate">#REF!</definedName>
    <definedName name="EB_IS_AdministrativeExpenses">#REF!</definedName>
    <definedName name="EB_IS_CostOfSales">#REF!</definedName>
    <definedName name="EB_IS_Date">#REF!</definedName>
    <definedName name="EB_IS_Discount">#REF!</definedName>
    <definedName name="EB_IS_Dividend">#REF!</definedName>
    <definedName name="EB_IS_END">#REF!</definedName>
    <definedName name="EB_IS_ExtraordinaryItems">#REF!</definedName>
    <definedName name="EB_IS_FinancialExpenses">#REF!</definedName>
    <definedName name="EB_IS_GrossProfit">#REF!</definedName>
    <definedName name="EB_IS_Income">#REF!</definedName>
    <definedName name="EB_IS_InvestmentIncome">#REF!</definedName>
    <definedName name="EB_IS_MinorityIncome">#REF!</definedName>
    <definedName name="EB_IS_NetIncome">#REF!</definedName>
    <definedName name="EB_IS_NetRevenue">#REF!</definedName>
    <definedName name="EB_IS_OperatingExpenses">#REF!</definedName>
    <definedName name="EB_IS_OperatingIncome">#REF!</definedName>
    <definedName name="EB_IS_OperatingTax">#REF!</definedName>
    <definedName name="EB_IS_OtherIncome">#REF!</definedName>
    <definedName name="EB_IS_ReductionOfInventory">#REF!</definedName>
    <definedName name="EB_IS_Revenue">#REF!</definedName>
    <definedName name="EB_IS_START">#REF!</definedName>
    <definedName name="EB_IS_Tax">#REF!</definedName>
    <definedName name="EB_IS_THISYEAR">#REF!</definedName>
    <definedName name="EB_IS_THISYEAR_A1">#REF!</definedName>
    <definedName name="EB_IS_THISYEAR_A2">#REF!</definedName>
    <definedName name="EB_IS_THISYEAR_A3">#REF!</definedName>
    <definedName name="EB_IS_THISYEAR_F1">#REF!</definedName>
    <definedName name="EB_IS_THISYEAR_F2">#REF!</definedName>
    <definedName name="EB_IS_THISYEAR_F3">#REF!</definedName>
    <definedName name="EB_IS_THISYEAR_F4">#REF!</definedName>
    <definedName name="EB_ISR_AdministrativeExpensesOnRevenue">#REF!</definedName>
    <definedName name="EB_ISR_ExcessCashAndSecuritiesInterestRate">#REF!</definedName>
    <definedName name="EB_ISR_ExtraordinaryItems">#REF!</definedName>
    <definedName name="EB_ISR_GrossMargin">#REF!</definedName>
    <definedName name="EB_ISR_IncomeTaxRate">#REF!</definedName>
    <definedName name="EB_ISR_InvestmentIncome">#REF!</definedName>
    <definedName name="EB_ISR_LongTermInterestRate">#REF!</definedName>
    <definedName name="EB_ISR_MinorityInterest">#REF!</definedName>
    <definedName name="EB_ISR_OperatingExpensesOnRevenue">#REF!</definedName>
    <definedName name="EB_ISR_OperatingTaxOnRevenue">#REF!</definedName>
    <definedName name="EB_ISR_OtherIncome">#REF!</definedName>
    <definedName name="EB_ISR_PayoutRatio">#REF!</definedName>
    <definedName name="EB_ISR_ReductionOfInventory">#REF!</definedName>
    <definedName name="EB_ISR_RevenueGrowth">#REF!</definedName>
    <definedName name="EB_ISR_ShortTermInterestRate">#REF!</definedName>
    <definedName name="EB_OutstandingShare">#REF!</definedName>
    <definedName name="EB_PriceDate">#REF!</definedName>
    <definedName name="EB_ReportID">#REF!</definedName>
    <definedName name="EB_StockCode">#REF!</definedName>
    <definedName name="EB_StockName">#REF!</definedName>
    <definedName name="EB_TerminalValuation">#REF!</definedName>
    <definedName name="EB_UNIT">#REF!</definedName>
    <definedName name="EB_Version">#REF!</definedName>
    <definedName name="EB_VR_AdministrativeExpenses">#REF!</definedName>
    <definedName name="EB_VR_Beta">#REF!</definedName>
    <definedName name="EB_VR_BondPayable">#REF!</definedName>
    <definedName name="EB_VR_BVPS">#REF!</definedName>
    <definedName name="EB_VR_CAGR">#REF!</definedName>
    <definedName name="EB_VR_CapitalExpenses">#REF!</definedName>
    <definedName name="EB_VR_CoreEV">#REF!</definedName>
    <definedName name="EB_VR_CostOfEquity">#REF!</definedName>
    <definedName name="EB_VR_CostOfSalesAndOperatingTax">#REF!</definedName>
    <definedName name="EB_VR_Depreciation">#REF!</definedName>
    <definedName name="EB_VR_DividentYield">#REF!</definedName>
    <definedName name="EB_VR_DPS">#REF!</definedName>
    <definedName name="EB_VR_EBIT">#REF!</definedName>
    <definedName name="EB_VR_EBITDA">#REF!</definedName>
    <definedName name="EB_VR_EconomicProfit">#REF!</definedName>
    <definedName name="EB_VR_EPS">#REF!</definedName>
    <definedName name="EB_VR_Equity">#REF!</definedName>
    <definedName name="EB_VR_EquityValue">#REF!</definedName>
    <definedName name="EB_VR_EV">#REF!</definedName>
    <definedName name="EB_VR_EVOnEBIT">#REF!</definedName>
    <definedName name="EB_VR_EVOnEBITDA">#REF!</definedName>
    <definedName name="EB_VR_EVOnIC">#REF!</definedName>
    <definedName name="EB_VR_EVOnNOPLAT">#REF!</definedName>
    <definedName name="EB_VR_EVOnSales">#REF!</definedName>
    <definedName name="EB_VR_ExcessCash">#REF!</definedName>
    <definedName name="EB_VR_ExtraordinaryItems">#REF!</definedName>
    <definedName name="EB_VR_FCFPS">#REF!</definedName>
    <definedName name="EB_VR_FinancialExpensesAfterTax">#REF!</definedName>
    <definedName name="EB_VR_FixedAssetsNetValue">#REF!</definedName>
    <definedName name="EB_VR_FreeLoan">#REF!</definedName>
    <definedName name="EB_VR_ImpliedGrowthRate">#REF!</definedName>
    <definedName name="EB_VR_IncreasingInIC">#REF!</definedName>
    <definedName name="EB_VR_InvestCapital">#REF!</definedName>
    <definedName name="EB_VR_InvestmentIncome">#REF!</definedName>
    <definedName name="EB_VR_LongTermAndShortTermLiabilities">#REF!</definedName>
    <definedName name="EB_VR_MinorityIncome">#REF!</definedName>
    <definedName name="EB_VR_MinorityInterests">#REF!</definedName>
    <definedName name="EB_VR_NetProfit">#REF!</definedName>
    <definedName name="EB_VR_NetProfitAdjusted">#REF!</definedName>
    <definedName name="EB_VR_NetRevenue">#REF!</definedName>
    <definedName name="EB_VR_NonOperatingInvestCapital">#REF!</definedName>
    <definedName name="EB_VR_NOPLAT">#REF!</definedName>
    <definedName name="EB_VR_NotFreeLiabilities">#REF!</definedName>
    <definedName name="EB_VR_OperatingActiveMoney">#REF!</definedName>
    <definedName name="EB_VR_OperatingCurrentAsstes">#REF!</definedName>
    <definedName name="EB_VR_OperatingExpenses">#REF!</definedName>
    <definedName name="EB_VR_OtherAsstesMinusOtherLiabilities">#REF!</definedName>
    <definedName name="EB_VR_OtherIncome">#REF!</definedName>
    <definedName name="EB_VR_OutstandingShare">#REF!</definedName>
    <definedName name="EB_VR_PB">#REF!</definedName>
    <definedName name="EB_VR_PE">#REF!</definedName>
    <definedName name="EB_VR_PEG">#REF!</definedName>
    <definedName name="EB_VR_PFCF">#REF!</definedName>
    <definedName name="EB_VR_PS">#REF!</definedName>
    <definedName name="EB_VR_ReductionOfInventory">#REF!</definedName>
    <definedName name="EB_VR_REP">#REF!</definedName>
    <definedName name="EB_VR_ReturnOfMarket">#REF!</definedName>
    <definedName name="EB_VR_RiskFree">#REF!</definedName>
    <definedName name="EB_VR_RiskPremium">#REF!</definedName>
    <definedName name="EB_VR_ROIC">#REF!</definedName>
    <definedName name="EB_VR_ROICMinusWACC">#REF!</definedName>
    <definedName name="EB_VR_ROICOnWACC">#REF!</definedName>
    <definedName name="EB_VR_ShortTermInvestment">#REF!</definedName>
    <definedName name="EB_VR_SPS">#REF!</definedName>
    <definedName name="EB_VR_TaxOnEBIT">#REF!</definedName>
    <definedName name="EB_VR_THISYEAR">#REF!</definedName>
    <definedName name="EB_VR_THISYEAR_A1">#REF!</definedName>
    <definedName name="EB_VR_THISYEAR_A2">#REF!</definedName>
    <definedName name="EB_VR_THISYEAR_A3">#REF!</definedName>
    <definedName name="EB_VR_THISYEAR_F1">#REF!</definedName>
    <definedName name="EB_VR_THISYEAR_F2">#REF!</definedName>
    <definedName name="EB_VR_THISYEAR_F3">#REF!</definedName>
    <definedName name="EB_VR_THISYEAR_F4">#REF!</definedName>
    <definedName name="EB_VR_WACC">#REF!</definedName>
    <definedName name="EB_WACC_DDE">#REF!</definedName>
    <definedName name="EB_WACC_EDE">#REF!</definedName>
    <definedName name="EBDITOther" localSheetId="1">#REF!</definedName>
    <definedName name="EBDITOther">#REF!</definedName>
    <definedName name="EBIT">#REF!</definedName>
    <definedName name="ebit_ag">#REF!</definedName>
    <definedName name="ebit_ecol">#REF!</definedName>
    <definedName name="ebit_fl">#REF!</definedName>
    <definedName name="ebit_fo">#REF!</definedName>
    <definedName name="EBIT_fore" localSheetId="1">#REF!</definedName>
    <definedName name="EBIT_fore">#REF!</definedName>
    <definedName name="ebit_gm">#REF!</definedName>
    <definedName name="ebit_ka">#REF!</definedName>
    <definedName name="ebit_kat">#REF!</definedName>
    <definedName name="ebit_li">#REF!</definedName>
    <definedName name="EBIT_margin">#REF!</definedName>
    <definedName name="EBIT_margin_fore" localSheetId="1">#REF!</definedName>
    <definedName name="EBIT_margin_fore">#REF!</definedName>
    <definedName name="ebit_mgb">#REF!</definedName>
    <definedName name="ebit_my">#REF!</definedName>
    <definedName name="ebit_of">#REF!</definedName>
    <definedName name="ebit_pr">#REF!</definedName>
    <definedName name="ebit_rr">#REF!</definedName>
    <definedName name="ebit_su">#REF!</definedName>
    <definedName name="ebit_ta">#REF!</definedName>
    <definedName name="ebit_un">#REF!</definedName>
    <definedName name="ebit_w4k">#REF!</definedName>
    <definedName name="EBITA">#REF!</definedName>
    <definedName name="EBITA_fore" localSheetId="1">#REF!</definedName>
    <definedName name="EBITA_fore">#REF!</definedName>
    <definedName name="EBITConsol">#REF!</definedName>
    <definedName name="EBITDA">#REF!</definedName>
    <definedName name="EBITDA_DCF">#REF!</definedName>
    <definedName name="EBITDA_fore" localSheetId="1">#REF!</definedName>
    <definedName name="EBITDA_fore">#REF!</definedName>
    <definedName name="EBITDA_growth_avg">#REF!</definedName>
    <definedName name="EBITDA_margin">#REF!</definedName>
    <definedName name="EBITDA_margin_fore" localSheetId="1">#REF!</definedName>
    <definedName name="EBITDA_margin_fore">#REF!</definedName>
    <definedName name="EBITDA_Share">#REF!</definedName>
    <definedName name="EBITDisc" localSheetId="1">#REF!</definedName>
    <definedName name="EBITDisc">#REF!</definedName>
    <definedName name="EBITDiscName" localSheetId="1">#REF!</definedName>
    <definedName name="EBITDiscName">#REF!</definedName>
    <definedName name="EBITDiv1" localSheetId="1">#REF!</definedName>
    <definedName name="EBITDiv1">#REF!</definedName>
    <definedName name="EBITDiv1Name">#REF!</definedName>
    <definedName name="EBITDiv2">#REF!</definedName>
    <definedName name="EBITDiv2Name">#REF!</definedName>
    <definedName name="EBITDiv3">#REF!</definedName>
    <definedName name="EBITDiv3Name">#REF!</definedName>
    <definedName name="EBITDiv4">#REF!</definedName>
    <definedName name="EBITDiv4Name">#REF!</definedName>
    <definedName name="EBITDiv5">#REF!</definedName>
    <definedName name="EBITDiv5Name">#REF!</definedName>
    <definedName name="EBITDiv6">#REF!</definedName>
    <definedName name="EBITDiv6Name">#REF!</definedName>
    <definedName name="EBITDiv7">#REF!</definedName>
    <definedName name="EBITDiv7Name">#REF!</definedName>
    <definedName name="EBITDiv8">#REF!</definedName>
    <definedName name="EBITDiv8Name">#REF!</definedName>
    <definedName name="EBITDiv9">#REF!</definedName>
    <definedName name="EBITDiv9Name">#REF!</definedName>
    <definedName name="EBITDivCorpOver">#REF!</definedName>
    <definedName name="EBITReg1">#REF!</definedName>
    <definedName name="EBITReg1Name">#REF!</definedName>
    <definedName name="EBITReg2">#REF!</definedName>
    <definedName name="EBITReg2Name">#REF!</definedName>
    <definedName name="EBITReg3">#REF!</definedName>
    <definedName name="EBITReg3Name">#REF!</definedName>
    <definedName name="EBITReg4">#REF!</definedName>
    <definedName name="EBITReg4Name">#REF!</definedName>
    <definedName name="EBITReg5">#REF!</definedName>
    <definedName name="EBITReg5Name">#REF!</definedName>
    <definedName name="EBITReg6">#REF!</definedName>
    <definedName name="EBITReg6Name">#REF!</definedName>
    <definedName name="EBITReg7">#REF!</definedName>
    <definedName name="EBITReg7Name">#REF!</definedName>
    <definedName name="EBITReg8">#REF!</definedName>
    <definedName name="EBITReg8Name">#REF!</definedName>
    <definedName name="EBITReg9">#REF!</definedName>
    <definedName name="EBITReg9Name">#REF!</definedName>
    <definedName name="EBITRegDisc">#REF!</definedName>
    <definedName name="EBITRegDiscName">#REF!</definedName>
    <definedName name="EBITRegDivCorpOver">#REF!</definedName>
    <definedName name="EBITShareAssocNetProf">#REF!</definedName>
    <definedName name="EBITxSGARA" localSheetId="1">#REF!</definedName>
    <definedName name="EBITxSGARA">#REF!</definedName>
    <definedName name="EC">#REF!</definedName>
    <definedName name="ecom_costs">#REF!</definedName>
    <definedName name="ecom_gm">#REF!</definedName>
    <definedName name="ecom_gp">#REF!</definedName>
    <definedName name="ecom_revs">#REF!</definedName>
    <definedName name="ED">#REF!</definedName>
    <definedName name="ED_Q">#REF!</definedName>
    <definedName name="edps00">#REF!</definedName>
    <definedName name="edps01">#REF!</definedName>
    <definedName name="edps98">#REF!</definedName>
    <definedName name="edps99">#REF!</definedName>
    <definedName name="ee" hidden="1">#REF!</definedName>
    <definedName name="eepsfd00">#REF!</definedName>
    <definedName name="eepsfd01">#REF!</definedName>
    <definedName name="eepsfd98">#REF!</definedName>
    <definedName name="eepsfd99">#REF!</definedName>
    <definedName name="EFPO" localSheetId="1">#REF!</definedName>
    <definedName name="EFPO">#REF!</definedName>
    <definedName name="EFPOWA" localSheetId="1">#REF!</definedName>
    <definedName name="EFPOWA">#REF!</definedName>
    <definedName name="EG_DPS" localSheetId="1">#REF!</definedName>
    <definedName name="EG_DPS">#REF!</definedName>
    <definedName name="EG_Net_Profit" localSheetId="1">#REF!</definedName>
    <definedName name="EG_Net_Profit">#REF!</definedName>
    <definedName name="egrowths2">#REF!</definedName>
    <definedName name="employee_costs" localSheetId="1">#REF!</definedName>
    <definedName name="employee_costs">#REF!</definedName>
    <definedName name="EmployeeNumbers" localSheetId="1">#REF!</definedName>
    <definedName name="EmployeeNumbers">#REF!</definedName>
    <definedName name="EmpNum" localSheetId="1">#REF!</definedName>
    <definedName name="EmpNum">#REF!</definedName>
    <definedName name="end">#REF!</definedName>
    <definedName name="enetinc00">#REF!</definedName>
    <definedName name="enetinc01">#REF!</definedName>
    <definedName name="enetinc98">#REF!</definedName>
    <definedName name="enetinc99">#REF!</definedName>
    <definedName name="enp" localSheetId="1">#REF!</definedName>
    <definedName name="enp">#REF!</definedName>
    <definedName name="enterprise_value">#REF!</definedName>
    <definedName name="Entval" localSheetId="1">#REF!</definedName>
    <definedName name="Entval" localSheetId="14">#REF!</definedName>
    <definedName name="Entval">#REF!</definedName>
    <definedName name="EOYshareprice" localSheetId="1">#REF!</definedName>
    <definedName name="EOYshareprice" localSheetId="14">#REF!</definedName>
    <definedName name="EOYshareprice">#REF!</definedName>
    <definedName name="epa" localSheetId="1">#REF!</definedName>
    <definedName name="epa">#REF!</definedName>
    <definedName name="epc" localSheetId="1">#REF!</definedName>
    <definedName name="epc">#REF!</definedName>
    <definedName name="epretax00">#REF!</definedName>
    <definedName name="epretax01">#REF!</definedName>
    <definedName name="epretax98">#REF!</definedName>
    <definedName name="epretax99">#REF!</definedName>
    <definedName name="EPS">#REF!</definedName>
    <definedName name="EPS_00" localSheetId="1">#REF!</definedName>
    <definedName name="EPS_00" localSheetId="14">#REF!</definedName>
    <definedName name="EPS_00">#REF!</definedName>
    <definedName name="EPS_01" localSheetId="1">#REF!</definedName>
    <definedName name="EPS_01">#REF!</definedName>
    <definedName name="EPS_02" localSheetId="1">#REF!</definedName>
    <definedName name="EPS_02" localSheetId="14">#REF!</definedName>
    <definedName name="EPS_02">#REF!</definedName>
    <definedName name="EPS_03" localSheetId="1">#REF!</definedName>
    <definedName name="EPS_03" localSheetId="14">#REF!</definedName>
    <definedName name="EPS_03">#REF!</definedName>
    <definedName name="EPS_04" localSheetId="1">#REF!</definedName>
    <definedName name="EPS_04" localSheetId="14">#REF!</definedName>
    <definedName name="EPS_04">#REF!</definedName>
    <definedName name="EPS_05" localSheetId="1">#REF!</definedName>
    <definedName name="EPS_05" localSheetId="14">#REF!</definedName>
    <definedName name="EPS_05">#REF!</definedName>
    <definedName name="EPS_06" localSheetId="1">#REF!</definedName>
    <definedName name="EPS_06" localSheetId="14">#REF!</definedName>
    <definedName name="EPS_06">#REF!</definedName>
    <definedName name="EPS_92" localSheetId="1">#REF!</definedName>
    <definedName name="EPS_92">#REF!</definedName>
    <definedName name="EPS_93" localSheetId="1">#REF!</definedName>
    <definedName name="EPS_93">#REF!</definedName>
    <definedName name="EPS_94" localSheetId="1">#REF!</definedName>
    <definedName name="EPS_94">#REF!</definedName>
    <definedName name="EPS_95" localSheetId="1">#REF!</definedName>
    <definedName name="EPS_95">#REF!</definedName>
    <definedName name="EPS_96" localSheetId="1">#REF!</definedName>
    <definedName name="EPS_96">#REF!</definedName>
    <definedName name="EPS_97" localSheetId="1">#REF!</definedName>
    <definedName name="EPS_97">#REF!</definedName>
    <definedName name="EPS_98" localSheetId="1">#REF!</definedName>
    <definedName name="EPS_98" localSheetId="14">#REF!</definedName>
    <definedName name="EPS_98">#REF!</definedName>
    <definedName name="EPS_99" localSheetId="1">#REF!</definedName>
    <definedName name="EPS_99" localSheetId="14">#REF!</definedName>
    <definedName name="EPS_99">#REF!</definedName>
    <definedName name="eps_changes2" localSheetId="1">#REF!</definedName>
    <definedName name="eps_changes2">#REF!</definedName>
    <definedName name="EPS_growth_avg">#REF!</definedName>
    <definedName name="EPS00">#REF!</definedName>
    <definedName name="epsfd00">#REF!</definedName>
    <definedName name="epsfd00e">#REF!</definedName>
    <definedName name="epsfd01">#REF!</definedName>
    <definedName name="epsfd98">#REF!</definedName>
    <definedName name="epsfd98e">#REF!</definedName>
    <definedName name="epsfd99">#REF!</definedName>
    <definedName name="epsfd99e">#REF!</definedName>
    <definedName name="EPSQ195">#REF!</definedName>
    <definedName name="EPSQ196">#REF!</definedName>
    <definedName name="EPSQ197">#REF!</definedName>
    <definedName name="EPSQ295">#REF!</definedName>
    <definedName name="EPSQ296">#REF!</definedName>
    <definedName name="EPSQ297">#REF!</definedName>
    <definedName name="EPSQ395">#REF!</definedName>
    <definedName name="EPSQ396">#REF!</definedName>
    <definedName name="EPSQ397">#REF!</definedName>
    <definedName name="EPSQ495">#REF!</definedName>
    <definedName name="EPSQ496">#REF!</definedName>
    <definedName name="EPSQ497">#REF!</definedName>
    <definedName name="EPSTable">#REF!</definedName>
    <definedName name="epw">#REF!</definedName>
    <definedName name="epx">#REF!</definedName>
    <definedName name="eq_assets">#REF!</definedName>
    <definedName name="eq_issue">#REF!</definedName>
    <definedName name="EqGrwth" localSheetId="1">#REF!</definedName>
    <definedName name="EqGrwth">#REF!</definedName>
    <definedName name="eqissue">#REF!</definedName>
    <definedName name="eqret">#REF!</definedName>
    <definedName name="EquAbnor" localSheetId="1">#REF!</definedName>
    <definedName name="EquAbnor">#REF!</definedName>
    <definedName name="EquAdjProf" localSheetId="1">#REF!</definedName>
    <definedName name="EquAdjProf">#REF!</definedName>
    <definedName name="EquAssocComp" localSheetId="1">#REF!</definedName>
    <definedName name="EquAssocComp">#REF!</definedName>
    <definedName name="equity_beta" localSheetId="4">#REF!</definedName>
    <definedName name="equity_beta" localSheetId="5">#REF!</definedName>
    <definedName name="equity_beta" localSheetId="1">#REF!</definedName>
    <definedName name="equity_beta">#REF!</definedName>
    <definedName name="Equity_increase">#REF!</definedName>
    <definedName name="Equity_Price_per_unit" localSheetId="4">#REF!</definedName>
    <definedName name="Equity_Price_per_unit" localSheetId="5">#REF!</definedName>
    <definedName name="Equity_Price_per_unit" localSheetId="1">#REF!</definedName>
    <definedName name="Equity_Price_per_unit">#REF!</definedName>
    <definedName name="equity_risk_premium" localSheetId="4">#REF!</definedName>
    <definedName name="equity_risk_premium" localSheetId="5">#REF!</definedName>
    <definedName name="equity_risk_premium">#REF!</definedName>
    <definedName name="equity97" localSheetId="1">#REF!</definedName>
    <definedName name="equity97">#REF!</definedName>
    <definedName name="equity98" localSheetId="1">#REF!</definedName>
    <definedName name="equity98">#REF!</definedName>
    <definedName name="equity99" localSheetId="1">#REF!</definedName>
    <definedName name="equity99">#REF!</definedName>
    <definedName name="equityye95">#REF!</definedName>
    <definedName name="equityye96">#REF!</definedName>
    <definedName name="equityye97">#REF!</definedName>
    <definedName name="equityye98">#REF!</definedName>
    <definedName name="EquMove">#REF!</definedName>
    <definedName name="EquProfContrib">#REF!</definedName>
    <definedName name="erp">#REF!</definedName>
    <definedName name="etaxrate00">#REF!</definedName>
    <definedName name="etaxrate01">#REF!</definedName>
    <definedName name="etaxrate98">#REF!</definedName>
    <definedName name="etaxrate99">#REF!</definedName>
    <definedName name="etc">#REF!</definedName>
    <definedName name="etotrev00">#REF!</definedName>
    <definedName name="etotrev01">#REF!</definedName>
    <definedName name="etotrev98">#REF!</definedName>
    <definedName name="etotrev99">#REF!</definedName>
    <definedName name="etr" localSheetId="1">#REF!</definedName>
    <definedName name="etr">#REF!</definedName>
    <definedName name="EU" localSheetId="1">#REF!</definedName>
    <definedName name="EU">#REF!</definedName>
    <definedName name="eurnew" localSheetId="1">#REF!</definedName>
    <definedName name="eurnew">#REF!</definedName>
    <definedName name="eurold">#REF!</definedName>
    <definedName name="Europe_excl._Sweden">#REF!</definedName>
    <definedName name="Europe_excl._Sweden_w">#REF!</definedName>
    <definedName name="ev_mcapex">#REF!</definedName>
    <definedName name="ev_wkgcap">#REF!</definedName>
    <definedName name="EVG" localSheetId="1">#REF!</definedName>
    <definedName name="EVG">#REF!</definedName>
    <definedName name="Excel_Version">#REF!</definedName>
    <definedName name="Except" localSheetId="1">#REF!</definedName>
    <definedName name="Except" localSheetId="14">#REF!</definedName>
    <definedName name="Except">#REF!</definedName>
    <definedName name="Exceptionals">#REF!</definedName>
    <definedName name="Excess_cash">#REF!</definedName>
    <definedName name="Exch">#REF!</definedName>
    <definedName name="ExpansionaryCapex" localSheetId="1">#REF!</definedName>
    <definedName name="ExpansionaryCapex">#REF!</definedName>
    <definedName name="Expense_Ratio" localSheetId="1">#REF!</definedName>
    <definedName name="Expense_Ratio">#REF!</definedName>
    <definedName name="Expl_forecast_1st_yr" localSheetId="1">#REF!</definedName>
    <definedName name="Expl_forecast_1st_yr">#REF!</definedName>
    <definedName name="Expl_forecast_2nd_yr" localSheetId="1">#REF!</definedName>
    <definedName name="Expl_forecast_2nd_yr">#REF!</definedName>
    <definedName name="Expl_forecast_3rd_yr" localSheetId="1">#REF!</definedName>
    <definedName name="Expl_forecast_3rd_yr">#REF!</definedName>
    <definedName name="ExpoSiuFung">#REF!</definedName>
    <definedName name="ExRate">#REF!</definedName>
    <definedName name="ext" localSheetId="1">#REF!</definedName>
    <definedName name="ext">#REF!</definedName>
    <definedName name="extel" localSheetId="1">#REF!</definedName>
    <definedName name="extel">#REF!</definedName>
    <definedName name="ExtFiles">#REF!</definedName>
    <definedName name="extraords">#REF!</definedName>
    <definedName name="f">#REF!</definedName>
    <definedName name="F_AFLCFM1" localSheetId="1">#REF!</definedName>
    <definedName name="F_AFLCFM1">#REF!</definedName>
    <definedName name="F_AFLCFM2" localSheetId="1">#REF!</definedName>
    <definedName name="F_AFLCFM2">#REF!</definedName>
    <definedName name="F_AFLPEM3" localSheetId="1">#REF!</definedName>
    <definedName name="F_AFLPEM3">#REF!</definedName>
    <definedName name="F_AFLPEM4">#REF!</definedName>
    <definedName name="F_AFLPEMb">#REF!</definedName>
    <definedName name="F_AFLSD1">#REF!</definedName>
    <definedName name="F_AFLSD2">#REF!</definedName>
    <definedName name="F_Book_value_per_share">#REF!</definedName>
    <definedName name="Factrs_driving_gwth">#REF!</definedName>
    <definedName name="FAMERangeDJ_BALAL28" localSheetId="1">#REF!</definedName>
    <definedName name="FAMERangeDJ_BALAL28">#REF!</definedName>
    <definedName name="FAMERangeDJ_BALAM28" localSheetId="1">#REF!</definedName>
    <definedName name="FAMERangeDJ_BALAM28">#REF!</definedName>
    <definedName name="FAMERangeDJ_BALAN28" localSheetId="1">#REF!</definedName>
    <definedName name="FAMERangeDJ_BALAN28">#REF!</definedName>
    <definedName name="FAMERangeGCI_BALD62" localSheetId="1">#REF!</definedName>
    <definedName name="FAMERangeGCI_BALD62">#REF!</definedName>
    <definedName name="FAMERangeGCI_BALD63" localSheetId="1">#REF!</definedName>
    <definedName name="FAMERangeGCI_BALD63">#REF!</definedName>
    <definedName name="FAMERangeKRI_BALAL99">#REF!</definedName>
    <definedName name="FAMERangeKRI_BALAM99">#REF!</definedName>
    <definedName name="FAMERangeKRI_BALAN99" localSheetId="1">#REF!</definedName>
    <definedName name="FAMERangeKRI_BALAN99">#REF!</definedName>
    <definedName name="FAMERangeraw_dataB36" localSheetId="1">#REF!</definedName>
    <definedName name="FAMERangeraw_dataB36">#REF!</definedName>
    <definedName name="FAMERangeraw_dataB37" localSheetId="1">#REF!</definedName>
    <definedName name="FAMERangeraw_dataB37">#REF!</definedName>
    <definedName name="FAMERangeraw_dataB38" localSheetId="1">#REF!</definedName>
    <definedName name="FAMERangeraw_dataB38">#REF!</definedName>
    <definedName name="FAMERangeraw_dataB39">#REF!</definedName>
    <definedName name="FAMERangeraw_dataB40">#REF!</definedName>
    <definedName name="FAMERangeraw_dataB45">#REF!</definedName>
    <definedName name="FAMERangeraw_dataB51">#REF!</definedName>
    <definedName name="FAMERangeraw_dataB52">#REF!</definedName>
    <definedName name="FAMERangeraw_dataB54">#REF!</definedName>
    <definedName name="FAMERangeraw_dataB55">#REF!</definedName>
    <definedName name="FAMERangeraw_dataB57">#REF!</definedName>
    <definedName name="FAMERangeraw_dataB58">#REF!</definedName>
    <definedName name="FAMERangeraw_dataB59">#REF!</definedName>
    <definedName name="FAMERangeraw_dataB60">#REF!</definedName>
    <definedName name="FAMERangeraw_dataB62">#REF!</definedName>
    <definedName name="FAMERangeraw_dataB63">#REF!</definedName>
    <definedName name="FAMERangeraw_dataB64">#REF!</definedName>
    <definedName name="FAMERangeraw_dataB65">#REF!</definedName>
    <definedName name="FAMERangeraw_dataB68">#REF!</definedName>
    <definedName name="FAMERangeraw_dataC34">#REF!</definedName>
    <definedName name="FAMERangeraw_dataC44">#REF!</definedName>
    <definedName name="FAMERangeraw_dataC45">#REF!</definedName>
    <definedName name="FAMERangeraw_dataC51">#REF!</definedName>
    <definedName name="FAMERangeraw_dataC52">#REF!</definedName>
    <definedName name="FAMERangeraw_dataC54">#REF!</definedName>
    <definedName name="FAMERangeraw_dataC55">#REF!</definedName>
    <definedName name="FAMERangeraw_dataC57">#REF!</definedName>
    <definedName name="FAMERangeraw_dataC58">#REF!</definedName>
    <definedName name="FAMERangeraw_dataC59">#REF!</definedName>
    <definedName name="FAMERangeraw_dataC60">#REF!</definedName>
    <definedName name="FAMERangeraw_dataC62">#REF!</definedName>
    <definedName name="FAMERangeraw_dataC63">#REF!</definedName>
    <definedName name="FAMERangeraw_dataC71">#REF!</definedName>
    <definedName name="FAMERangeraw_dataD34">#REF!</definedName>
    <definedName name="FAMERangeraw_dataD44">#REF!</definedName>
    <definedName name="FAMERangeraw_dataD45">#REF!</definedName>
    <definedName name="FAMERangeraw_dataD62">#REF!</definedName>
    <definedName name="FAMERangeraw_dataD71">#REF!</definedName>
    <definedName name="FAMERangeraw_dataE44">#REF!</definedName>
    <definedName name="FAMERangeraw_dataE45">#REF!</definedName>
    <definedName name="FAMERangeraw_dataE63">#REF!</definedName>
    <definedName name="FAMERangeraw_dataE64">#REF!</definedName>
    <definedName name="FAMERangeraw_dataE65">#REF!</definedName>
    <definedName name="FAMERangeraw_dataE71">#REF!</definedName>
    <definedName name="FAMERangeraw_dataG40">#REF!</definedName>
    <definedName name="FAMERangeraw_dataG41">#REF!</definedName>
    <definedName name="FAMERangeraw_dataH40">#REF!</definedName>
    <definedName name="FAMERangeraw_dataH41">#REF!</definedName>
    <definedName name="FAMERangeraw_dataI40">#REF!</definedName>
    <definedName name="Faster_Faller">#REF!</definedName>
    <definedName name="Faster_Riser">#REF!</definedName>
    <definedName name="fcf">#REF!</definedName>
    <definedName name="fcfbi">#REF!</definedName>
    <definedName name="FIGrwth" localSheetId="1">#REF!</definedName>
    <definedName name="FIGrwth">#REF!</definedName>
    <definedName name="FILL">#REF!</definedName>
    <definedName name="Final" localSheetId="4">#REF!</definedName>
    <definedName name="Final" localSheetId="5">#REF!</definedName>
    <definedName name="Final" localSheetId="1">#REF!</definedName>
    <definedName name="Final">#REF!</definedName>
    <definedName name="finalresults" localSheetId="4">#REF!</definedName>
    <definedName name="finalresults" localSheetId="5">#REF!</definedName>
    <definedName name="finalresults">#REF!</definedName>
    <definedName name="FINCriteriaRange">#REF!</definedName>
    <definedName name="FINCriteriaType">1</definedName>
    <definedName name="FINExtractRange">#REF!</definedName>
    <definedName name="FINOptions">"0,0,1,1,1,0,0,-1,0,0,2,0,"</definedName>
    <definedName name="FIOPS">#REF!,#REF!</definedName>
    <definedName name="fix_cover">#REF!</definedName>
    <definedName name="fixass">#REF!</definedName>
    <definedName name="FixCost" localSheetId="1">#REF!</definedName>
    <definedName name="FixCost">#REF!</definedName>
    <definedName name="Fixed_asset_turns">#REF!</definedName>
    <definedName name="Fixed_asset_turns_fore" localSheetId="1">#REF!</definedName>
    <definedName name="Fixed_asset_turns_fore">#REF!</definedName>
    <definedName name="Fixed_assets">#REF!</definedName>
    <definedName name="Fixed_line" localSheetId="1">#REF!</definedName>
    <definedName name="Fixed_line">#REF!</definedName>
    <definedName name="fkg">#REF!</definedName>
    <definedName name="Flag_index">#REF!</definedName>
    <definedName name="Flag_index_all">#REF!</definedName>
    <definedName name="FLimit" localSheetId="4">#REF!</definedName>
    <definedName name="FLimit" localSheetId="5">#REF!</definedName>
    <definedName name="FLimit" localSheetId="1">#REF!</definedName>
    <definedName name="FLimit">#REF!</definedName>
    <definedName name="floatpct">#REF!</definedName>
    <definedName name="Footnote_GrossDebt">#REF!</definedName>
    <definedName name="FootwearGP">#REF!</definedName>
    <definedName name="FootwearSales">#REF!</definedName>
    <definedName name="foractual">#REF!</definedName>
    <definedName name="forecast" localSheetId="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" localSheetId="1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year_end">#REF!</definedName>
    <definedName name="ForEx" localSheetId="1">#REF!</definedName>
    <definedName name="ForEx">#REF!</definedName>
    <definedName name="Forex_differences">#REF!</definedName>
    <definedName name="ForexGainsLosses" localSheetId="1">#REF!</definedName>
    <definedName name="ForexGainsLosses">#REF!</definedName>
    <definedName name="forlimit" localSheetId="1">#REF!</definedName>
    <definedName name="forlimit">#REF!</definedName>
    <definedName name="Form10q_pg1" localSheetId="1">#REF!</definedName>
    <definedName name="Form10q_pg1">#REF!</definedName>
    <definedName name="Form10q_pg2">#REF!</definedName>
    <definedName name="Format" localSheetId="14">#REF!</definedName>
    <definedName name="Format">#REF!</definedName>
    <definedName name="Formats">#REF!</definedName>
    <definedName name="FP" localSheetId="9">#REF!</definedName>
    <definedName name="FP" localSheetId="1">#REF!</definedName>
    <definedName name="FP">#REF!</definedName>
    <definedName name="fp_ord">#REF!</definedName>
    <definedName name="FP52Hi" localSheetId="1">#REF!</definedName>
    <definedName name="FP52Hi">#REF!</definedName>
    <definedName name="FP52Lo" localSheetId="1">#REF!</definedName>
    <definedName name="FP52Lo">#REF!</definedName>
    <definedName name="FR_COM_ABBR">" "</definedName>
    <definedName name="FR_COM_NAME_LINK">" "</definedName>
    <definedName name="FR_COU_ABBR">" "</definedName>
    <definedName name="FR_COU_ABBR_LINK">" "</definedName>
    <definedName name="FR_DISP_HIDDEN">FALSE</definedName>
    <definedName name="FR_SHOW_LINK_MARKER">TRUE</definedName>
    <definedName name="FR_USE_LOCAL_CCY">TRUE</definedName>
    <definedName name="FR_WORKBOOK">"K:\Rsh\simon\Models(SL)\Li&amp;Fung_SL.xls"</definedName>
    <definedName name="France">#REF!</definedName>
    <definedName name="France_w">#REF!</definedName>
    <definedName name="Frank" localSheetId="1">#REF!</definedName>
    <definedName name="Frank">#REF!</definedName>
    <definedName name="FrankAccountVal" localSheetId="1">#REF!</definedName>
    <definedName name="FrankAccountVal">#REF!</definedName>
    <definedName name="FrankAmount" localSheetId="1">#REF!</definedName>
    <definedName name="FrankAmount">#REF!</definedName>
    <definedName name="free">#REF!</definedName>
    <definedName name="freefloat" localSheetId="9">#REF!</definedName>
    <definedName name="FreeFloat" localSheetId="1">#REF!</definedName>
    <definedName name="FreeFloat">#REF!</definedName>
    <definedName name="FreeFloatPer" localSheetId="1">#REF!</definedName>
    <definedName name="FreeFloatPer">#REF!</definedName>
    <definedName name="FREQS">#REF!</definedName>
    <definedName name="FS" localSheetId="1">#REF!</definedName>
    <definedName name="FS">#REF!</definedName>
    <definedName name="Full_Name" localSheetId="1">#REF!</definedName>
    <definedName name="Full_Name">#REF!</definedName>
    <definedName name="fullname" localSheetId="1">#REF!</definedName>
    <definedName name="fullname">#REF!</definedName>
    <definedName name="FundingStructure">#REF!</definedName>
    <definedName name="FundsBorrow">#REF!</definedName>
    <definedName name="FVPEbank">#REF!</definedName>
    <definedName name="FX">#REF!</definedName>
    <definedName name="fxa" localSheetId="1">#REF!</definedName>
    <definedName name="fxa">#REF!</definedName>
    <definedName name="fxe" localSheetId="1">#REF!</definedName>
    <definedName name="fxe">#REF!</definedName>
    <definedName name="fxlookup" localSheetId="1">#REF!</definedName>
    <definedName name="fxlookup">#REF!</definedName>
    <definedName name="FY_93" localSheetId="1">#REF!</definedName>
    <definedName name="FY_93">#REF!</definedName>
    <definedName name="FY_94" localSheetId="1">#REF!</definedName>
    <definedName name="FY_94">#REF!</definedName>
    <definedName name="FY_95" localSheetId="1">#REF!</definedName>
    <definedName name="FY_95">#REF!</definedName>
    <definedName name="FY_96" localSheetId="1">#REF!</definedName>
    <definedName name="FY_96">#REF!</definedName>
    <definedName name="FY_97">#REF!</definedName>
    <definedName name="FY1993_">#REF!</definedName>
    <definedName name="FY1994_">#REF!</definedName>
    <definedName name="FY1995_">#REF!</definedName>
    <definedName name="FY1996_">#REF!</definedName>
    <definedName name="FY1997_">#REF!</definedName>
    <definedName name="FY1998_">#REF!</definedName>
    <definedName name="FY1999_">#REF!</definedName>
    <definedName name="FY2000_">#REF!</definedName>
    <definedName name="FY2001_">#REF!</definedName>
    <definedName name="FY2002_">#REF!</definedName>
    <definedName name="FY2003_">#REF!</definedName>
    <definedName name="FY2004_">#REF!</definedName>
    <definedName name="FY2005_">#REF!</definedName>
    <definedName name="FYEND">#REF!</definedName>
    <definedName name="FYENDA">#REF!</definedName>
    <definedName name="g">#REF!</definedName>
    <definedName name="G_ADDVIF" localSheetId="1">#REF!</definedName>
    <definedName name="G_ADDVIF">#REF!</definedName>
    <definedName name="G_ADJNAV" localSheetId="1">#REF!</definedName>
    <definedName name="G_ADJNAV">#REF!</definedName>
    <definedName name="G_AMORT" localSheetId="1">#REF!</definedName>
    <definedName name="G_AMORT">#REF!</definedName>
    <definedName name="G_AVGORDSHARES">#REF!</definedName>
    <definedName name="G_COE">#REF!</definedName>
    <definedName name="G_DEBT2EQUITY">#REF!</definedName>
    <definedName name="G_DEBT2TOTCAP">#REF!</definedName>
    <definedName name="G_DPS">#REF!</definedName>
    <definedName name="G_ELIM">#REF!</definedName>
    <definedName name="G_EPS">#REF!</definedName>
    <definedName name="G_EQUITYEXVIF">#REF!</definedName>
    <definedName name="G_EQUITYINV">#REF!</definedName>
    <definedName name="G_EXORDITEMS">#REF!</definedName>
    <definedName name="G_FAIREVPS">#REF!</definedName>
    <definedName name="G_FAIRPEV">#REF!</definedName>
    <definedName name="G_FIXEDINCINV">#REF!</definedName>
    <definedName name="G_FREEFLOAT">#REF!</definedName>
    <definedName name="G_FULLYDILLUTEDSHARES">#REF!</definedName>
    <definedName name="G_GOODWILL">#REF!</definedName>
    <definedName name="G_GROUPDEBT">#REF!</definedName>
    <definedName name="G_GSEVPS">#REF!</definedName>
    <definedName name="G_IMPLIEDCOE">#REF!</definedName>
    <definedName name="G_MIN">#REF!</definedName>
    <definedName name="G_MINORITIES">#REF!</definedName>
    <definedName name="G_NETINC">#REF!</definedName>
    <definedName name="G_NORMEPS">#REF!</definedName>
    <definedName name="G_NORMNETINC">#REF!</definedName>
    <definedName name="G_NORMROEV">#REF!</definedName>
    <definedName name="G_NXTRESDATE">#REF!</definedName>
    <definedName name="G_NXTRESTYPE">#REF!</definedName>
    <definedName name="G_OPEPS">#REF!</definedName>
    <definedName name="G_OPNETINC">#REF!</definedName>
    <definedName name="G_OPROEV">#REF!</definedName>
    <definedName name="G_OPTAX">#REF!</definedName>
    <definedName name="G_OPTAXRAT">#REF!</definedName>
    <definedName name="G_ORDSHARES">#REF!</definedName>
    <definedName name="G_OTHERINV">#REF!</definedName>
    <definedName name="G_PAYOUTRAT">#REF!</definedName>
    <definedName name="G_PEQUITYINV">#REF!</definedName>
    <definedName name="G_PFIXEDINCINV">#REF!</definedName>
    <definedName name="G_POTHERINV">#REF!</definedName>
    <definedName name="G_PREALESTINV">#REF!</definedName>
    <definedName name="G_PREFCAP">#REF!</definedName>
    <definedName name="G_PREFSHARES">#REF!</definedName>
    <definedName name="G_PRETAX">#REF!</definedName>
    <definedName name="G_PRETAXOP">#REF!</definedName>
    <definedName name="G_PRETAXSUM">#REF!</definedName>
    <definedName name="G_PRICE">#REF!</definedName>
    <definedName name="G_PRICEDATE">#REF!</definedName>
    <definedName name="G_PTOTINV">#REF!</definedName>
    <definedName name="G_PUBEQUITY">#REF!</definedName>
    <definedName name="G_PUBEV">#REF!</definedName>
    <definedName name="G_REALESTINV">#REF!</definedName>
    <definedName name="G_REUTERS">#REF!</definedName>
    <definedName name="G_ROEV">#REF!</definedName>
    <definedName name="G_SPFSRAT">#REF!</definedName>
    <definedName name="G_SPOTEVPS">#REF!</definedName>
    <definedName name="G_SPOTPEV">#REF!</definedName>
    <definedName name="G_SPOTSHARES">#REF!</definedName>
    <definedName name="G_SUBDEBT">#REF!</definedName>
    <definedName name="G_SUSROE">#REF!</definedName>
    <definedName name="G_TAX">#REF!</definedName>
    <definedName name="G_TAXRAT">#REF!</definedName>
    <definedName name="G_TOTASSETS">#REF!</definedName>
    <definedName name="G_TOTEV">#REF!</definedName>
    <definedName name="G_TOTINV">#REF!</definedName>
    <definedName name="gbctprice">#REF!</definedName>
    <definedName name="gbpnew">#REF!</definedName>
    <definedName name="gbpold">#REF!</definedName>
    <definedName name="Gearing">#REF!</definedName>
    <definedName name="GEN">#REF!</definedName>
    <definedName name="GEOG">#REF!</definedName>
    <definedName name="Germany">#REF!</definedName>
    <definedName name="Germany_w">#REF!</definedName>
    <definedName name="Global_Tables">#REF!,#REF!,#REF!</definedName>
    <definedName name="gls_ACT_EST_ROW" hidden="1">#REF!</definedName>
    <definedName name="gls_ACT_FORM_OFFSET" hidden="1">#REF!</definedName>
    <definedName name="gls_ADMIN" hidden="1">#REF!</definedName>
    <definedName name="gls_ALLOW_BOTH_PC" hidden="1">#REF!</definedName>
    <definedName name="gls_ALLOW_PARENT_OR_CONSOLIDATED" hidden="1">#REF!</definedName>
    <definedName name="gls_ALLOW_PUBLISH" hidden="1">#REF!</definedName>
    <definedName name="gls_AnalystEmpNoHeading" hidden="1">#REF!</definedName>
    <definedName name="gls_AnalystNameHeading" hidden="1">#REF!</definedName>
    <definedName name="gls_CF_BEGINS" hidden="1">#REF!</definedName>
    <definedName name="gls_CFD_CHANGEACT" hidden="1">#REF!</definedName>
    <definedName name="gls_CFD_CHANGEEST" hidden="1">#REF!</definedName>
    <definedName name="gls_CFD_FIRSTAVAIL" hidden="1">#REF!</definedName>
    <definedName name="gls_CFD_LISTAVAIL" hidden="1">#REF!</definedName>
    <definedName name="gls_CFD_SELECTED" hidden="1">#REF!</definedName>
    <definedName name="gls_CHANGED_NAMES" hidden="1">#REF!</definedName>
    <definedName name="gls_CHG_KEY_USER" hidden="1">#REF!</definedName>
    <definedName name="gls_CHG_SEL_ONLY" hidden="1">#REF!</definedName>
    <definedName name="gls_COMPANY_WORKBOOK_ID" hidden="1">#REF!</definedName>
    <definedName name="gls_DELETED_PERIODS" hidden="1">#REF!</definedName>
    <definedName name="gls_EST_FORM_OFFSET" hidden="1">#REF!</definedName>
    <definedName name="gls_EXC_NOT_EXT" hidden="1">#REF!</definedName>
    <definedName name="gls_EXISTING_PERIODS" hidden="1">#REF!</definedName>
    <definedName name="gls_EXT_BELOW_PBT" hidden="1">#REF!</definedName>
    <definedName name="gls_EXT_LINK_GLOSS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AdditionalInfo" hidden="1">#REF!</definedName>
    <definedName name="gls_GenComments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EPSComment" hidden="1">#REF!</definedName>
    <definedName name="gls_GenHomeRegion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NoteComment" hidden="1">#REF!</definedName>
    <definedName name="gls_GenProfile" hidden="1">#REF!</definedName>
    <definedName name="gls_GenRecComment" hidden="1">#REF!</definedName>
    <definedName name="gls_GenSaleslineInfo" hidden="1">#REF!</definedName>
    <definedName name="gls_GenSalesSplitByRegion" hidden="1">#REF!</definedName>
    <definedName name="gls_GenSalesSplitHeading" hidden="1">#REF!</definedName>
    <definedName name="gls_GenSheetVersion" hidden="1">#REF!</definedName>
    <definedName name="gls_genStockCore" hidden="1">#REF!</definedName>
    <definedName name="gls_genStockRec" hidden="1">#REF!</definedName>
    <definedName name="gls_GLOSS_MONTHS" hidden="1">#REF!</definedName>
    <definedName name="gls_GW_IN" hidden="1">#REF!</definedName>
    <definedName name="gls_IIAA_IN" hidden="1">#REF!</definedName>
    <definedName name="gls_InterimValue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LANGUAGE" hidden="1">#REF!</definedName>
    <definedName name="gls_NEXT_PK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PROFILE_NAME" hidden="1">#REF!</definedName>
    <definedName name="gls_SASS5HistEPSGrowth" hidden="1">#REF!</definedName>
    <definedName name="gls_SASS5ProjEPSGrowth" hidden="1">#REF!</definedName>
    <definedName name="gls_SASSDirectorHoldings" hidden="1">#REF!</definedName>
    <definedName name="gls_SASSEPS45AGR" hidden="1">#REF!</definedName>
    <definedName name="gls_SASSIsInterimLastAnnounce" hidden="1">#REF!</definedName>
    <definedName name="gls_SASSLastAnnounce" hidden="1">#REF!</definedName>
    <definedName name="gls_SASSNETDIV45AGR" hidden="1">#REF!</definedName>
    <definedName name="gls_SaveBeforePublish" hidden="1">#REF!</definedName>
    <definedName name="gls_SaveWkbForNewPeriodCode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HOW_CONTROL_VALUE" hidden="1">#REF!</definedName>
    <definedName name="gls_SHOW_KEY_VAL_COLUMN" hidden="1">#REF!</definedName>
    <definedName name="gls_SHOW_KEY_VALUES" hidden="1">#REF!</definedName>
    <definedName name="gls_SHOW_LINKED_ITEMS" hidden="1">#REF!</definedName>
    <definedName name="gls_SHOW_LOCAL_NAMES" hidden="1">#REF!</definedName>
    <definedName name="gls_SHOW_MULTIPLIERS" hidden="1">#REF!</definedName>
    <definedName name="gls_SHOW_PK_COLUMN" hidden="1">#REF!</definedName>
    <definedName name="gls_SHOW_STATUS_INFORMATION" hidden="1">#REF!</definedName>
    <definedName name="gls_SHOW_UNITS" hidden="1">#REF!</definedName>
    <definedName name="gls_SPARE_YEARS" hidden="1">#REF!</definedName>
    <definedName name="gls_SPECIAL_DIALOG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StockTicker" hidden="1">#REF!</definedName>
    <definedName name="gls_TEMP_PERIOD_CODE" hidden="1">#REF!</definedName>
    <definedName name="gls_THISWORKBOOK_NAME" hidden="1">#REF!</definedName>
    <definedName name="gls_UNUSUAL_POS" hidden="1">#REF!</definedName>
    <definedName name="gls_USER_CELL_FORMAT" hidden="1">#REF!</definedName>
    <definedName name="gls_USING_CONSOLIDATED" hidden="1">#REF!</definedName>
    <definedName name="gls_YEAR_AE_CONTROL" hidden="1">#REF!</definedName>
    <definedName name="gls_YEAR_END_ROW" hidden="1">#REF!</definedName>
    <definedName name="gls_YetToRunStartupWizard" hidden="1">#REF!</definedName>
    <definedName name="Goodwill">#REF!</definedName>
    <definedName name="Goodwill_growth_fore" localSheetId="1">#REF!</definedName>
    <definedName name="Goodwill_growth_fore">#REF!</definedName>
    <definedName name="gop00">#REF!</definedName>
    <definedName name="GProfit" localSheetId="1">#REF!</definedName>
    <definedName name="GProfit" localSheetId="14">#REF!</definedName>
    <definedName name="GProfit">#REF!</definedName>
    <definedName name="Graph_CoC">OFFSET(#REF!,0,0,1,#REF!)</definedName>
    <definedName name="Graph_Frequency" localSheetId="14">OFFSET(#REF!,0,MATCH(99.9999,#REF!,-1)-1,1,COUNT(#REF!)-(MATCH(99.9999,#REF!,-1)-1))</definedName>
    <definedName name="Graph_Frequency">OFFSET(#REF!,0,MATCH(99.9999,#REF!,-1)-1,1,COUNT(#REF!)-(MATCH(99.9999,#REF!,-1)-1))</definedName>
    <definedName name="Graph_Frequency_Titles" localSheetId="14">OFFSET(#REF!,-1,MATCH(99.9999,#REF!,-1)-1,1,COUNT(#REF!)-(MATCH(99.9999,#REF!,-1)-1))</definedName>
    <definedName name="Graph_Frequency_Titles">OFFSET(#REF!,-1,MATCH(99.9999,#REF!,-1)-1,1,COUNT(#REF!)-(MATCH(99.9999,#REF!,-1)-1))</definedName>
    <definedName name="Graph_MarginalROE" localSheetId="14">OFFSET(#REF!,0,0,1,#REF!)</definedName>
    <definedName name="Graph_MarginalROE">OFFSET(#REF!,0,0,1,#REF!)</definedName>
    <definedName name="Graph_Phase" localSheetId="14">OFFSET(#REF!,0,0,1,#REF!)</definedName>
    <definedName name="Graph_Phase">OFFSET(#REF!,0,0,1,#REF!)</definedName>
    <definedName name="Graph_PVRI" localSheetId="14">OFFSET(#REF!,0,0,1,#REF!)</definedName>
    <definedName name="Graph_PVRI">OFFSET(#REF!,0,0,1,#REF!)</definedName>
    <definedName name="Graph_ROE" localSheetId="14">OFFSET(#REF!,0,0,1,#REF!)</definedName>
    <definedName name="Graph_ROE">OFFSET(#REF!,0,0,1,#REF!)</definedName>
    <definedName name="Gross_Capex">#REF!</definedName>
    <definedName name="Gross_inc_growth">#REF!</definedName>
    <definedName name="Gross_income">#REF!</definedName>
    <definedName name="Gross_income_fore" localSheetId="1">#REF!</definedName>
    <definedName name="Gross_income_fore">#REF!</definedName>
    <definedName name="Gross_income_growth_avg" localSheetId="1">#REF!</definedName>
    <definedName name="Gross_income_growth_avg">#REF!</definedName>
    <definedName name="Gross_margin_fore" localSheetId="1">#REF!</definedName>
    <definedName name="Gross_margin_fore">#REF!</definedName>
    <definedName name="GrossCashFlow">#REF!</definedName>
    <definedName name="GrossIntExp">#REF!</definedName>
    <definedName name="GrossIntInc">#REF!</definedName>
    <definedName name="GrossProfit">#REF!</definedName>
    <definedName name="Growth">#REF!</definedName>
    <definedName name="Growth_97">#REF!</definedName>
    <definedName name="Growth_98">#REF!</definedName>
    <definedName name="Growth_99">#REF!</definedName>
    <definedName name="growth_margin" localSheetId="14">#REF!=#REF!</definedName>
    <definedName name="growth_margin">#REF!=#REF!</definedName>
    <definedName name="gwill">#REF!</definedName>
    <definedName name="gwillbs">#REF!</definedName>
    <definedName name="gwillpl">#REF!</definedName>
    <definedName name="GWpostHI" localSheetId="1">#REF!</definedName>
    <definedName name="GWpostHI">#REF!</definedName>
    <definedName name="h">#REF!</definedName>
    <definedName name="h1_00">#REF!</definedName>
    <definedName name="h1_01">#REF!</definedName>
    <definedName name="h1_02">#REF!</definedName>
    <definedName name="h1_03">#REF!</definedName>
    <definedName name="h1_97">#REF!</definedName>
    <definedName name="h1_98">#REF!</definedName>
    <definedName name="h1_99">#REF!</definedName>
    <definedName name="h2_00">#REF!</definedName>
    <definedName name="h2_01">#REF!</definedName>
    <definedName name="h2_02">#REF!</definedName>
    <definedName name="h2_96">#REF!</definedName>
    <definedName name="h2_97">#REF!</definedName>
    <definedName name="h2_98">#REF!</definedName>
    <definedName name="h2_99">#REF!</definedName>
    <definedName name="Handset_revs">#REF!</definedName>
    <definedName name="HangSeng" localSheetId="1">#REF!</definedName>
    <definedName name="HangSeng">#REF!</definedName>
    <definedName name="HC_CAP" localSheetId="1">#REF!</definedName>
    <definedName name="HC_CAP">#REF!</definedName>
    <definedName name="HC_EXP" localSheetId="1">#REF!</definedName>
    <definedName name="HC_EXP">#REF!</definedName>
    <definedName name="HC_INTEXP">#REF!</definedName>
    <definedName name="HC_PPRETAX">#REF!</definedName>
    <definedName name="HC_PRETAX">#REF!</definedName>
    <definedName name="HC_REVS">#REF!</definedName>
    <definedName name="HCC">#REF!</definedName>
    <definedName name="HEAD">#REF!</definedName>
    <definedName name="head1">#REF!</definedName>
    <definedName name="heading">#REF!</definedName>
    <definedName name="HIG" localSheetId="1">#REF!</definedName>
    <definedName name="HIG">#REF!</definedName>
    <definedName name="hjh">#REF!</definedName>
    <definedName name="HK" localSheetId="1">#REF!</definedName>
    <definedName name="HK">#REF!</definedName>
    <definedName name="HKB">#REF!</definedName>
    <definedName name="hkdnew" localSheetId="1">#REF!</definedName>
    <definedName name="hkdnew">#REF!</definedName>
    <definedName name="hkdold" localSheetId="1">#REF!</definedName>
    <definedName name="hkdold">#REF!</definedName>
    <definedName name="Hold1">#REF!</definedName>
    <definedName name="Hold2">#REF!</definedName>
    <definedName name="Hold3">#REF!</definedName>
    <definedName name="holder1" localSheetId="1">#REF!</definedName>
    <definedName name="holder1">#REF!</definedName>
    <definedName name="holder2" localSheetId="1">#REF!</definedName>
    <definedName name="holder2">#REF!</definedName>
    <definedName name="holder3" localSheetId="1">#REF!</definedName>
    <definedName name="holder3">#REF!</definedName>
    <definedName name="holder4">#REF!</definedName>
    <definedName name="holder5">#REF!</definedName>
    <definedName name="holding1">#REF!</definedName>
    <definedName name="holding2">#REF!</definedName>
    <definedName name="holding3">#REF!</definedName>
    <definedName name="holding4">#REF!</definedName>
    <definedName name="holding5">#REF!</definedName>
    <definedName name="HOME">#REF!</definedName>
    <definedName name="HONG_KONG">#REF!</definedName>
    <definedName name="Horizon_Year">#REF!</definedName>
    <definedName name="Horizon_Year_2">#REF!</definedName>
    <definedName name="HSBC" localSheetId="1">#REF!</definedName>
    <definedName name="HSBC">#REF!</definedName>
    <definedName name="HSBC2" localSheetId="1">#REF!</definedName>
    <definedName name="HSBC2">#REF!</definedName>
    <definedName name="HSCEIPEindex">#REF!</definedName>
    <definedName name="hscurrent" localSheetId="1">#REF!</definedName>
    <definedName name="hscurrent">#REF!</definedName>
    <definedName name="hsprevious" localSheetId="1">#REF!</definedName>
    <definedName name="hsprevious">#REF!</definedName>
    <definedName name="i">#REF!</definedName>
    <definedName name="IAG" localSheetId="1">#REF!</definedName>
    <definedName name="IAG">#REF!</definedName>
    <definedName name="ian" localSheetId="1">#REF!</definedName>
    <definedName name="ian">#REF!</definedName>
    <definedName name="iar" localSheetId="1">#REF!</definedName>
    <definedName name="iar">#REF!</definedName>
    <definedName name="IB">#REF!</definedName>
    <definedName name="IB_all">#REF!</definedName>
    <definedName name="iba">#REF!</definedName>
    <definedName name="ibc">#REF!</definedName>
    <definedName name="ibes">#REF!</definedName>
    <definedName name="ibf">#REF!</definedName>
    <definedName name="ibx">#REF!</definedName>
    <definedName name="IC_1">#REF!</definedName>
    <definedName name="IC_2">#REF!</definedName>
    <definedName name="IC_3">#REF!</definedName>
    <definedName name="IC_4">#REF!</definedName>
    <definedName name="IC_5">#REF!</definedName>
    <definedName name="IC_P">#REF!</definedName>
    <definedName name="IC_P1">#REF!</definedName>
    <definedName name="IC_P2">#REF!</definedName>
    <definedName name="IC_P3">#REF!</definedName>
    <definedName name="ica" localSheetId="1">#REF!</definedName>
    <definedName name="ica">#REF!</definedName>
    <definedName name="icd" localSheetId="1">#REF!</definedName>
    <definedName name="icd">#REF!</definedName>
    <definedName name="icf" localSheetId="1">#REF!</definedName>
    <definedName name="icf">#REF!</definedName>
    <definedName name="ict">#REF!</definedName>
    <definedName name="ictsymbol">"HK$"</definedName>
    <definedName name="icu">#REF!</definedName>
    <definedName name="icusymbol">"US$"</definedName>
    <definedName name="ID">#REF!</definedName>
    <definedName name="ida" localSheetId="1">#REF!</definedName>
    <definedName name="ida">#REF!</definedName>
    <definedName name="idrnew" localSheetId="1">#REF!</definedName>
    <definedName name="idrnew">#REF!</definedName>
    <definedName name="idrold" localSheetId="1">#REF!</definedName>
    <definedName name="idrold">#REF!</definedName>
    <definedName name="IDS">#REF!</definedName>
    <definedName name="idx" localSheetId="1">#REF!</definedName>
    <definedName name="idx">#REF!</definedName>
    <definedName name="iefy91" localSheetId="1">#REF!</definedName>
    <definedName name="iefy91">#REF!</definedName>
    <definedName name="iefy92" localSheetId="1">#REF!</definedName>
    <definedName name="iefy92">#REF!</definedName>
    <definedName name="iefy93">#REF!</definedName>
    <definedName name="iefy94">#REF!</definedName>
    <definedName name="iefy95">#REF!</definedName>
    <definedName name="iefy96">#REF!</definedName>
    <definedName name="iefy97">#REF!</definedName>
    <definedName name="ieq">#REF!</definedName>
    <definedName name="iex">#REF!</definedName>
    <definedName name="ifd">#REF!</definedName>
    <definedName name="iff">#REF!</definedName>
    <definedName name="ifl">#REF!</definedName>
    <definedName name="ifn">#REF!</definedName>
    <definedName name="ifo">#REF!</definedName>
    <definedName name="ihd">#REF!</definedName>
    <definedName name="ild">#REF!</definedName>
    <definedName name="ilp">#REF!</definedName>
    <definedName name="ime">#REF!</definedName>
    <definedName name="Implied_Inflation" localSheetId="5">#REF!</definedName>
    <definedName name="Implied_Inflation">#REF!</definedName>
    <definedName name="Implied_Intrinsic_Value">#REF!</definedName>
    <definedName name="INC" localSheetId="1">#REF!</definedName>
    <definedName name="INC">#REF!</definedName>
    <definedName name="inc_ass">#REF!</definedName>
    <definedName name="Inc_cap_RnD_fore" localSheetId="1">#REF!</definedName>
    <definedName name="Inc_cap_RnD_fore">#REF!</definedName>
    <definedName name="income">#REF!</definedName>
    <definedName name="Income_before_taxes">#REF!</definedName>
    <definedName name="Income_equivalents">#REF!</definedName>
    <definedName name="Income_equivalents_fore" localSheetId="1">#REF!</definedName>
    <definedName name="Income_equivalents_fore">#REF!</definedName>
    <definedName name="Income_form_uncons_subs_fore" localSheetId="1">#REF!</definedName>
    <definedName name="Income_form_uncons_subs_fore">#REF!</definedName>
    <definedName name="Income_from_Unconsolidated_Subs">#REF!</definedName>
    <definedName name="Income_statement" localSheetId="1">#REF!</definedName>
    <definedName name="Income_statement">#REF!</definedName>
    <definedName name="Income_tax">#REF!</definedName>
    <definedName name="Income_tax_fore" localSheetId="1">#REF!</definedName>
    <definedName name="Income_tax_fore">#REF!</definedName>
    <definedName name="Income_tax_growth_fore" localSheetId="1">#REF!</definedName>
    <definedName name="Income_tax_growth_fore">#REF!</definedName>
    <definedName name="Income_taxes_payable_growth_fore" localSheetId="1">#REF!</definedName>
    <definedName name="Income_taxes_payable_growth_fore">#REF!</definedName>
    <definedName name="incomestatement">#REF!</definedName>
    <definedName name="IncomStatement2">#REF!</definedName>
    <definedName name="Incr_customer_advance">#REF!</definedName>
    <definedName name="Incr_inventories">#REF!</definedName>
    <definedName name="Incr_payables_creditors">#REF!</definedName>
    <definedName name="Incr_receivables_debtors">#REF!</definedName>
    <definedName name="Increase_cap_RnD_fore" localSheetId="1">#REF!</definedName>
    <definedName name="Increase_cap_RnD_fore">#REF!</definedName>
    <definedName name="Increase_Capitalized_R_D_net">#REF!</definedName>
    <definedName name="Increase_in_other_liabilities">#REF!</definedName>
    <definedName name="Increase_net_other_assets">#REF!</definedName>
    <definedName name="IncStatemt2" localSheetId="1">#REF!</definedName>
    <definedName name="IncStatemt2">#REF!</definedName>
    <definedName name="IncWorkCap" localSheetId="1">#REF!</definedName>
    <definedName name="IncWorkCap">#REF!</definedName>
    <definedName name="index" localSheetId="9">#REF!</definedName>
    <definedName name="index" localSheetId="4">#REF!</definedName>
    <definedName name="index" localSheetId="5">#REF!</definedName>
    <definedName name="Index" localSheetId="14">#REF!</definedName>
    <definedName name="index">#REF!</definedName>
    <definedName name="info" localSheetId="4">#REF!</definedName>
    <definedName name="info" localSheetId="5">#REF!</definedName>
    <definedName name="info">#REF!</definedName>
    <definedName name="ING">#REF!</definedName>
    <definedName name="Initials" localSheetId="4">#REF!</definedName>
    <definedName name="Initials" localSheetId="5">#REF!</definedName>
    <definedName name="Initials">#REF!</definedName>
    <definedName name="inm">#REF!</definedName>
    <definedName name="inrnew">#REF!</definedName>
    <definedName name="inrold">#REF!</definedName>
    <definedName name="INSTAL">#REF!</definedName>
    <definedName name="INT">#REF!</definedName>
    <definedName name="intang">#REF!</definedName>
    <definedName name="IntangiblesAmortisation">#REF!</definedName>
    <definedName name="intcvr">#REF!</definedName>
    <definedName name="interco">#REF!</definedName>
    <definedName name="interest_01">#REF!</definedName>
    <definedName name="interest_02">#REF!</definedName>
    <definedName name="interest_03">#REF!</definedName>
    <definedName name="interest_97">#REF!</definedName>
    <definedName name="Interest_exp_growth_fore" localSheetId="1">#REF!</definedName>
    <definedName name="Interest_exp_growth_fore">#REF!</definedName>
    <definedName name="Interest_exp_inc_fore" localSheetId="1">#REF!</definedName>
    <definedName name="Interest_exp_inc_fore">#REF!</definedName>
    <definedName name="Interest_expense">#REF!</definedName>
    <definedName name="Interest_expense_income">#REF!</definedName>
    <definedName name="Interest_income">#REF!</definedName>
    <definedName name="Interest_on_convertibles___options">#REF!</definedName>
    <definedName name="interest_yield" localSheetId="1">#REF!</definedName>
    <definedName name="interest_yield">#REF!</definedName>
    <definedName name="InterestCapitalised" localSheetId="1">#REF!</definedName>
    <definedName name="InterestCapitalised">#REF!</definedName>
    <definedName name="InterestExp">#REF!</definedName>
    <definedName name="Interim" localSheetId="1">#REF!</definedName>
    <definedName name="Interim">#REF!</definedName>
    <definedName name="intexp">#REF!</definedName>
    <definedName name="INTLD" localSheetId="1">#REF!</definedName>
    <definedName name="INTLD">#REF!</definedName>
    <definedName name="intpd">#REF!</definedName>
    <definedName name="intrec">#REF!</definedName>
    <definedName name="intresults" localSheetId="1">#REF!</definedName>
    <definedName name="intresults">#REF!</definedName>
    <definedName name="IntSens" localSheetId="1">#REF!</definedName>
    <definedName name="IntSens">#REF!</definedName>
    <definedName name="Inv" localSheetId="1">#REF!</definedName>
    <definedName name="Inv">#REF!</definedName>
    <definedName name="inventories" localSheetId="14">#REF!</definedName>
    <definedName name="Inventories">#REF!</definedName>
    <definedName name="Inventory_growth_fore" localSheetId="1">#REF!</definedName>
    <definedName name="Inventory_growth_fore">#REF!</definedName>
    <definedName name="invest">#REF!</definedName>
    <definedName name="Invested_capital">#REF!</definedName>
    <definedName name="Invested_capital_DCF">#REF!</definedName>
    <definedName name="Invested_capital_growth_fore" localSheetId="1">#REF!</definedName>
    <definedName name="Invested_capital_growth_fore">#REF!</definedName>
    <definedName name="Invested_capital_turns">#REF!</definedName>
    <definedName name="Invested_capital_turns_DCF">#REF!</definedName>
    <definedName name="Invested_capital_turns_fore" localSheetId="1">#REF!</definedName>
    <definedName name="Invested_capital_turns_fore">#REF!</definedName>
    <definedName name="InvestedCapital" localSheetId="1">#REF!</definedName>
    <definedName name="InvestedCapital">#REF!</definedName>
    <definedName name="Investment_in_fixed_assets">#REF!</definedName>
    <definedName name="Investment_Intelligence">#REF!</definedName>
    <definedName name="IOPS" localSheetId="1">#REF!</definedName>
    <definedName name="IOPS">#REF!</definedName>
    <definedName name="ios">#REF!</definedName>
    <definedName name="ip1_">#REF!</definedName>
    <definedName name="ip2_">#REF!</definedName>
    <definedName name="ip3_">#REF!</definedName>
    <definedName name="ip4_">#REF!</definedName>
    <definedName name="ip5_">#REF!</definedName>
    <definedName name="IPM">#REF!</definedName>
    <definedName name="ipoprice">#REF!</definedName>
    <definedName name="ipr">#REF!</definedName>
    <definedName name="ipu">#REF!</definedName>
    <definedName name="ipv">#REF!</definedName>
    <definedName name="ira">#REF!</definedName>
    <definedName name="irc">#REF!</definedName>
    <definedName name="ire">#REF!</definedName>
    <definedName name="irf">#REF!</definedName>
    <definedName name="irg">#REF!</definedName>
    <definedName name="irgList">#REF!</definedName>
    <definedName name="irp">#REF!</definedName>
    <definedName name="is_bkcanada">#REF!</definedName>
    <definedName name="is_holdbin">#REF!</definedName>
    <definedName name="is_Saudi">#REF!</definedName>
    <definedName name="is1_">#REF!</definedName>
    <definedName name="is2_">#REF!</definedName>
    <definedName name="is3_">#REF!</definedName>
    <definedName name="is4_">#REF!</definedName>
    <definedName name="is5_">#REF!</definedName>
    <definedName name="isb">#REF!</definedName>
    <definedName name="isc">#REF!</definedName>
    <definedName name="ise">#REF!</definedName>
    <definedName name="isf">#REF!</definedName>
    <definedName name="ishares">#REF!</definedName>
    <definedName name="isi">#REF!</definedName>
    <definedName name="isl" localSheetId="1">#REF!</definedName>
    <definedName name="isl">#REF!</definedName>
    <definedName name="ismarine" localSheetId="1">#REF!</definedName>
    <definedName name="ismarine">#REF!</definedName>
    <definedName name="isn" localSheetId="1">#REF!</definedName>
    <definedName name="isn">#REF!</definedName>
    <definedName name="ist">#REF!</definedName>
    <definedName name="Italy">#REF!</definedName>
    <definedName name="Italy_w">#REF!</definedName>
    <definedName name="iub" localSheetId="1">#REF!</definedName>
    <definedName name="iub">#REF!</definedName>
    <definedName name="iue" localSheetId="1">#REF!</definedName>
    <definedName name="iue">#REF!</definedName>
    <definedName name="iuesymbol">"US¢"</definedName>
    <definedName name="iun">#REF!</definedName>
    <definedName name="iunsymbol">"US$m"</definedName>
    <definedName name="ius">#REF!</definedName>
    <definedName name="iusSymbol">#REF!</definedName>
    <definedName name="iva">#REF!</definedName>
    <definedName name="ivr">#REF!</definedName>
    <definedName name="iwb">#REF!</definedName>
    <definedName name="j">#REF!</definedName>
    <definedName name="JHF" localSheetId="1">#REF!</definedName>
    <definedName name="JHF">#REF!</definedName>
    <definedName name="JNC" localSheetId="1">#REF!</definedName>
    <definedName name="JNC">#REF!</definedName>
    <definedName name="JP" localSheetId="1">#REF!</definedName>
    <definedName name="JP">#REF!</definedName>
    <definedName name="jpynew">#REF!</definedName>
    <definedName name="jpyold">#REF!</definedName>
    <definedName name="k">#REF!</definedName>
    <definedName name="Kd">#REF!</definedName>
    <definedName name="Ke" localSheetId="9">#REF!</definedName>
    <definedName name="Ke" localSheetId="14">#REF!</definedName>
    <definedName name="kE">#REF!</definedName>
    <definedName name="KEYFINRATIOS" localSheetId="4">#REF!</definedName>
    <definedName name="KEYFINRATIOS" localSheetId="5">#REF!</definedName>
    <definedName name="KEYFINRATIOS" localSheetId="1">#REF!</definedName>
    <definedName name="KEYFINRATIOS">#REF!</definedName>
    <definedName name="KeyProj">#REF!</definedName>
    <definedName name="keyprojn">#REF!</definedName>
    <definedName name="KKK">#REF!</definedName>
    <definedName name="kospifxfactor" localSheetId="1">#REF!</definedName>
    <definedName name="kospifxfactor">#REF!</definedName>
    <definedName name="kospinew" localSheetId="1">#REF!</definedName>
    <definedName name="kospinew">#REF!</definedName>
    <definedName name="kospiold" localSheetId="1">#REF!</definedName>
    <definedName name="kospiold">#REF!</definedName>
    <definedName name="krwnew">#REF!</definedName>
    <definedName name="krwold">#REF!</definedName>
    <definedName name="KTABLEA" localSheetId="4">#REF!</definedName>
    <definedName name="KTABLEA">#REF!</definedName>
    <definedName name="l">#REF!</definedName>
    <definedName name="L_ACQEXP" localSheetId="1">#REF!</definedName>
    <definedName name="L_ACQEXP">#REF!</definedName>
    <definedName name="L_ALL_002570.SZ" localSheetId="1">#REF!</definedName>
    <definedName name="L_ALL_002570.SZ">#REF!</definedName>
    <definedName name="L_ALL_002891.SZ">#REF!</definedName>
    <definedName name="L_ALL_0220.HK">#REF!</definedName>
    <definedName name="L_ALL_0322.HK">#REF!</definedName>
    <definedName name="L_ALL_3799.HK" localSheetId="1">#REF!</definedName>
    <definedName name="L_ALL_3799.HK">#REF!</definedName>
    <definedName name="L_ALL_600054.SS" localSheetId="1">#REF!</definedName>
    <definedName name="L_ALL_600054.SS">#REF!</definedName>
    <definedName name="L_ALL_600872.SS">#REF!</definedName>
    <definedName name="L_ALL_600887.SS" localSheetId="1">#REF!</definedName>
    <definedName name="L_ALL_600887.SS">#REF!</definedName>
    <definedName name="L_ALL_603288.SS">#REF!</definedName>
    <definedName name="L_ALL_605499.SS">#REF!</definedName>
    <definedName name="L_ALL_KEYWORDS_TYPE_Breakdown_EQTY_200008062" localSheetId="1">#REF!</definedName>
    <definedName name="L_ALL_KEYWORDS_TYPE_Breakdown_EQTY_200008062">#REF!</definedName>
    <definedName name="L_ALL_KEYWORDS_TYPE_Breakdown_EQTY_200012577" localSheetId="1">#REF!</definedName>
    <definedName name="L_ALL_KEYWORDS_TYPE_Breakdown_EQTY_200012577">#REF!</definedName>
    <definedName name="L_ALL_KEYWORDS_TYPE_Breakdown_EQTY_200015373" localSheetId="1">#REF!</definedName>
    <definedName name="L_ALL_KEYWORDS_TYPE_Breakdown_EQTY_200015373">#REF!</definedName>
    <definedName name="L_ALL_KEYWORDS_TYPE_ScalarContributed_EQTY_200008062" localSheetId="1">#REF!,#REF!</definedName>
    <definedName name="L_ALL_KEYWORDS_TYPE_ScalarContributed_EQTY_200008062">#REF!,#REF!</definedName>
    <definedName name="L_ALL_KEYWORDS_TYPE_ScalarContributed_EQTY_200011454">#REF!,#REF!</definedName>
    <definedName name="L_ALL_KEYWORDS_TYPE_ScalarContributed_EQTY_200012577" localSheetId="1">#REF!,#REF!</definedName>
    <definedName name="L_ALL_KEYWORDS_TYPE_ScalarContributed_EQTY_200012577">#REF!,#REF!</definedName>
    <definedName name="L_ALL_KEYWORDS_TYPE_ScalarContributed_EQTY_200014158">#REF!,#REF!</definedName>
    <definedName name="L_ALL_KEYWORDS_TYPE_ScalarContributed_EQTY_200015373" localSheetId="1">#REF!,#REF!</definedName>
    <definedName name="L_ALL_KEYWORDS_TYPE_ScalarContributed_EQTY_200015373">#REF!,#REF!</definedName>
    <definedName name="L_ALL_KEYWORDS_TYPE_ScalarContributed_EQTY_200015981">#REF!,#REF!</definedName>
    <definedName name="L_ALL_KEYWORDS_TYPE_ScalarContributed_ISSR_208010849">#REF!,#REF!</definedName>
    <definedName name="L_ALL_KEYWORDS_TYPE_ScalarReference_EQTY_200008062" localSheetId="1">#REF!</definedName>
    <definedName name="L_ALL_KEYWORDS_TYPE_ScalarReference_EQTY_200008062">#REF!</definedName>
    <definedName name="L_ALL_KEYWORDS_TYPE_ScalarReference_EQTY_200012577" localSheetId="1">#REF!</definedName>
    <definedName name="L_ALL_KEYWORDS_TYPE_ScalarReference_EQTY_200012577">#REF!</definedName>
    <definedName name="L_ALL_KEYWORDS_TYPE_ScalarReference_EQTY_200015373" localSheetId="1">#REF!</definedName>
    <definedName name="L_ALL_KEYWORDS_TYPE_ScalarReference_EQTY_200015373">#REF!</definedName>
    <definedName name="L_ALL_KEYWORDS_TYPE_ScalarReference_EQTY_200015981">#REF!</definedName>
    <definedName name="L_ALL_KEYWORDS_TYPE_ScalarReference_ISSR_208006264" localSheetId="1">#REF!</definedName>
    <definedName name="L_ALL_KEYWORDS_TYPE_ScalarReference_ISSR_208006264">#REF!</definedName>
    <definedName name="L_ALL_KEYWORDS_TYPE_ScalarReference_ISSR_208009569" localSheetId="1">#REF!</definedName>
    <definedName name="L_ALL_KEYWORDS_TYPE_ScalarReference_ISSR_208009569">#REF!</definedName>
    <definedName name="L_ALL_KEYWORDS_TYPE_ScalarReference_ISSR_208012915" localSheetId="1">#REF!</definedName>
    <definedName name="L_ALL_KEYWORDS_TYPE_ScalarReference_ISSR_208012915">#REF!</definedName>
    <definedName name="L_ALL_KEYWORDS_TYPE_Vector_EQTY_200008062" localSheetId="1">#REF!,#REF!,#REF!,#REF!,#REF!</definedName>
    <definedName name="L_ALL_KEYWORDS_TYPE_Vector_EQTY_200008062">#REF!,#REF!,#REF!,#REF!,#REF!</definedName>
    <definedName name="L_ALL_KEYWORDS_TYPE_Vector_EQTY_200011454">#REF!,#REF!,#REF!,#REF!,#REF!</definedName>
    <definedName name="L_ALL_KEYWORDS_TYPE_Vector_EQTY_200012577" localSheetId="1">#REF!,#REF!,#REF!,#REF!,#REF!</definedName>
    <definedName name="L_ALL_KEYWORDS_TYPE_Vector_EQTY_200012577">#REF!,#REF!,#REF!,#REF!,#REF!</definedName>
    <definedName name="L_ALL_KEYWORDS_TYPE_Vector_EQTY_200014158">#REF!,#REF!,#REF!,#REF!,#REF!</definedName>
    <definedName name="L_ALL_KEYWORDS_TYPE_Vector_EQTY_200015373" localSheetId="1">#REF!,#REF!,#REF!,#REF!,#REF!</definedName>
    <definedName name="L_ALL_KEYWORDS_TYPE_Vector_EQTY_200015373">#REF!,#REF!,#REF!,#REF!,#REF!</definedName>
    <definedName name="L_ALL_KEYWORDS_TYPE_Vector_EQTY_200015981">#REF!,#REF!,#REF!,#REF!,#REF!</definedName>
    <definedName name="L_ALL_KEYWORDS_TYPE_Vector_EQTY_200016726">#REF!,#REF!,#REF!,#REF!,#REF!</definedName>
    <definedName name="L_ALL_KEYWORDS_TYPE_Vector_EQTY_200016740" localSheetId="1">#REF!,#REF!,#REF!,#REF!,#REF!</definedName>
    <definedName name="L_ALL_KEYWORDS_TYPE_Vector_EQTY_200019345" localSheetId="1">#REF!,#REF!,#REF!,#REF!,#REF!</definedName>
    <definedName name="L_ALL_KEYWORDS_TYPE_Vector_EQTY_200019345">#REF!,#REF!,#REF!,#REF!,#REF!</definedName>
    <definedName name="L_ALL_KEYWORDS_TYPE_Vector_ISSR_208006264" localSheetId="1">#REF!,#REF!,#REF!,#REF!,#REF!,#REF!,#REF!,#REF!,#REF!,#REF!,#REF!,#REF!,#REF!,#REF!</definedName>
    <definedName name="L_ALL_KEYWORDS_TYPE_Vector_ISSR_208006264">#REF!,#REF!,#REF!,#REF!,#REF!,#REF!,#REF!,#REF!,#REF!,#REF!,#REF!,#REF!,#REF!,#REF!</definedName>
    <definedName name="L_ALL_KEYWORDS_TYPE_Vector_ISSR_208008749">#REF!,#REF!,#REF!,#REF!,#REF!,#REF!,#REF!,#REF!,#REF!,#REF!,#REF!,#REF!,#REF!,#REF!,#REF!</definedName>
    <definedName name="L_ALL_KEYWORDS_TYPE_Vector_ISSR_208009569" localSheetId="1">#REF!,#REF!,#REF!,#REF!,#REF!,#REF!,#REF!,#REF!,#REF!,#REF!,#REF!,#REF!,#REF!,#REF!</definedName>
    <definedName name="L_ALL_KEYWORDS_TYPE_Vector_ISSR_208009569">#REF!,#REF!,#REF!,#REF!,#REF!,#REF!,#REF!,#REF!,#REF!,#REF!,#REF!,#REF!,#REF!,#REF!</definedName>
    <definedName name="L_ALL_KEYWORDS_TYPE_Vector_ISSR_208010849">#REF!,#REF!,#REF!,#REF!,#REF!,#REF!,#REF!,#REF!,#REF!,#REF!,#REF!,#REF!,#REF!,#REF!,#REF!,#REF!,#REF!,#REF!,#REF!</definedName>
    <definedName name="L_ALL_KEYWORDS_TYPE_Vector_ISSR_208012915" localSheetId="1">#REF!,#REF!,#REF!,#REF!,#REF!,#REF!,#REF!,#REF!,#REF!,#REF!,#REF!,#REF!,#REF!,#REF!</definedName>
    <definedName name="L_ALL_KEYWORDS_TYPE_Vector_ISSR_208012915">#REF!,#REF!,#REF!,#REF!,#REF!,#REF!,#REF!,#REF!,#REF!,#REF!,#REF!,#REF!,#REF!,#REF!</definedName>
    <definedName name="L_ALL_KEYWORDS_TYPE_Vector_ISSR_208017703" localSheetId="1">#REF!,#REF!,#REF!,#REF!,#REF!,#REF!,#REF!,#REF!,#REF!,#REF!,#REF!,#REF!</definedName>
    <definedName name="L_ALL_KEYWORDS_TYPE_Vector_ISSR_208017703">#REF!,#REF!,#REF!,#REF!,#REF!,#REF!,#REF!,#REF!,#REF!,#REF!,#REF!,#REF!</definedName>
    <definedName name="L_ALL_PERIODS_002570.SZ" localSheetId="1">#REF!</definedName>
    <definedName name="L_ALL_PERIODS_002570.SZ">#REF!</definedName>
    <definedName name="L_ALL_PERIODS_600054.SS" localSheetId="1">#REF!</definedName>
    <definedName name="L_ALL_PERIODS_600054.SS">#REF!</definedName>
    <definedName name="L_ALL_PERIODS_600887.SS" localSheetId="1">#REF!</definedName>
    <definedName name="L_ALL_PERIODS_600887.SS">#REF!</definedName>
    <definedName name="L_ALL_SECTION_KEYWORDS_EQTY_200008062_1314" localSheetId="1">#REF!</definedName>
    <definedName name="L_ALL_SECTION_KEYWORDS_EQTY_200008062_1314">#REF!</definedName>
    <definedName name="L_ALL_SECTION_KEYWORDS_EQTY_200008062_131E" localSheetId="1">#REF!</definedName>
    <definedName name="L_ALL_SECTION_KEYWORDS_EQTY_200008062_131E">#REF!</definedName>
    <definedName name="L_ALL_SECTION_KEYWORDS_EQTY_200008062_131O" localSheetId="1">#REF!</definedName>
    <definedName name="L_ALL_SECTION_KEYWORDS_EQTY_200008062_131O">#REF!</definedName>
    <definedName name="L_ALL_SECTION_KEYWORDS_EQTY_200008062_13A">#REF!</definedName>
    <definedName name="L_ALL_SECTION_KEYWORDS_EQTY_200008062_13K">#REF!</definedName>
    <definedName name="L_ALL_SECTION_KEYWORDS_EQTY_200008062_13U">#REF!</definedName>
    <definedName name="L_ALL_SECTION_KEYWORDS_EQTY_200008062_13V">#REF!</definedName>
    <definedName name="L_ALL_SECTION_KEYWORDS_EQTY_200008062_Reference_Data">#REF!</definedName>
    <definedName name="L_ALL_SECTION_KEYWORDS_EQTY_200012577_1314">#REF!</definedName>
    <definedName name="L_ALL_SECTION_KEYWORDS_EQTY_200012577_131E">#REF!</definedName>
    <definedName name="L_ALL_SECTION_KEYWORDS_EQTY_200012577_131O">#REF!</definedName>
    <definedName name="L_ALL_SECTION_KEYWORDS_EQTY_200012577_13A">#REF!</definedName>
    <definedName name="L_ALL_SECTION_KEYWORDS_EQTY_200012577_13K">#REF!</definedName>
    <definedName name="L_ALL_SECTION_KEYWORDS_EQTY_200012577_13U">#REF!</definedName>
    <definedName name="L_ALL_SECTION_KEYWORDS_EQTY_200012577_13V">#REF!</definedName>
    <definedName name="L_ALL_SECTION_KEYWORDS_EQTY_200012577_Reference_Data">#REF!</definedName>
    <definedName name="L_ALL_SECTION_KEYWORDS_EQTY_200015373_1314">#REF!</definedName>
    <definedName name="L_ALL_SECTION_KEYWORDS_EQTY_200015373_131E">#REF!</definedName>
    <definedName name="L_ALL_SECTION_KEYWORDS_EQTY_200015373_131O">#REF!</definedName>
    <definedName name="L_ALL_SECTION_KEYWORDS_EQTY_200015373_13A">#REF!</definedName>
    <definedName name="L_ALL_SECTION_KEYWORDS_EQTY_200015373_13K">#REF!</definedName>
    <definedName name="L_ALL_SECTION_KEYWORDS_EQTY_200015373_13U">#REF!</definedName>
    <definedName name="L_ALL_SECTION_KEYWORDS_EQTY_200015373_13V">#REF!</definedName>
    <definedName name="L_ALL_SECTION_KEYWORDS_EQTY_200015373_Reference_Data">#REF!</definedName>
    <definedName name="L_ALL_SECTION_KEYWORDS_EQTY_200015981_1314">#REF!</definedName>
    <definedName name="L_ALL_SECTION_KEYWORDS_EQTY_200015981_131E">#REF!</definedName>
    <definedName name="L_ALL_SECTION_KEYWORDS_EQTY_200015981_131O">#REF!</definedName>
    <definedName name="L_ALL_SECTION_KEYWORDS_EQTY_200015981_13A">#REF!</definedName>
    <definedName name="L_ALL_SECTION_KEYWORDS_EQTY_200015981_13K">#REF!</definedName>
    <definedName name="L_ALL_SECTION_KEYWORDS_EQTY_200015981_13U">#REF!</definedName>
    <definedName name="L_ALL_SECTION_KEYWORDS_EQTY_200015981_13V">#REF!</definedName>
    <definedName name="L_ALL_SECTION_KEYWORDS_EQTY_200015981_Reference_Data">#REF!</definedName>
    <definedName name="L_ALL_SECTION_KEYWORDS_ISSR_208006264_1314" localSheetId="1">#REF!</definedName>
    <definedName name="L_ALL_SECTION_KEYWORDS_ISSR_208006264_1314">#REF!</definedName>
    <definedName name="L_ALL_SECTION_KEYWORDS_ISSR_208006264_13168" localSheetId="1">#REF!</definedName>
    <definedName name="L_ALL_SECTION_KEYWORDS_ISSR_208006264_13168">#REF!</definedName>
    <definedName name="L_ALL_SECTION_KEYWORDS_ISSR_208006264_1316S" localSheetId="1">#REF!</definedName>
    <definedName name="L_ALL_SECTION_KEYWORDS_ISSR_208006264_1316S">#REF!</definedName>
    <definedName name="L_ALL_SECTION_KEYWORDS_ISSR_208006264_1316T">#REF!</definedName>
    <definedName name="L_ALL_SECTION_KEYWORDS_ISSR_208006264_1316U">#REF!</definedName>
    <definedName name="L_ALL_SECTION_KEYWORDS_ISSR_208006264_13171">#REF!</definedName>
    <definedName name="L_ALL_SECTION_KEYWORDS_ISSR_208006264_13172">#REF!</definedName>
    <definedName name="L_ALL_SECTION_KEYWORDS_ISSR_208006264_1319">#REF!</definedName>
    <definedName name="L_ALL_SECTION_KEYWORDS_ISSR_208006264_131E">#REF!</definedName>
    <definedName name="L_ALL_SECTION_KEYWORDS_ISSR_208006264_131J">#REF!</definedName>
    <definedName name="L_ALL_SECTION_KEYWORDS_ISSR_208006264_131O">#REF!</definedName>
    <definedName name="L_ALL_SECTION_KEYWORDS_ISSR_208006264_13U">#REF!</definedName>
    <definedName name="L_ALL_SECTION_KEYWORDS_ISSR_208006264_13V">#REF!</definedName>
    <definedName name="L_ALL_SECTION_KEYWORDS_ISSR_208006264_Reference_Data">#REF!</definedName>
    <definedName name="L_ALL_SECTION_KEYWORDS_ISSR_208009569_1314">#REF!</definedName>
    <definedName name="L_ALL_SECTION_KEYWORDS_ISSR_208009569_13168">#REF!</definedName>
    <definedName name="L_ALL_SECTION_KEYWORDS_ISSR_208009569_1316U">#REF!</definedName>
    <definedName name="L_ALL_SECTION_KEYWORDS_ISSR_208009569_1319">#REF!</definedName>
    <definedName name="L_ALL_SECTION_KEYWORDS_ISSR_208009569_131E">#REF!</definedName>
    <definedName name="L_ALL_SECTION_KEYWORDS_ISSR_208009569_131J">#REF!</definedName>
    <definedName name="L_ALL_SECTION_KEYWORDS_ISSR_208009569_131O">#REF!</definedName>
    <definedName name="L_ALL_SECTION_KEYWORDS_ISSR_208009569_13U">#REF!</definedName>
    <definedName name="L_ALL_SECTION_KEYWORDS_ISSR_208009569_13V">#REF!</definedName>
    <definedName name="L_ALL_SECTION_KEYWORDS_ISSR_208009569_Reference_Data">#REF!</definedName>
    <definedName name="L_ALL_SECTION_KEYWORDS_ISSR_208010849_13V">#REF!,#REF!</definedName>
    <definedName name="L_ALL_SECTION_KEYWORDS_ISSR_208012915_1314">#REF!</definedName>
    <definedName name="L_ALL_SECTION_KEYWORDS_ISSR_208012915_13168">#REF!</definedName>
    <definedName name="L_ALL_SECTION_KEYWORDS_ISSR_208012915_1316S">#REF!</definedName>
    <definedName name="L_ALL_SECTION_KEYWORDS_ISSR_208012915_1316T">#REF!</definedName>
    <definedName name="L_ALL_SECTION_KEYWORDS_ISSR_208012915_1316U">#REF!</definedName>
    <definedName name="L_ALL_SECTION_KEYWORDS_ISSR_208012915_13171">#REF!</definedName>
    <definedName name="L_ALL_SECTION_KEYWORDS_ISSR_208012915_13172">#REF!</definedName>
    <definedName name="L_ALL_SECTION_KEYWORDS_ISSR_208012915_1319">#REF!</definedName>
    <definedName name="L_ALL_SECTION_KEYWORDS_ISSR_208012915_131E">#REF!</definedName>
    <definedName name="L_ALL_SECTION_KEYWORDS_ISSR_208012915_131J">#REF!</definedName>
    <definedName name="L_ALL_SECTION_KEYWORDS_ISSR_208012915_131O">#REF!</definedName>
    <definedName name="L_ALL_SECTION_KEYWORDS_ISSR_208012915_13U">#REF!</definedName>
    <definedName name="L_ALL_SECTION_KEYWORDS_ISSR_208012915_13V">#REF!</definedName>
    <definedName name="L_ALL_SECTION_KEYWORDS_ISSR_208012915_Reference_Data">#REF!</definedName>
    <definedName name="L_ALL_SECTION_KEYWORDS_ISSR_208017703_136E" localSheetId="1">#REF!,#REF!</definedName>
    <definedName name="L_ALL_SECTION_KEYWORDS_ISSR_208017703_136E">#REF!,#REF!</definedName>
    <definedName name="L_ALL_SECTION_KEYWORDS_ISSR_208017703_136J" localSheetId="1">#REF!,#REF!</definedName>
    <definedName name="L_ALL_SECTION_KEYWORDS_ISSR_208017703_136J">#REF!,#REF!</definedName>
    <definedName name="L_ALL_SECTIONS_EQTY_200008062" localSheetId="1">#REF!,#REF!,#REF!,#REF!,#REF!,#REF!,#REF!,#REF!</definedName>
    <definedName name="L_ALL_SECTIONS_EQTY_200008062">#REF!,#REF!,#REF!,#REF!,#REF!,#REF!,#REF!,#REF!</definedName>
    <definedName name="L_ALL_SECTIONS_EQTY_200011454">#REF!,#REF!,#REF!,#REF!,#REF!,#REF!,#REF!,#REF!</definedName>
    <definedName name="L_ALL_SECTIONS_EQTY_200012577" localSheetId="1">#REF!,#REF!,#REF!,#REF!,#REF!,#REF!,#REF!,#REF!</definedName>
    <definedName name="L_ALL_SECTIONS_EQTY_200012577">#REF!,#REF!,#REF!,#REF!,#REF!,#REF!,#REF!,#REF!</definedName>
    <definedName name="L_ALL_SECTIONS_EQTY_200015373" localSheetId="1">#REF!,#REF!,#REF!,#REF!,#REF!,#REF!,#REF!,#REF!</definedName>
    <definedName name="L_ALL_SECTIONS_EQTY_200015373">#REF!,#REF!,#REF!,#REF!,#REF!,#REF!,#REF!,#REF!</definedName>
    <definedName name="L_ALL_SECTIONS_EQTY_200015981">#REF!,#REF!,#REF!,#REF!,#REF!,#REF!,#REF!,#REF!</definedName>
    <definedName name="L_ALL_SECTIONS_EQTY_200019345" localSheetId="1">#REF!,#REF!,#REF!,#REF!,#REF!,#REF!,#REF!,#REF!</definedName>
    <definedName name="L_ALL_SECTIONS_EQTY_200019345">#REF!,#REF!,#REF!,#REF!,#REF!,#REF!,#REF!,#REF!</definedName>
    <definedName name="L_ALL_SECTIONS_ISSR_208006264" localSheetId="1">#REF!,#REF!,#REF!,#REF!,#REF!,#REF!,#REF!,#REF!,#REF!,#REF!,#REF!,#REF!,#REF!,#REF!</definedName>
    <definedName name="L_ALL_SECTIONS_ISSR_208006264">#REF!,#REF!,#REF!,#REF!,#REF!,#REF!,#REF!,#REF!,#REF!,#REF!,#REF!,#REF!,#REF!,#REF!</definedName>
    <definedName name="L_ALL_SECTIONS_ISSR_208008749">#REF!,#REF!,#REF!,#REF!,#REF!,#REF!,#REF!,#REF!,#REF!,#REF!,#REF!,#REF!,#REF!,#REF!,#REF!</definedName>
    <definedName name="L_ALL_SECTIONS_ISSR_208009569" localSheetId="1">#REF!,#REF!,#REF!,#REF!,#REF!,#REF!,#REF!,#REF!,#REF!,#REF!</definedName>
    <definedName name="L_ALL_SECTIONS_ISSR_208009569">#REF!,#REF!,#REF!,#REF!,#REF!,#REF!,#REF!,#REF!,#REF!,#REF!</definedName>
    <definedName name="L_ALL_SECTIONS_ISSR_208012915" localSheetId="1">#REF!,#REF!,#REF!,#REF!,#REF!,#REF!,#REF!,#REF!,#REF!,#REF!,#REF!,#REF!,#REF!,#REF!</definedName>
    <definedName name="L_ALL_SECTIONS_ISSR_208012915">#REF!,#REF!,#REF!,#REF!,#REF!,#REF!,#REF!,#REF!,#REF!,#REF!,#REF!,#REF!,#REF!,#REF!</definedName>
    <definedName name="L_APE" localSheetId="1">#REF!</definedName>
    <definedName name="L_APE">#REF!</definedName>
    <definedName name="L_ASSCH" localSheetId="1">#REF!</definedName>
    <definedName name="L_ASSCH">#REF!</definedName>
    <definedName name="L_CLAIMS">#REF!</definedName>
    <definedName name="L_CURRENCY_EQTY_200008062_PRI">#REF!</definedName>
    <definedName name="L_CURRENCY_EQTY_200008062_PUB">#REF!</definedName>
    <definedName name="L_CURRENCY_EQTY_200008062_REP">#REF!</definedName>
    <definedName name="L_CURRENCY_EQTY_200011454_PRI">#REF!</definedName>
    <definedName name="L_CURRENCY_EQTY_200011454_PUB">#REF!</definedName>
    <definedName name="L_CURRENCY_EQTY_200011454_REP">#REF!</definedName>
    <definedName name="L_CURRENCY_EQTY_200012577_PRI">#REF!</definedName>
    <definedName name="L_CURRENCY_EQTY_200012577_PUB">#REF!</definedName>
    <definedName name="L_CURRENCY_EQTY_200012577_REP">#REF!</definedName>
    <definedName name="L_CURRENCY_EQTY_200015373_PRI">#REF!</definedName>
    <definedName name="L_CURRENCY_EQTY_200015373_PUB">#REF!</definedName>
    <definedName name="L_CURRENCY_EQTY_200015373_REP">#REF!</definedName>
    <definedName name="L_CURRENCY_EQTY_200015981_PRI">#REF!</definedName>
    <definedName name="L_CURRENCY_EQTY_200015981_PUB">#REF!</definedName>
    <definedName name="L_CURRENCY_EQTY_200015981_REP">#REF!</definedName>
    <definedName name="L_CURRENCY_EQTY_200019345_PRI" localSheetId="1">#REF!</definedName>
    <definedName name="L_CURRENCY_EQTY_200019345_PRI">#REF!</definedName>
    <definedName name="L_CURRENCY_EQTY_200019345_PUB" localSheetId="1">#REF!</definedName>
    <definedName name="L_CURRENCY_EQTY_200019345_PUB">#REF!</definedName>
    <definedName name="L_CURRENCY_EQTY_200019345_REP" localSheetId="1">#REF!</definedName>
    <definedName name="L_CURRENCY_EQTY_200019345_REP">#REF!</definedName>
    <definedName name="L_CURRENCY_ISSR_208006264_REP" localSheetId="1">#REF!</definedName>
    <definedName name="L_CURRENCY_ISSR_208006264_REP">#REF!</definedName>
    <definedName name="L_CURRENCY_ISSR_208008749_REP">#REF!</definedName>
    <definedName name="L_CURRENCY_ISSR_208009569_REP" localSheetId="1">#REF!</definedName>
    <definedName name="L_CURRENCY_ISSR_208009569_REP">#REF!</definedName>
    <definedName name="L_CURRENCY_ISSR_208012915_REP" localSheetId="1">#REF!</definedName>
    <definedName name="L_CURRENCY_ISSR_208012915_REP">#REF!</definedName>
    <definedName name="L_CURRENCY_ISSR_208017703_REP" localSheetId="1">#REF!</definedName>
    <definedName name="L_CURRENCY_ISSR_208017703_REP">#REF!</definedName>
    <definedName name="L_DAC" localSheetId="1">#REF!</definedName>
    <definedName name="L_DAC">#REF!</definedName>
    <definedName name="L_ENTITY_DATA_EQTY_200008062" localSheetId="1">#REF!</definedName>
    <definedName name="L_ENTITY_DATA_EQTY_200008062">#REF!</definedName>
    <definedName name="L_ENTITY_DATA_EQTY_200012577" localSheetId="1">#REF!</definedName>
    <definedName name="L_ENTITY_DATA_EQTY_200012577">#REF!</definedName>
    <definedName name="L_ENTITY_DATA_EQTY_200015373">#REF!</definedName>
    <definedName name="L_ENTITY_DATA_EQTY_200015981">#REF!</definedName>
    <definedName name="L_ENTITY_DATA_ISSR_208006264" localSheetId="1">#REF!</definedName>
    <definedName name="L_ENTITY_DATA_ISSR_208006264">#REF!</definedName>
    <definedName name="L_ENTITY_DATA_ISSR_208009569" localSheetId="1">#REF!</definedName>
    <definedName name="L_ENTITY_DATA_ISSR_208009569">#REF!</definedName>
    <definedName name="L_ENTITY_DATA_ISSR_208012915" localSheetId="1">#REF!</definedName>
    <definedName name="L_ENTITY_DATA_ISSR_208012915">#REF!</definedName>
    <definedName name="L_EVTAXRAT" localSheetId="1">#REF!</definedName>
    <definedName name="L_EVTAXRAT">#REF!</definedName>
    <definedName name="L_EXPRAT" localSheetId="1">#REF!</definedName>
    <definedName name="L_EXPRAT">#REF!</definedName>
    <definedName name="L_FINVAR" localSheetId="1">#REF!</definedName>
    <definedName name="L_FINVAR">#REF!</definedName>
    <definedName name="L_GWP_DOM">#REF!</definedName>
    <definedName name="L_GWP_EUR">#REF!</definedName>
    <definedName name="L_GWP_LA">#REF!</definedName>
    <definedName name="L_GWP_NA">#REF!</definedName>
    <definedName name="L_GWP_OTH">#REF!</definedName>
    <definedName name="L_GWP_PDOM">#REF!</definedName>
    <definedName name="L_GWP_PEUR">#REF!</definedName>
    <definedName name="L_GWP_PLA">#REF!</definedName>
    <definedName name="L_GWP_PNA">#REF!</definedName>
    <definedName name="L_GWP_POTH">#REF!</definedName>
    <definedName name="L_INVYLD">#REF!</definedName>
    <definedName name="L_KEYWORD_EQTY_200008062_ACT1">#REF!</definedName>
    <definedName name="L_KEYWORD_EQTY_200008062_ACT2">#REF!</definedName>
    <definedName name="L_KEYWORD_EQTY_200008062_AEJ_CONVICTION">#REF!</definedName>
    <definedName name="L_KEYWORD_EQTY_200008062_AEJ_LIST">#REF!</definedName>
    <definedName name="L_KEYWORD_EQTY_200008062_BETA_ANALYST">#REF!</definedName>
    <definedName name="L_KEYWORD_EQTY_200008062_BVPS">#REF!</definedName>
    <definedName name="L_KEYWORD_EQTY_200008062_BVPS_PUB">#REF!</definedName>
    <definedName name="L_KEYWORD_EQTY_200008062_CATALYST1_DATE">#REF!</definedName>
    <definedName name="L_KEYWORD_EQTY_200008062_CATALYST1_EVENT">#REF!</definedName>
    <definedName name="L_KEYWORD_EQTY_200008062_CATALYST2_DATE">#REF!</definedName>
    <definedName name="L_KEYWORD_EQTY_200008062_CATALYST2_EVENT">#REF!</definedName>
    <definedName name="L_KEYWORD_EQTY_200008062_CATALYST3_DATE">#REF!</definedName>
    <definedName name="L_KEYWORD_EQTY_200008062_CATALYST3_EVENT">#REF!</definedName>
    <definedName name="L_KEYWORD_EQTY_200008062_CATALYST4_DATE">#REF!</definedName>
    <definedName name="L_KEYWORD_EQTY_200008062_CATALYST4_EVENT">#REF!</definedName>
    <definedName name="L_KEYWORD_EQTY_200008062_CATALYST5_DATE">#REF!</definedName>
    <definedName name="L_KEYWORD_EQTY_200008062_CATALYST5_EVENT">#REF!</definedName>
    <definedName name="L_KEYWORD_EQTY_200008062_CF_NI_PRE_PREF">#REF!</definedName>
    <definedName name="L_KEYWORD_EQTY_200008062_COMMON_DIV_PAID">#REF!</definedName>
    <definedName name="L_KEYWORD_EQTY_200008062_CURRENCY_ISO">#REF!</definedName>
    <definedName name="L_KEYWORD_EQTY_200008062_DILUTE_SHARES">#REF!</definedName>
    <definedName name="L_KEYWORD_EQTY_200008062_DPS">#REF!</definedName>
    <definedName name="L_KEYWORD_EQTY_200008062_DPS_PUB">#REF!</definedName>
    <definedName name="L_KEYWORD_EQTY_200008062_EBIT_PUB">#REF!</definedName>
    <definedName name="L_KEYWORD_EQTY_200008062_EBITDA_PUB">#REF!</definedName>
    <definedName name="L_KEYWORD_EQTY_200008062_EPS">#REF!</definedName>
    <definedName name="L_KEYWORD_EQTY_200008062_EPS_CONS_PUB">#REF!</definedName>
    <definedName name="L_KEYWORD_EQTY_200008062_EPS_FUL_DIL">#REF!</definedName>
    <definedName name="L_KEYWORD_EQTY_200008062_EPS_POST_BASIC">#REF!</definedName>
    <definedName name="L_KEYWORD_EQTY_200008062_EPS_PUB">#REF!</definedName>
    <definedName name="L_KEYWORD_EQTY_200008062_EQ_PUB">#REF!</definedName>
    <definedName name="L_KEYWORD_EQTY_200008062_EV_ADJ_PUB">#REF!</definedName>
    <definedName name="L_KEYWORD_EQTY_200008062_FOREIGN_HOLDNG">#REF!</definedName>
    <definedName name="L_KEYWORD_EQTY_200008062_FREE_FLOAT">#REF!</definedName>
    <definedName name="L_KEYWORD_EQTY_200008062_FULLY_DIL_EPS">#REF!</definedName>
    <definedName name="L_KEYWORD_EQTY_200008062_INC_MINORITY">#REF!</definedName>
    <definedName name="L_KEYWORD_EQTY_200008062_Interim_Type">#REF!</definedName>
    <definedName name="L_KEYWORD_EQTY_200008062_LEGAL_RATING">#REF!</definedName>
    <definedName name="L_KEYWORD_EQTY_200008062_MARGIN_TAX_RATE">#REF!</definedName>
    <definedName name="L_KEYWORD_EQTY_200008062_MKT_EQ_RISK_PREM">#REF!</definedName>
    <definedName name="L_KEYWORD_EQTY_200008062_NET_DEBT_PUB">#REF!</definedName>
    <definedName name="L_KEYWORD_EQTY_200008062_NET_EARNING">#REF!</definedName>
    <definedName name="L_KEYWORD_EQTY_200008062_NET_INC">#REF!</definedName>
    <definedName name="L_KEYWORD_EQTY_200008062_NI_CONS">#REF!</definedName>
    <definedName name="L_KEYWORD_EQTY_200008062_NI_PRE_PREF">#REF!</definedName>
    <definedName name="L_KEYWORD_EQTY_200008062_NI_PUB">#REF!</definedName>
    <definedName name="L_KEYWORD_EQTY_200008062_NON_OP_ADD">#REF!</definedName>
    <definedName name="L_KEYWORD_EQTY_200008062_NUM_SH">#REF!</definedName>
    <definedName name="L_KEYWORD_EQTY_200008062_PREF_DIV">#REF!</definedName>
    <definedName name="L_KEYWORD_EQTY_200008062_PRI_TARG_METH">#REF!</definedName>
    <definedName name="L_KEYWORD_EQTY_200008062_PRI_TARG_MULT">#REF!</definedName>
    <definedName name="L_KEYWORD_EQTY_200008062_PRICE_CURRENCY_ISO">#REF!</definedName>
    <definedName name="L_KEYWORD_EQTY_200008062_PROV_INC_TAX">#REF!</definedName>
    <definedName name="L_KEYWORD_EQTY_200008062_PTP_PUB">#REF!</definedName>
    <definedName name="L_KEYWORD_EQTY_200008062_PUB_CURRENCY_ISO">#REF!</definedName>
    <definedName name="L_KEYWORD_EQTY_200008062_REVS_PUB">#REF!</definedName>
    <definedName name="L_KEYWORD_EQTY_200008062_RISK_FR_RATE">#REF!</definedName>
    <definedName name="L_KEYWORD_EQTY_200008062_Security_Name">#REF!</definedName>
    <definedName name="L_KEYWORD_EQTY_200008062_SH">#REF!</definedName>
    <definedName name="L_KEYWORD_EQTY_200008062_TARGET_PRICE">#REF!</definedName>
    <definedName name="L_KEYWORD_EQTY_200008062_TAX_EXC">#REF!</definedName>
    <definedName name="L_KEYWORD_EQTY_200008062_Ticker">#REF!</definedName>
    <definedName name="L_KEYWORD_EQTY_200008062_TP_PERIOD">#REF!</definedName>
    <definedName name="L_KEYWORD_EQTY_200012577_ACT1">#REF!</definedName>
    <definedName name="L_KEYWORD_EQTY_200012577_AEJ_CONVICTION">#REF!</definedName>
    <definedName name="L_KEYWORD_EQTY_200012577_AEJ_LIST">#REF!</definedName>
    <definedName name="L_KEYWORD_EQTY_200012577_BETA_ANALYST">#REF!</definedName>
    <definedName name="L_KEYWORD_EQTY_200012577_BVPS">#REF!</definedName>
    <definedName name="L_KEYWORD_EQTY_200012577_BVPS_PUB">#REF!</definedName>
    <definedName name="L_KEYWORD_EQTY_200012577_CATALYST1_DATE">#REF!</definedName>
    <definedName name="L_KEYWORD_EQTY_200012577_CATALYST1_EVENT">#REF!</definedName>
    <definedName name="L_KEYWORD_EQTY_200012577_CATALYST2_DATE">#REF!</definedName>
    <definedName name="L_KEYWORD_EQTY_200012577_CATALYST2_EVENT">#REF!</definedName>
    <definedName name="L_KEYWORD_EQTY_200012577_CATALYST3_DATE">#REF!</definedName>
    <definedName name="L_KEYWORD_EQTY_200012577_CATALYST3_EVENT">#REF!</definedName>
    <definedName name="L_KEYWORD_EQTY_200012577_CATALYST4_DATE">#REF!</definedName>
    <definedName name="L_KEYWORD_EQTY_200012577_CATALYST4_EVENT">#REF!</definedName>
    <definedName name="L_KEYWORD_EQTY_200012577_CATALYST5_DATE">#REF!</definedName>
    <definedName name="L_KEYWORD_EQTY_200012577_CATALYST5_EVENT">#REF!</definedName>
    <definedName name="L_KEYWORD_EQTY_200012577_CF_NI_PRE_PREF">#REF!</definedName>
    <definedName name="L_KEYWORD_EQTY_200012577_COMMON_DIV_PAID">#REF!</definedName>
    <definedName name="L_KEYWORD_EQTY_200012577_CURRENCY_ISO">#REF!</definedName>
    <definedName name="L_KEYWORD_EQTY_200012577_DILUTE_SHARES">#REF!</definedName>
    <definedName name="L_KEYWORD_EQTY_200012577_DPS">#REF!</definedName>
    <definedName name="L_KEYWORD_EQTY_200012577_DPS_PUB">#REF!</definedName>
    <definedName name="L_KEYWORD_EQTY_200012577_EBIT_PUB">#REF!</definedName>
    <definedName name="L_KEYWORD_EQTY_200012577_EBITDA_PUB">#REF!</definedName>
    <definedName name="L_KEYWORD_EQTY_200012577_EPS">#REF!</definedName>
    <definedName name="L_KEYWORD_EQTY_200012577_EPS_CONS_PUB">#REF!</definedName>
    <definedName name="L_KEYWORD_EQTY_200012577_EPS_FUL_DIL">#REF!</definedName>
    <definedName name="L_KEYWORD_EQTY_200012577_EPS_POST_BASIC">#REF!</definedName>
    <definedName name="L_KEYWORD_EQTY_200012577_EPS_PUB">#REF!</definedName>
    <definedName name="L_KEYWORD_EQTY_200012577_EQ_PUB">#REF!</definedName>
    <definedName name="L_KEYWORD_EQTY_200012577_EV_ADJ_PUB">#REF!</definedName>
    <definedName name="L_KEYWORD_EQTY_200012577_FOREIGN_HOLDNG">#REF!</definedName>
    <definedName name="L_KEYWORD_EQTY_200012577_FREE_FLOAT">#REF!</definedName>
    <definedName name="L_KEYWORD_EQTY_200012577_FULLY_DIL_EPS">#REF!</definedName>
    <definedName name="L_KEYWORD_EQTY_200012577_INC_MINORITY">#REF!</definedName>
    <definedName name="L_KEYWORD_EQTY_200012577_Interim_Type">#REF!</definedName>
    <definedName name="L_KEYWORD_EQTY_200012577_LEGAL_RATING">#REF!</definedName>
    <definedName name="L_KEYWORD_EQTY_200012577_MARGIN_TAX_RATE">#REF!</definedName>
    <definedName name="L_KEYWORD_EQTY_200012577_MKT_EQ_RISK_PREM">#REF!</definedName>
    <definedName name="L_KEYWORD_EQTY_200012577_NET_DEBT_PUB">#REF!</definedName>
    <definedName name="L_KEYWORD_EQTY_200012577_NET_EARNING">#REF!</definedName>
    <definedName name="L_KEYWORD_EQTY_200012577_NET_INC">#REF!</definedName>
    <definedName name="L_KEYWORD_EQTY_200012577_NI_CONS">#REF!</definedName>
    <definedName name="L_KEYWORD_EQTY_200012577_NI_PRE_PREF">#REF!</definedName>
    <definedName name="L_KEYWORD_EQTY_200012577_NI_PUB">#REF!</definedName>
    <definedName name="L_KEYWORD_EQTY_200012577_NON_OP_ADD">#REF!</definedName>
    <definedName name="L_KEYWORD_EQTY_200012577_NUM_SH">#REF!</definedName>
    <definedName name="L_KEYWORD_EQTY_200012577_PREF_DIV">#REF!</definedName>
    <definedName name="L_KEYWORD_EQTY_200012577_PRI_TARG_METH">#REF!</definedName>
    <definedName name="L_KEYWORD_EQTY_200012577_PRI_TARG_MULT">#REF!</definedName>
    <definedName name="L_KEYWORD_EQTY_200012577_PRICE_CURRENCY_ISO">#REF!</definedName>
    <definedName name="L_KEYWORD_EQTY_200012577_PROV_INC_TAX">#REF!</definedName>
    <definedName name="L_KEYWORD_EQTY_200012577_PTP_PUB">#REF!</definedName>
    <definedName name="L_KEYWORD_EQTY_200012577_PUB_CURRENCY_ISO">#REF!</definedName>
    <definedName name="L_KEYWORD_EQTY_200012577_REVS_PUB">#REF!</definedName>
    <definedName name="L_KEYWORD_EQTY_200012577_RISK_FR_RATE">#REF!</definedName>
    <definedName name="L_KEYWORD_EQTY_200012577_Security_Name">#REF!</definedName>
    <definedName name="L_KEYWORD_EQTY_200012577_SH">#REF!</definedName>
    <definedName name="L_KEYWORD_EQTY_200012577_TARGET_PRICE">#REF!</definedName>
    <definedName name="L_KEYWORD_EQTY_200012577_TAX_EXC">#REF!</definedName>
    <definedName name="L_KEYWORD_EQTY_200012577_Ticker">#REF!</definedName>
    <definedName name="L_KEYWORD_EQTY_200012577_TP_PERIOD">#REF!</definedName>
    <definedName name="L_KEYWORD_EQTY_200015373_ACT1">#REF!</definedName>
    <definedName name="L_KEYWORD_EQTY_200015373_AEJ_CONVICTION">#REF!</definedName>
    <definedName name="L_KEYWORD_EQTY_200015373_AEJ_LIST">#REF!</definedName>
    <definedName name="L_KEYWORD_EQTY_200015373_BETA_ANALYST">#REF!</definedName>
    <definedName name="L_KEYWORD_EQTY_200015373_BVPS">#REF!</definedName>
    <definedName name="L_KEYWORD_EQTY_200015373_BVPS_PUB">#REF!</definedName>
    <definedName name="L_KEYWORD_EQTY_200015373_CATALYST1_DATE">#REF!</definedName>
    <definedName name="L_KEYWORD_EQTY_200015373_CATALYST1_EVENT">#REF!</definedName>
    <definedName name="L_KEYWORD_EQTY_200015373_CATALYST2_DATE">#REF!</definedName>
    <definedName name="L_KEYWORD_EQTY_200015373_CATALYST2_EVENT">#REF!</definedName>
    <definedName name="L_KEYWORD_EQTY_200015373_CATALYST3_DATE">#REF!</definedName>
    <definedName name="L_KEYWORD_EQTY_200015373_CATALYST3_EVENT">#REF!</definedName>
    <definedName name="L_KEYWORD_EQTY_200015373_CATALYST4_DATE">#REF!</definedName>
    <definedName name="L_KEYWORD_EQTY_200015373_CATALYST4_EVENT">#REF!</definedName>
    <definedName name="L_KEYWORD_EQTY_200015373_CATALYST5_DATE">#REF!</definedName>
    <definedName name="L_KEYWORD_EQTY_200015373_CATALYST5_EVENT">#REF!</definedName>
    <definedName name="L_KEYWORD_EQTY_200015373_CF_NI_PRE_PREF">#REF!</definedName>
    <definedName name="L_KEYWORD_EQTY_200015373_COMMON_DIV_PAID">#REF!</definedName>
    <definedName name="L_KEYWORD_EQTY_200015373_CURRENCY_ISO">#REF!</definedName>
    <definedName name="L_KEYWORD_EQTY_200015373_DILUTE_SHARES">#REF!</definedName>
    <definedName name="L_KEYWORD_EQTY_200015373_DPS">#REF!</definedName>
    <definedName name="L_KEYWORD_EQTY_200015373_DPS_PUB">#REF!</definedName>
    <definedName name="L_KEYWORD_EQTY_200015373_EBIT_PUB">#REF!</definedName>
    <definedName name="L_KEYWORD_EQTY_200015373_EBITDA_PUB">#REF!</definedName>
    <definedName name="L_KEYWORD_EQTY_200015373_EPS">#REF!</definedName>
    <definedName name="L_KEYWORD_EQTY_200015373_EPS_CONS_PUB">#REF!</definedName>
    <definedName name="L_KEYWORD_EQTY_200015373_EPS_FUL_DIL">#REF!</definedName>
    <definedName name="L_KEYWORD_EQTY_200015373_EPS_POST_BASIC">#REF!</definedName>
    <definedName name="L_KEYWORD_EQTY_200015373_EPS_PUB">#REF!</definedName>
    <definedName name="L_KEYWORD_EQTY_200015373_EQ_PUB">#REF!</definedName>
    <definedName name="L_KEYWORD_EQTY_200015373_EV_ADJ_PUB">#REF!</definedName>
    <definedName name="L_KEYWORD_EQTY_200015373_FOREIGN_HOLDNG">#REF!</definedName>
    <definedName name="L_KEYWORD_EQTY_200015373_FREE_FLOAT">#REF!</definedName>
    <definedName name="L_KEYWORD_EQTY_200015373_FULLY_DIL_EPS">#REF!</definedName>
    <definedName name="L_KEYWORD_EQTY_200015373_INC_MINORITY">#REF!</definedName>
    <definedName name="L_KEYWORD_EQTY_200015373_Interim_Type">#REF!</definedName>
    <definedName name="L_KEYWORD_EQTY_200015373_LEGAL_RATING">#REF!</definedName>
    <definedName name="L_KEYWORD_EQTY_200015373_MARGIN_TAX_RATE">#REF!</definedName>
    <definedName name="L_KEYWORD_EQTY_200015373_MKT_EQ_RISK_PREM">#REF!</definedName>
    <definedName name="L_KEYWORD_EQTY_200015373_NET_DEBT_PUB">#REF!</definedName>
    <definedName name="L_KEYWORD_EQTY_200015373_NET_EARNING">#REF!</definedName>
    <definedName name="L_KEYWORD_EQTY_200015373_NET_INC">#REF!</definedName>
    <definedName name="L_KEYWORD_EQTY_200015373_NI_CONS">#REF!</definedName>
    <definedName name="L_KEYWORD_EQTY_200015373_NI_PRE_PREF">#REF!</definedName>
    <definedName name="L_KEYWORD_EQTY_200015373_NI_PUB">#REF!</definedName>
    <definedName name="L_KEYWORD_EQTY_200015373_NON_OP_ADD">#REF!</definedName>
    <definedName name="L_KEYWORD_EQTY_200015373_NUM_SH">#REF!</definedName>
    <definedName name="L_KEYWORD_EQTY_200015373_PREF_DIV">#REF!</definedName>
    <definedName name="L_KEYWORD_EQTY_200015373_PRI_TARG_METH">#REF!</definedName>
    <definedName name="L_KEYWORD_EQTY_200015373_PRI_TARG_MULT">#REF!</definedName>
    <definedName name="L_KEYWORD_EQTY_200015373_PRICE_CURRENCY_ISO">#REF!</definedName>
    <definedName name="L_KEYWORD_EQTY_200015373_PROV_INC_TAX">#REF!</definedName>
    <definedName name="L_KEYWORD_EQTY_200015373_PTP_PUB">#REF!</definedName>
    <definedName name="L_KEYWORD_EQTY_200015373_PUB_CURRENCY_ISO">#REF!</definedName>
    <definedName name="L_KEYWORD_EQTY_200015373_REVS_PUB">#REF!</definedName>
    <definedName name="L_KEYWORD_EQTY_200015373_RISK_FR_RATE">#REF!</definedName>
    <definedName name="L_KEYWORD_EQTY_200015373_Security_Name">#REF!</definedName>
    <definedName name="L_KEYWORD_EQTY_200015373_SH">#REF!</definedName>
    <definedName name="L_KEYWORD_EQTY_200015373_TARGET_PRICE">#REF!</definedName>
    <definedName name="L_KEYWORD_EQTY_200015373_TAX_EXC">#REF!</definedName>
    <definedName name="L_KEYWORD_EQTY_200015373_Ticker">#REF!</definedName>
    <definedName name="L_KEYWORD_EQTY_200015373_TP_PERIOD">#REF!</definedName>
    <definedName name="L_KEYWORD_EQTY_200015981_AEJ_CONVICTION">#REF!</definedName>
    <definedName name="L_KEYWORD_EQTY_200015981_AEJ_LIST">#REF!</definedName>
    <definedName name="L_KEYWORD_EQTY_200015981_BETA_ANALYST">#REF!</definedName>
    <definedName name="L_KEYWORD_EQTY_200015981_BVPS">#REF!</definedName>
    <definedName name="L_KEYWORD_EQTY_200015981_BVPS_PUB">#REF!</definedName>
    <definedName name="L_KEYWORD_EQTY_200015981_CATALYST1_DATE">#REF!</definedName>
    <definedName name="L_KEYWORD_EQTY_200015981_CATALYST1_EVENT">#REF!</definedName>
    <definedName name="L_KEYWORD_EQTY_200015981_CATALYST2_DATE">#REF!</definedName>
    <definedName name="L_KEYWORD_EQTY_200015981_CATALYST2_EVENT">#REF!</definedName>
    <definedName name="L_KEYWORD_EQTY_200015981_CATALYST3_DATE">#REF!</definedName>
    <definedName name="L_KEYWORD_EQTY_200015981_CATALYST3_EVENT">#REF!</definedName>
    <definedName name="L_KEYWORD_EQTY_200015981_CATALYST4_DATE">#REF!</definedName>
    <definedName name="L_KEYWORD_EQTY_200015981_CATALYST4_EVENT">#REF!</definedName>
    <definedName name="L_KEYWORD_EQTY_200015981_CATALYST5_DATE">#REF!</definedName>
    <definedName name="L_KEYWORD_EQTY_200015981_CATALYST5_EVENT">#REF!</definedName>
    <definedName name="L_KEYWORD_EQTY_200015981_CF_NI_PRE_PREF">#REF!</definedName>
    <definedName name="L_KEYWORD_EQTY_200015981_COMMON_DIV_PAID">#REF!</definedName>
    <definedName name="L_KEYWORD_EQTY_200015981_CURRENCY_ISO">#REF!</definedName>
    <definedName name="L_KEYWORD_EQTY_200015981_DILUTE_SHARES">#REF!</definedName>
    <definedName name="L_KEYWORD_EQTY_200015981_DPS">#REF!</definedName>
    <definedName name="L_KEYWORD_EQTY_200015981_DPS_PUB">#REF!</definedName>
    <definedName name="L_KEYWORD_EQTY_200015981_EBIT_PUB">#REF!</definedName>
    <definedName name="L_KEYWORD_EQTY_200015981_EBITDA_PUB">#REF!</definedName>
    <definedName name="L_KEYWORD_EQTY_200015981_EPS">#REF!</definedName>
    <definedName name="L_KEYWORD_EQTY_200015981_EPS_CONS_PUB">#REF!</definedName>
    <definedName name="L_KEYWORD_EQTY_200015981_EPS_FUL_DIL">#REF!</definedName>
    <definedName name="L_KEYWORD_EQTY_200015981_EPS_POST_BASIC">#REF!</definedName>
    <definedName name="L_KEYWORD_EQTY_200015981_EPS_PUB">#REF!</definedName>
    <definedName name="L_KEYWORD_EQTY_200015981_EQ_PUB">#REF!</definedName>
    <definedName name="L_KEYWORD_EQTY_200015981_EV_ADJ_PUB">#REF!</definedName>
    <definedName name="L_KEYWORD_EQTY_200015981_FOREIGN_HOLDNG">#REF!</definedName>
    <definedName name="L_KEYWORD_EQTY_200015981_FREE_FLOAT">#REF!</definedName>
    <definedName name="L_KEYWORD_EQTY_200015981_FULLY_DIL_EPS">#REF!</definedName>
    <definedName name="L_KEYWORD_EQTY_200015981_INC_MINORITY">#REF!</definedName>
    <definedName name="L_KEYWORD_EQTY_200015981_Interim_Type">#REF!</definedName>
    <definedName name="L_KEYWORD_EQTY_200015981_LEGAL_RATING">#REF!</definedName>
    <definedName name="L_KEYWORD_EQTY_200015981_MARGIN_TAX_RATE">#REF!</definedName>
    <definedName name="L_KEYWORD_EQTY_200015981_MKT_EQ_RISK_PREM">#REF!</definedName>
    <definedName name="L_KEYWORD_EQTY_200015981_NET_DEBT_PUB">#REF!</definedName>
    <definedName name="L_KEYWORD_EQTY_200015981_NET_EARNING">#REF!</definedName>
    <definedName name="L_KEYWORD_EQTY_200015981_NET_INC">#REF!</definedName>
    <definedName name="L_KEYWORD_EQTY_200015981_NI_CONS">#REF!</definedName>
    <definedName name="L_KEYWORD_EQTY_200015981_NI_PRE_PREF">#REF!</definedName>
    <definedName name="L_KEYWORD_EQTY_200015981_NI_PUB">#REF!</definedName>
    <definedName name="L_KEYWORD_EQTY_200015981_NON_OP_ADD">#REF!</definedName>
    <definedName name="L_KEYWORD_EQTY_200015981_NUM_SH">#REF!</definedName>
    <definedName name="L_KEYWORD_EQTY_200015981_PREF_DIV">#REF!</definedName>
    <definedName name="L_KEYWORD_EQTY_200015981_PRI_TARG_METH">#REF!</definedName>
    <definedName name="L_KEYWORD_EQTY_200015981_PRI_TARG_MULT">#REF!</definedName>
    <definedName name="L_KEYWORD_EQTY_200015981_PRICE_CURRENCY_ISO">#REF!</definedName>
    <definedName name="L_KEYWORD_EQTY_200015981_PROV_INC_TAX">#REF!</definedName>
    <definedName name="L_KEYWORD_EQTY_200015981_PTP_PUB">#REF!</definedName>
    <definedName name="L_KEYWORD_EQTY_200015981_PUB_CURRENCY_ISO">#REF!</definedName>
    <definedName name="L_KEYWORD_EQTY_200015981_REVS_PUB">#REF!</definedName>
    <definedName name="L_KEYWORD_EQTY_200015981_RISK_FR_RATE">#REF!</definedName>
    <definedName name="L_KEYWORD_EQTY_200015981_Security_Name">#REF!</definedName>
    <definedName name="L_KEYWORD_EQTY_200015981_SH">#REF!</definedName>
    <definedName name="L_KEYWORD_EQTY_200015981_TARGET_PRICE">#REF!</definedName>
    <definedName name="L_KEYWORD_EQTY_200015981_TAX_EXC">#REF!</definedName>
    <definedName name="L_KEYWORD_EQTY_200015981_Ticker">#REF!</definedName>
    <definedName name="L_KEYWORD_EQTY_200015981_TP_PERIOD">#REF!</definedName>
    <definedName name="L_KEYWORD_ISSR_208006264_ACC_AMORT" localSheetId="1">#REF!</definedName>
    <definedName name="L_KEYWORD_ISSR_208006264_ACC_AMORT">#REF!</definedName>
    <definedName name="L_KEYWORD_ISSR_208006264_ACC_DDA" localSheetId="1">#REF!</definedName>
    <definedName name="L_KEYWORD_ISSR_208006264_ACC_DDA">#REF!</definedName>
    <definedName name="L_KEYWORD_ISSR_208006264_ACC_END_DATE" localSheetId="1">#REF!</definedName>
    <definedName name="L_KEYWORD_ISSR_208006264_ACC_END_DATE">#REF!</definedName>
    <definedName name="L_KEYWORD_ISSR_208006264_ACC_PAY_GQ">#REF!</definedName>
    <definedName name="L_KEYWORD_ISSR_208006264_ACQ">#REF!</definedName>
    <definedName name="L_KEYWORD_ISSR_208006264_ADJ_UNF_PENS_GOOD">#REF!</definedName>
    <definedName name="L_KEYWORD_ISSR_208006264_ASIA_SALES_GROWTH">#REF!</definedName>
    <definedName name="L_KEYWORD_ISSR_208006264_ASSOC_JV_ADDBK">#REF!</definedName>
    <definedName name="L_KEYWORD_ISSR_208006264_ASSOCIATE">#REF!</definedName>
    <definedName name="L_KEYWORD_ISSR_208006264_ASSOCIATE_OP">#REF!</definedName>
    <definedName name="L_KEYWORD_ISSR_208006264_BAL_MINO_INT">#REF!</definedName>
    <definedName name="L_KEYWORD_ISSR_208006264_CAP_LEASES">#REF!</definedName>
    <definedName name="L_KEYWORD_ISSR_208006264_CAPEX">#REF!</definedName>
    <definedName name="L_KEYWORD_ISSR_208006264_CAPEX_EXPANSION">#REF!</definedName>
    <definedName name="L_KEYWORD_ISSR_208006264_CAPEX_MAINTENANCE">#REF!</definedName>
    <definedName name="L_KEYWORD_ISSR_208006264_CASH_EQ">#REF!</definedName>
    <definedName name="L_KEYWORD_ISSR_208006264_CASH_INT_EXP">#REF!</definedName>
    <definedName name="L_KEYWORD_ISSR_208006264_CASH_TAX_EXP">#REF!</definedName>
    <definedName name="L_KEYWORD_ISSR_208006264_CF_FIN">#REF!</definedName>
    <definedName name="L_KEYWORD_ISSR_208006264_CF_INC_MINORITY">#REF!</definedName>
    <definedName name="L_KEYWORD_ISSR_208006264_CF_INV">#REF!</definedName>
    <definedName name="L_KEYWORD_ISSR_208006264_CF_OPS">#REF!</definedName>
    <definedName name="L_KEYWORD_ISSR_208006264_CHG_LT_DEBT">#REF!</definedName>
    <definedName name="L_KEYWORD_ISSR_208006264_CO_BOR_MARGIN">#REF!</definedName>
    <definedName name="L_KEYWORD_ISSR_208006264_COGS_BEEF">#REF!</definedName>
    <definedName name="L_KEYWORD_ISSR_208006264_COGS_COFFEE">#REF!</definedName>
    <definedName name="L_KEYWORD_ISSR_208006264_COGS_CORN">#REF!</definedName>
    <definedName name="L_KEYWORD_ISSR_208006264_COGS_DAIRY">#REF!</definedName>
    <definedName name="L_KEYWORD_ISSR_208006264_COGS_ENERGY">#REF!</definedName>
    <definedName name="L_KEYWORD_ISSR_208006264_COGS_NUTS">#REF!</definedName>
    <definedName name="L_KEYWORD_ISSR_208006264_COGS_OH_WAGES">#REF!</definedName>
    <definedName name="L_KEYWORD_ISSR_208006264_COGS_OTH_AGRI">#REF!</definedName>
    <definedName name="L_KEYWORD_ISSR_208006264_COGS_OTH_EDIBLE_OIL">#REF!</definedName>
    <definedName name="L_KEYWORD_ISSR_208006264_COGS_PACK_ALUM">#REF!</definedName>
    <definedName name="L_KEYWORD_ISSR_208006264_COGS_PACK_GLASS">#REF!</definedName>
    <definedName name="L_KEYWORD_ISSR_208006264_COGS_PACK_OIL_DERIV">#REF!</definedName>
    <definedName name="L_KEYWORD_ISSR_208006264_COGS_PACK_PAPER">#REF!</definedName>
    <definedName name="L_KEYWORD_ISSR_208006264_COGS_PACK_TIN">#REF!</definedName>
    <definedName name="L_KEYWORD_ISSR_208006264_COGS_PALM_OIL">#REF!</definedName>
    <definedName name="L_KEYWORD_ISSR_208006264_COGS_RAW_OIL_DERIV">#REF!</definedName>
    <definedName name="L_KEYWORD_ISSR_208006264_COGS_RAW_OTH">#REF!</definedName>
    <definedName name="L_KEYWORD_ISSR_208006264_COGS_RAW_PULP">#REF!</definedName>
    <definedName name="L_KEYWORD_ISSR_208006264_COGS_SOYBEAN">#REF!</definedName>
    <definedName name="L_KEYWORD_ISSR_208006264_COGS_TOBACCO">#REF!</definedName>
    <definedName name="L_KEYWORD_ISSR_208006264_COGS_WHEAT">#REF!</definedName>
    <definedName name="L_KEYWORD_ISSR_208006264_CONTRIB_MARGIN_RATIO">#REF!</definedName>
    <definedName name="L_KEYWORD_ISSR_208006264_COST_GD_SD">#REF!</definedName>
    <definedName name="L_KEYWORD_ISSR_208006264_CUR_ASS">#REF!</definedName>
    <definedName name="L_KEYWORD_ISSR_208006264_CURRENCY_ISO">#REF!</definedName>
    <definedName name="L_KEYWORD_ISSR_208006264_DEBTORS">#REF!</definedName>
    <definedName name="L_KEYWORD_ISSR_208006264_DEF_INC_TAX">#REF!</definedName>
    <definedName name="L_KEYWORD_ISSR_208006264_DEPR_AMORT">#REF!</definedName>
    <definedName name="L_KEYWORD_ISSR_208006264_DEPREC">#REF!</definedName>
    <definedName name="L_KEYWORD_ISSR_208006264_DIV_PAID">#REF!</definedName>
    <definedName name="L_KEYWORD_ISSR_208006264_DIVDS_ASSOC_JV">#REF!</definedName>
    <definedName name="L_KEYWORD_ISSR_208006264_DIVDS_PD_MINORITIES">#REF!</definedName>
    <definedName name="L_KEYWORD_ISSR_208006264_DIVEST">#REF!</definedName>
    <definedName name="L_KEYWORD_ISSR_208006264_EBIT">#REF!</definedName>
    <definedName name="L_KEYWORD_ISSR_208006264_EBITDA_CALC">#REF!</definedName>
    <definedName name="L_KEYWORD_ISSR_208006264_EEMEA_SALES_GROWTH">#REF!</definedName>
    <definedName name="L_KEYWORD_ISSR_208006264_EMPLOYEES">#REF!</definedName>
    <definedName name="L_KEYWORD_ISSR_208006264_EQ">#REF!</definedName>
    <definedName name="L_KEYWORD_ISSR_208006264_EUROPE_SALES_GROWTH">#REF!</definedName>
    <definedName name="L_KEYWORD_ISSR_208006264_EXP_ALUMINIUM">#REF!</definedName>
    <definedName name="L_KEYWORD_ISSR_208006264_EXP_COCOA">#REF!</definedName>
    <definedName name="L_KEYWORD_ISSR_208006264_EXP_COFFEE">#REF!</definedName>
    <definedName name="L_KEYWORD_ISSR_208006264_EXP_CORN">#REF!</definedName>
    <definedName name="L_KEYWORD_ISSR_208006264_EXP_DAIRY">#REF!</definedName>
    <definedName name="L_KEYWORD_ISSR_208006264_EXP_GLASS">#REF!</definedName>
    <definedName name="L_KEYWORD_ISSR_208006264_EXP_OIL_DERIV_NGLS_PLASTICS">#REF!</definedName>
    <definedName name="L_KEYWORD_ISSR_208006264_EXP_OIL_PETRO_FUEL">#REF!</definedName>
    <definedName name="L_KEYWORD_ISSR_208006264_EXP_OTH_COMMODITY">#REF!</definedName>
    <definedName name="L_KEYWORD_ISSR_208006264_EXP_OTH_COST">#REF!</definedName>
    <definedName name="L_KEYWORD_ISSR_208006264_EXP_PAPER_PULP">#REF!</definedName>
    <definedName name="L_KEYWORD_ISSR_208006264_EXP_SOYBEAN">#REF!</definedName>
    <definedName name="L_KEYWORD_ISSR_208006264_EXP_STEEL">#REF!</definedName>
    <definedName name="L_KEYWORD_ISSR_208006264_EXP_SUGAR">#REF!</definedName>
    <definedName name="L_KEYWORD_ISSR_208006264_EXP_TIN">#REF!</definedName>
    <definedName name="L_KEYWORD_ISSR_208006264_EXP_WATER">#REF!</definedName>
    <definedName name="L_KEYWORD_ISSR_208006264_EXP_WHEAT">#REF!</definedName>
    <definedName name="L_KEYWORD_ISSR_208006264_FIX_ASS_INV">#REF!</definedName>
    <definedName name="L_KEYWORD_ISSR_208006264_GCI_INFL">#REF!</definedName>
    <definedName name="L_KEYWORD_ISSR_208006264_GOODWILL_AMORT">#REF!</definedName>
    <definedName name="L_KEYWORD_ISSR_208006264_GR_FIX_ASS">#REF!</definedName>
    <definedName name="L_KEYWORD_ISSR_208006264_GR_INTANG">#REF!</definedName>
    <definedName name="L_KEYWORD_ISSR_208006264_INT_EXP_IND">#REF!</definedName>
    <definedName name="L_KEYWORD_ISSR_208006264_INT_INC_IND">#REF!</definedName>
    <definedName name="L_KEYWORD_ISSR_208006264_INV_SECUR">#REF!</definedName>
    <definedName name="L_KEYWORD_ISSR_208006264_Issuer_Name">#REF!</definedName>
    <definedName name="L_KEYWORD_ISSR_208006264_LATAM_SALES_GROWTH">#REF!</definedName>
    <definedName name="L_KEYWORD_ISSR_208006264_LEASE_DEEM_DEPR">#REF!</definedName>
    <definedName name="L_KEYWORD_ISSR_208006264_LEASE_DEEM_INT">#REF!</definedName>
    <definedName name="L_KEYWORD_ISSR_208006264_LEASE_PAY">#REF!</definedName>
    <definedName name="L_KEYWORD_ISSR_208006264_LT_DEBT">#REF!</definedName>
    <definedName name="L_KEYWORD_ISSR_208006264_MEDIA_ADVERTISING">#REF!</definedName>
    <definedName name="L_KEYWORD_ISSR_208006264_MINORITIES">#REF!</definedName>
    <definedName name="L_KEYWORD_ISSR_208006264_MV_ASSOCIATES">#REF!</definedName>
    <definedName name="L_KEYWORD_ISSR_208006264_NAMERICA_SALES_GROWTH">#REF!</definedName>
    <definedName name="L_KEYWORD_ISSR_208006264_NET_DEBT">#REF!</definedName>
    <definedName name="L_KEYWORD_ISSR_208006264_NET_DEBT_ADJ">#REF!</definedName>
    <definedName name="L_KEYWORD_ISSR_208006264_NET_FIX_ASS">#REF!</definedName>
    <definedName name="L_KEYWORD_ISSR_208006264_NET_INT_CH">#REF!</definedName>
    <definedName name="L_KEYWORD_ISSR_208006264_NET_INT_EXP">#REF!</definedName>
    <definedName name="L_KEYWORD_ISSR_208006264_NET_INTANG">#REF!</definedName>
    <definedName name="L_KEYWORD_ISSR_208006264_NONPPE_CAPEX">#REF!</definedName>
    <definedName name="L_KEYWORD_ISSR_208006264_OP_COST">#REF!</definedName>
    <definedName name="L_KEYWORD_ISSR_208006264_ORD_SH_FUND">#REF!</definedName>
    <definedName name="L_KEYWORD_ISSR_208006264_ORG_REV_GRTH">#REF!</definedName>
    <definedName name="L_KEYWORD_ISSR_208006264_OTH_COST_INC">#REF!</definedName>
    <definedName name="L_KEYWORD_ISSR_208006264_OTH_CUR_ASS">#REF!</definedName>
    <definedName name="L_KEYWORD_ISSR_208006264_OTH_CUR_LIABS">#REF!</definedName>
    <definedName name="L_KEYWORD_ISSR_208006264_OTH_DACF_ADJ">#REF!</definedName>
    <definedName name="L_KEYWORD_ISSR_208006264_OTH_FIN_CF">#REF!</definedName>
    <definedName name="L_KEYWORD_ISSR_208006264_OTH_GCI_ADJ">#REF!</definedName>
    <definedName name="L_KEYWORD_ISSR_208006264_OTH_INV_CF">#REF!</definedName>
    <definedName name="L_KEYWORD_ISSR_208006264_OTH_LT_ASS">#REF!</definedName>
    <definedName name="L_KEYWORD_ISSR_208006264_OTH_LT_CRED_GQ">#REF!</definedName>
    <definedName name="L_KEYWORD_ISSR_208006264_OTH_NONCASH_ADJ">#REF!</definedName>
    <definedName name="L_KEYWORD_ISSR_208006264_OTH_OP_CF">#REF!</definedName>
    <definedName name="L_KEYWORD_ISSR_208006264_OTH_OP_INC_EXP">#REF!</definedName>
    <definedName name="L_KEYWORD_ISSR_208006264_PERIOD_MILESTONE">#REF!</definedName>
    <definedName name="L_KEYWORD_ISSR_208006264_PERSONNEL">#REF!</definedName>
    <definedName name="L_KEYWORD_ISSR_208006264_PL_SALE_ASSETS">#REF!</definedName>
    <definedName name="L_KEYWORD_ISSR_208006264_PREF_SH">#REF!</definedName>
    <definedName name="L_KEYWORD_ISSR_208006264_PROFIT_ON_DISP">#REF!</definedName>
    <definedName name="L_KEYWORD_ISSR_208006264_PT_PROF">#REF!</definedName>
    <definedName name="L_KEYWORD_ISSR_208006264_RD_EXP">#REF!</definedName>
    <definedName name="L_KEYWORD_ISSR_208006264_SALES">#REF!</definedName>
    <definedName name="L_KEYWORD_ISSR_208006264_SALES_BRAZIL">#REF!</definedName>
    <definedName name="L_KEYWORD_ISSR_208006264_SALES_CEE">#REF!</definedName>
    <definedName name="L_KEYWORD_ISSR_208006264_SALES_CHINA">#REF!</definedName>
    <definedName name="L_KEYWORD_ISSR_208006264_SALES_COCOA">#REF!</definedName>
    <definedName name="L_KEYWORD_ISSR_208006264_SALES_COFFEE">#REF!</definedName>
    <definedName name="L_KEYWORD_ISSR_208006264_SALES_CONS">#REF!</definedName>
    <definedName name="L_KEYWORD_ISSR_208006264_SALES_DAIRY">#REF!</definedName>
    <definedName name="L_KEYWORD_ISSR_208006264_SALES_EU_EX_UK">#REF!</definedName>
    <definedName name="L_KEYWORD_ISSR_208006264_SALES_FINAN">#REF!</definedName>
    <definedName name="L_KEYWORD_ISSR_208006264_SALES_FX_BRL">#REF!</definedName>
    <definedName name="L_KEYWORD_ISSR_208006264_SALES_FX_CNY">#REF!</definedName>
    <definedName name="L_KEYWORD_ISSR_208006264_SALES_FX_EUR">#REF!</definedName>
    <definedName name="L_KEYWORD_ISSR_208006264_SALES_FX_GPB">#REF!</definedName>
    <definedName name="L_KEYWORD_ISSR_208006264_SALES_FX_INR">#REF!</definedName>
    <definedName name="L_KEYWORD_ISSR_208006264_SALES_FX_KRW">#REF!</definedName>
    <definedName name="L_KEYWORD_ISSR_208006264_SALES_FX_OTH">#REF!</definedName>
    <definedName name="L_KEYWORD_ISSR_208006264_SALES_FX_RUB">#REF!</definedName>
    <definedName name="L_KEYWORD_ISSR_208006264_SALES_FX_TWD">#REF!</definedName>
    <definedName name="L_KEYWORD_ISSR_208006264_SALES_FX_USD">#REF!</definedName>
    <definedName name="L_KEYWORD_ISSR_208006264_SALES_FX_YEN">#REF!</definedName>
    <definedName name="L_KEYWORD_ISSR_208006264_SALES_GOV">#REF!</definedName>
    <definedName name="L_KEYWORD_ISSR_208006264_SALES_IND">#REF!</definedName>
    <definedName name="L_KEYWORD_ISSR_208006264_SALES_INDIA">#REF!</definedName>
    <definedName name="L_KEYWORD_ISSR_208006264_SALES_JAPAN">#REF!</definedName>
    <definedName name="L_KEYWORD_ISSR_208006264_SALES_ME">#REF!</definedName>
    <definedName name="L_KEYWORD_ISSR_208006264_SALES_OTH_AEJ">#REF!</definedName>
    <definedName name="L_KEYWORD_ISSR_208006264_SALES_OTH_AM">#REF!</definedName>
    <definedName name="L_KEYWORD_ISSR_208006264_SALES_OTH_EMEA">#REF!</definedName>
    <definedName name="L_KEYWORD_ISSR_208006264_SALES_OTH_SALES_SOURCES">#REF!</definedName>
    <definedName name="L_KEYWORD_ISSR_208006264_SALES_OTHER">#REF!</definedName>
    <definedName name="L_KEYWORD_ISSR_208006264_SALES_RUSSIA">#REF!</definedName>
    <definedName name="L_KEYWORD_ISSR_208006264_SALES_SK">#REF!</definedName>
    <definedName name="L_KEYWORD_ISSR_208006264_SALES_TAIWAN">#REF!</definedName>
    <definedName name="L_KEYWORD_ISSR_208006264_SALES_TOT_AFRICA">#REF!</definedName>
    <definedName name="L_KEYWORD_ISSR_208006264_SALES_TOT_AM">#REF!</definedName>
    <definedName name="L_KEYWORD_ISSR_208006264_SALES_TOT_ASIA">#REF!</definedName>
    <definedName name="L_KEYWORD_ISSR_208006264_SALES_TOT_EMEA">#REF!</definedName>
    <definedName name="L_KEYWORD_ISSR_208006264_SALES_UK">#REF!</definedName>
    <definedName name="L_KEYWORD_ISSR_208006264_SALES_US">#REF!</definedName>
    <definedName name="L_KEYWORD_ISSR_208006264_SALES_WATER">#REF!</definedName>
    <definedName name="L_KEYWORD_ISSR_208006264_SEL_GL_AD">#REF!</definedName>
    <definedName name="L_KEYWORD_ISSR_208006264_SH_REPUR">#REF!</definedName>
    <definedName name="L_KEYWORD_ISSR_208006264_SHORT_T_DEBT">#REF!</definedName>
    <definedName name="L_KEYWORD_ISSR_208006264_SHORT_TERM_LIABS">#REF!</definedName>
    <definedName name="L_KEYWORD_ISSR_208006264_STOCKS">#REF!</definedName>
    <definedName name="L_KEYWORD_ISSR_208006264_TOT_ASSET">#REF!</definedName>
    <definedName name="L_KEYWORD_ISSR_208006264_TOT_CF">#REF!</definedName>
    <definedName name="L_KEYWORD_ISSR_208006264_TOT_LIAB">#REF!</definedName>
    <definedName name="L_KEYWORD_ISSR_208006264_TOT_LIAB_EQ">#REF!</definedName>
    <definedName name="L_KEYWORD_ISSR_208006264_TOT_LT_LIAB">#REF!</definedName>
    <definedName name="L_KEYWORD_ISSR_208006264_TOT_OPS_EXP">#REF!</definedName>
    <definedName name="L_KEYWORD_ISSR_208006264_TOT_OPS_EXP_DDA">#REF!</definedName>
    <definedName name="L_KEYWORD_ISSR_208006264_UNF_PENS">#REF!</definedName>
    <definedName name="L_KEYWORD_ISSR_208006264_UNF_PENS_LIAB_OTH">#REF!</definedName>
    <definedName name="L_KEYWORD_ISSR_208006264_UNF_PENS_OFF">#REF!</definedName>
    <definedName name="L_KEYWORD_ISSR_208006264_WORK_CAP">#REF!</definedName>
    <definedName name="L_KEYWORD_ISSR_208009569_ACC_AMORT">#REF!</definedName>
    <definedName name="L_KEYWORD_ISSR_208009569_ACC_DDA">#REF!</definedName>
    <definedName name="L_KEYWORD_ISSR_208009569_ACC_END_DATE">#REF!</definedName>
    <definedName name="L_KEYWORD_ISSR_208009569_ACC_PAY_GQ">#REF!</definedName>
    <definedName name="L_KEYWORD_ISSR_208009569_ACQ">#REF!</definedName>
    <definedName name="L_KEYWORD_ISSR_208009569_ADJ_UNF_PENS_GOOD">#REF!</definedName>
    <definedName name="L_KEYWORD_ISSR_208009569_ASSOC_JV_ADDBK">#REF!</definedName>
    <definedName name="L_KEYWORD_ISSR_208009569_ASSOCIATE">#REF!</definedName>
    <definedName name="L_KEYWORD_ISSR_208009569_ASSOCIATE_OP">#REF!</definedName>
    <definedName name="L_KEYWORD_ISSR_208009569_BAL_MINO_INT">#REF!</definedName>
    <definedName name="L_KEYWORD_ISSR_208009569_CAP_LEASES">#REF!</definedName>
    <definedName name="L_KEYWORD_ISSR_208009569_CAPEX">#REF!</definedName>
    <definedName name="L_KEYWORD_ISSR_208009569_CAPEX_EXPANSION">#REF!</definedName>
    <definedName name="L_KEYWORD_ISSR_208009569_CAPEX_MAINTENANCE">#REF!</definedName>
    <definedName name="L_KEYWORD_ISSR_208009569_CASH_EQ">#REF!</definedName>
    <definedName name="L_KEYWORD_ISSR_208009569_CASH_INT_EXP">#REF!</definedName>
    <definedName name="L_KEYWORD_ISSR_208009569_CASH_TAX_EXP">#REF!</definedName>
    <definedName name="L_KEYWORD_ISSR_208009569_CF_FIN">#REF!</definedName>
    <definedName name="L_KEYWORD_ISSR_208009569_CF_INC_MINORITY">#REF!</definedName>
    <definedName name="L_KEYWORD_ISSR_208009569_CF_INV">#REF!</definedName>
    <definedName name="L_KEYWORD_ISSR_208009569_CF_OPS">#REF!</definedName>
    <definedName name="L_KEYWORD_ISSR_208009569_CHG_LT_DEBT">#REF!</definedName>
    <definedName name="L_KEYWORD_ISSR_208009569_CO_BOR_MARGIN">#REF!</definedName>
    <definedName name="L_KEYWORD_ISSR_208009569_CONTRIB_MARGIN_RATIO">#REF!</definedName>
    <definedName name="L_KEYWORD_ISSR_208009569_COST_GD_SD">#REF!</definedName>
    <definedName name="L_KEYWORD_ISSR_208009569_CUR_ASS">#REF!</definedName>
    <definedName name="L_KEYWORD_ISSR_208009569_CURRENCY_ISO">#REF!</definedName>
    <definedName name="L_KEYWORD_ISSR_208009569_DEBTORS">#REF!</definedName>
    <definedName name="L_KEYWORD_ISSR_208009569_DEF_INC_TAX">#REF!</definedName>
    <definedName name="L_KEYWORD_ISSR_208009569_DEPR_AMORT">#REF!</definedName>
    <definedName name="L_KEYWORD_ISSR_208009569_DEPREC">#REF!</definedName>
    <definedName name="L_KEYWORD_ISSR_208009569_DIV_PAID">#REF!</definedName>
    <definedName name="L_KEYWORD_ISSR_208009569_DIVDS_ASSOC_JV">#REF!</definedName>
    <definedName name="L_KEYWORD_ISSR_208009569_DIVDS_PD_MINORITIES">#REF!</definedName>
    <definedName name="L_KEYWORD_ISSR_208009569_DIVEST">#REF!</definedName>
    <definedName name="L_KEYWORD_ISSR_208009569_EBIT">#REF!</definedName>
    <definedName name="L_KEYWORD_ISSR_208009569_EBITDA_CALC">#REF!</definedName>
    <definedName name="L_KEYWORD_ISSR_208009569_EMPLOYEES">#REF!</definedName>
    <definedName name="L_KEYWORD_ISSR_208009569_EQ">#REF!</definedName>
    <definedName name="L_KEYWORD_ISSR_208009569_FIX_ASS_INV">#REF!</definedName>
    <definedName name="L_KEYWORD_ISSR_208009569_GCI_INFL">#REF!</definedName>
    <definedName name="L_KEYWORD_ISSR_208009569_GOODWILL_AMORT">#REF!</definedName>
    <definedName name="L_KEYWORD_ISSR_208009569_GR_FIX_ASS">#REF!</definedName>
    <definedName name="L_KEYWORD_ISSR_208009569_GR_INTANG">#REF!</definedName>
    <definedName name="L_KEYWORD_ISSR_208009569_INT_EXP_IND">#REF!</definedName>
    <definedName name="L_KEYWORD_ISSR_208009569_INT_INC_IND">#REF!</definedName>
    <definedName name="L_KEYWORD_ISSR_208009569_INV_SECUR">#REF!</definedName>
    <definedName name="L_KEYWORD_ISSR_208009569_Issuer_Name">#REF!</definedName>
    <definedName name="L_KEYWORD_ISSR_208009569_LEASE_DEEM_DEPR">#REF!</definedName>
    <definedName name="L_KEYWORD_ISSR_208009569_LEASE_DEEM_INT">#REF!</definedName>
    <definedName name="L_KEYWORD_ISSR_208009569_LEASE_PAY">#REF!</definedName>
    <definedName name="L_KEYWORD_ISSR_208009569_LT_DEBT">#REF!</definedName>
    <definedName name="L_KEYWORD_ISSR_208009569_MINORITIES">#REF!</definedName>
    <definedName name="L_KEYWORD_ISSR_208009569_MV_ASSOCIATES">#REF!</definedName>
    <definedName name="L_KEYWORD_ISSR_208009569_NET_DEBT">#REF!</definedName>
    <definedName name="L_KEYWORD_ISSR_208009569_NET_DEBT_ADJ">#REF!</definedName>
    <definedName name="L_KEYWORD_ISSR_208009569_NET_FIX_ASS">#REF!</definedName>
    <definedName name="L_KEYWORD_ISSR_208009569_NET_INT_CH">#REF!</definedName>
    <definedName name="L_KEYWORD_ISSR_208009569_NET_INT_EXP">#REF!</definedName>
    <definedName name="L_KEYWORD_ISSR_208009569_NET_INTANG">#REF!</definedName>
    <definedName name="L_KEYWORD_ISSR_208009569_NONPPE_CAPEX">#REF!</definedName>
    <definedName name="L_KEYWORD_ISSR_208009569_OP_COST">#REF!</definedName>
    <definedName name="L_KEYWORD_ISSR_208009569_ORD_SH_FUND">#REF!</definedName>
    <definedName name="L_KEYWORD_ISSR_208009569_OTH_COST_INC">#REF!</definedName>
    <definedName name="L_KEYWORD_ISSR_208009569_OTH_CUR_ASS">#REF!</definedName>
    <definedName name="L_KEYWORD_ISSR_208009569_OTH_CUR_LIABS">#REF!</definedName>
    <definedName name="L_KEYWORD_ISSR_208009569_OTH_DACF_ADJ">#REF!</definedName>
    <definedName name="L_KEYWORD_ISSR_208009569_OTH_FIN_CF">#REF!</definedName>
    <definedName name="L_KEYWORD_ISSR_208009569_OTH_GCI_ADJ">#REF!</definedName>
    <definedName name="L_KEYWORD_ISSR_208009569_OTH_INV_CF">#REF!</definedName>
    <definedName name="L_KEYWORD_ISSR_208009569_OTH_LT_ASS">#REF!</definedName>
    <definedName name="L_KEYWORD_ISSR_208009569_OTH_LT_CRED_GQ">#REF!</definedName>
    <definedName name="L_KEYWORD_ISSR_208009569_OTH_NONCASH_ADJ">#REF!</definedName>
    <definedName name="L_KEYWORD_ISSR_208009569_OTH_OP_CF">#REF!</definedName>
    <definedName name="L_KEYWORD_ISSR_208009569_OTH_OP_INC_EXP">#REF!</definedName>
    <definedName name="L_KEYWORD_ISSR_208009569_PERIOD_MILESTONE">#REF!</definedName>
    <definedName name="L_KEYWORD_ISSR_208009569_PERSONNEL">#REF!</definedName>
    <definedName name="L_KEYWORD_ISSR_208009569_PL_SALE_ASSETS">#REF!</definedName>
    <definedName name="L_KEYWORD_ISSR_208009569_PREF_SH">#REF!</definedName>
    <definedName name="L_KEYWORD_ISSR_208009569_PROFIT_ON_DISP">#REF!</definedName>
    <definedName name="L_KEYWORD_ISSR_208009569_PT_PROF">#REF!</definedName>
    <definedName name="L_KEYWORD_ISSR_208009569_RD_EXP">#REF!</definedName>
    <definedName name="L_KEYWORD_ISSR_208009569_SALES">#REF!</definedName>
    <definedName name="L_KEYWORD_ISSR_208009569_SALES_BRAZIL">#REF!</definedName>
    <definedName name="L_KEYWORD_ISSR_208009569_SALES_CEE">#REF!</definedName>
    <definedName name="L_KEYWORD_ISSR_208009569_SALES_CHINA">#REF!</definedName>
    <definedName name="L_KEYWORD_ISSR_208009569_SALES_CONS">#REF!</definedName>
    <definedName name="L_KEYWORD_ISSR_208009569_SALES_EU_EX_UK">#REF!</definedName>
    <definedName name="L_KEYWORD_ISSR_208009569_SALES_FINAN">#REF!</definedName>
    <definedName name="L_KEYWORD_ISSR_208009569_SALES_FX_BRL">#REF!</definedName>
    <definedName name="L_KEYWORD_ISSR_208009569_SALES_FX_CNY">#REF!</definedName>
    <definedName name="L_KEYWORD_ISSR_208009569_SALES_FX_EUR">#REF!</definedName>
    <definedName name="L_KEYWORD_ISSR_208009569_SALES_FX_GPB">#REF!</definedName>
    <definedName name="L_KEYWORD_ISSR_208009569_SALES_FX_INR">#REF!</definedName>
    <definedName name="L_KEYWORD_ISSR_208009569_SALES_FX_KRW">#REF!</definedName>
    <definedName name="L_KEYWORD_ISSR_208009569_SALES_FX_OTH">#REF!</definedName>
    <definedName name="L_KEYWORD_ISSR_208009569_SALES_FX_RUB">#REF!</definedName>
    <definedName name="L_KEYWORD_ISSR_208009569_SALES_FX_TWD">#REF!</definedName>
    <definedName name="L_KEYWORD_ISSR_208009569_SALES_FX_USD">#REF!</definedName>
    <definedName name="L_KEYWORD_ISSR_208009569_SALES_FX_YEN">#REF!</definedName>
    <definedName name="L_KEYWORD_ISSR_208009569_SALES_GOV">#REF!</definedName>
    <definedName name="L_KEYWORD_ISSR_208009569_SALES_IND">#REF!</definedName>
    <definedName name="L_KEYWORD_ISSR_208009569_SALES_INDIA">#REF!</definedName>
    <definedName name="L_KEYWORD_ISSR_208009569_SALES_JAPAN">#REF!</definedName>
    <definedName name="L_KEYWORD_ISSR_208009569_SALES_ME">#REF!</definedName>
    <definedName name="L_KEYWORD_ISSR_208009569_SALES_OTH_AEJ">#REF!</definedName>
    <definedName name="L_KEYWORD_ISSR_208009569_SALES_OTH_AM">#REF!</definedName>
    <definedName name="L_KEYWORD_ISSR_208009569_SALES_OTH_EMEA">#REF!</definedName>
    <definedName name="L_KEYWORD_ISSR_208009569_SALES_OTHER">#REF!</definedName>
    <definedName name="L_KEYWORD_ISSR_208009569_SALES_RUSSIA">#REF!</definedName>
    <definedName name="L_KEYWORD_ISSR_208009569_SALES_SK">#REF!</definedName>
    <definedName name="L_KEYWORD_ISSR_208009569_SALES_TAIWAN">#REF!</definedName>
    <definedName name="L_KEYWORD_ISSR_208009569_SALES_TOT_AFRICA">#REF!</definedName>
    <definedName name="L_KEYWORD_ISSR_208009569_SALES_TOT_AM">#REF!</definedName>
    <definedName name="L_KEYWORD_ISSR_208009569_SALES_TOT_ASIA">#REF!</definedName>
    <definedName name="L_KEYWORD_ISSR_208009569_SALES_TOT_EMEA">#REF!</definedName>
    <definedName name="L_KEYWORD_ISSR_208009569_SALES_UK">#REF!</definedName>
    <definedName name="L_KEYWORD_ISSR_208009569_SALES_US">#REF!</definedName>
    <definedName name="L_KEYWORD_ISSR_208009569_SEL_GL_AD">#REF!</definedName>
    <definedName name="L_KEYWORD_ISSR_208009569_SH_REPUR">#REF!</definedName>
    <definedName name="L_KEYWORD_ISSR_208009569_SHORT_T_DEBT">#REF!</definedName>
    <definedName name="L_KEYWORD_ISSR_208009569_SHORT_TERM_LIABS">#REF!</definedName>
    <definedName name="L_KEYWORD_ISSR_208009569_STOCKS">#REF!</definedName>
    <definedName name="L_KEYWORD_ISSR_208009569_TOT_ASSET">#REF!</definedName>
    <definedName name="L_KEYWORD_ISSR_208009569_TOT_CF">#REF!</definedName>
    <definedName name="L_KEYWORD_ISSR_208009569_TOT_LIAB">#REF!</definedName>
    <definedName name="L_KEYWORD_ISSR_208009569_TOT_LIAB_EQ">#REF!</definedName>
    <definedName name="L_KEYWORD_ISSR_208009569_TOT_LT_LIAB">#REF!</definedName>
    <definedName name="L_KEYWORD_ISSR_208009569_TOT_OPS_EXP">#REF!</definedName>
    <definedName name="L_KEYWORD_ISSR_208009569_TOT_OPS_EXP_DDA">#REF!</definedName>
    <definedName name="L_KEYWORD_ISSR_208009569_UNF_PENS">#REF!</definedName>
    <definedName name="L_KEYWORD_ISSR_208009569_UNF_PENS_LIAB_OTH">#REF!</definedName>
    <definedName name="L_KEYWORD_ISSR_208009569_UNF_PENS_OFF">#REF!</definedName>
    <definedName name="L_KEYWORD_ISSR_208009569_WORK_CAP">#REF!</definedName>
    <definedName name="L_KEYWORD_ISSR_208012915_ACC_AMORT">#REF!</definedName>
    <definedName name="L_KEYWORD_ISSR_208012915_ACC_DDA">#REF!</definedName>
    <definedName name="L_KEYWORD_ISSR_208012915_ACC_END_DATE">#REF!</definedName>
    <definedName name="L_KEYWORD_ISSR_208012915_ACC_PAY_GQ">#REF!</definedName>
    <definedName name="L_KEYWORD_ISSR_208012915_ACQ">#REF!</definedName>
    <definedName name="L_KEYWORD_ISSR_208012915_ADJ_UNF_PENS_GOOD">#REF!</definedName>
    <definedName name="L_KEYWORD_ISSR_208012915_ASIA_SALES_GROWTH">#REF!</definedName>
    <definedName name="L_KEYWORD_ISSR_208012915_ASSOC_JV_ADDBK">#REF!</definedName>
    <definedName name="L_KEYWORD_ISSR_208012915_ASSOCIATE">#REF!</definedName>
    <definedName name="L_KEYWORD_ISSR_208012915_ASSOCIATE_OP">#REF!</definedName>
    <definedName name="L_KEYWORD_ISSR_208012915_BAL_MINO_INT">#REF!</definedName>
    <definedName name="L_KEYWORD_ISSR_208012915_CAP_LEASES">#REF!</definedName>
    <definedName name="L_KEYWORD_ISSR_208012915_CAPEX">#REF!</definedName>
    <definedName name="L_KEYWORD_ISSR_208012915_CAPEX_EXPANSION">#REF!</definedName>
    <definedName name="L_KEYWORD_ISSR_208012915_CAPEX_MAINTENANCE">#REF!</definedName>
    <definedName name="L_KEYWORD_ISSR_208012915_CASH_EQ">#REF!</definedName>
    <definedName name="L_KEYWORD_ISSR_208012915_CASH_INT_EXP">#REF!</definedName>
    <definedName name="L_KEYWORD_ISSR_208012915_CASH_TAX_EXP">#REF!</definedName>
    <definedName name="L_KEYWORD_ISSR_208012915_CF_FIN">#REF!</definedName>
    <definedName name="L_KEYWORD_ISSR_208012915_CF_INC_MINORITY">#REF!</definedName>
    <definedName name="L_KEYWORD_ISSR_208012915_CF_INV">#REF!</definedName>
    <definedName name="L_KEYWORD_ISSR_208012915_CF_OPS">#REF!</definedName>
    <definedName name="L_KEYWORD_ISSR_208012915_CHG_LT_DEBT">#REF!</definedName>
    <definedName name="L_KEYWORD_ISSR_208012915_CO_BOR_MARGIN">#REF!</definedName>
    <definedName name="L_KEYWORD_ISSR_208012915_COGS_BEEF">#REF!</definedName>
    <definedName name="L_KEYWORD_ISSR_208012915_COGS_CHICKEN">#REF!</definedName>
    <definedName name="L_KEYWORD_ISSR_208012915_COGS_COFFEE">#REF!</definedName>
    <definedName name="L_KEYWORD_ISSR_208012915_COGS_CORN">#REF!</definedName>
    <definedName name="L_KEYWORD_ISSR_208012915_COGS_DAIRY">#REF!</definedName>
    <definedName name="L_KEYWORD_ISSR_208012915_COGS_ENERGY">#REF!</definedName>
    <definedName name="L_KEYWORD_ISSR_208012915_COGS_NUTS">#REF!</definedName>
    <definedName name="L_KEYWORD_ISSR_208012915_COGS_OH_WAGES">#REF!</definedName>
    <definedName name="L_KEYWORD_ISSR_208012915_COGS_OTH_AGRI">#REF!</definedName>
    <definedName name="L_KEYWORD_ISSR_208012915_COGS_OTH_EDIBLE_OIL">#REF!</definedName>
    <definedName name="L_KEYWORD_ISSR_208012915_COGS_PACK_ALUM">#REF!</definedName>
    <definedName name="L_KEYWORD_ISSR_208012915_COGS_PACK_GLASS">#REF!</definedName>
    <definedName name="L_KEYWORD_ISSR_208012915_COGS_PACK_OIL_DERIV">#REF!</definedName>
    <definedName name="L_KEYWORD_ISSR_208012915_COGS_PACK_PAPER">#REF!</definedName>
    <definedName name="L_KEYWORD_ISSR_208012915_COGS_PACK_TIN">#REF!</definedName>
    <definedName name="L_KEYWORD_ISSR_208012915_COGS_PALM_OIL">#REF!</definedName>
    <definedName name="L_KEYWORD_ISSR_208012915_COGS_PORK">#REF!</definedName>
    <definedName name="L_KEYWORD_ISSR_208012915_COGS_RAW_OIL_DERIV">#REF!</definedName>
    <definedName name="L_KEYWORD_ISSR_208012915_COGS_RAW_OTH">#REF!</definedName>
    <definedName name="L_KEYWORD_ISSR_208012915_COGS_RAW_PULP">#REF!</definedName>
    <definedName name="L_KEYWORD_ISSR_208012915_COGS_SOYBEAN">#REF!</definedName>
    <definedName name="L_KEYWORD_ISSR_208012915_COGS_SUGAR">#REF!</definedName>
    <definedName name="L_KEYWORD_ISSR_208012915_COGS_TOBACCO">#REF!</definedName>
    <definedName name="L_KEYWORD_ISSR_208012915_COGS_WHEAT">#REF!</definedName>
    <definedName name="L_KEYWORD_ISSR_208012915_CONTRIB_MARGIN_RATIO">#REF!</definedName>
    <definedName name="L_KEYWORD_ISSR_208012915_COST_GD_SD">#REF!</definedName>
    <definedName name="L_KEYWORD_ISSR_208012915_CUR_ASS">#REF!</definedName>
    <definedName name="L_KEYWORD_ISSR_208012915_CURRENCY_ISO">#REF!</definedName>
    <definedName name="L_KEYWORD_ISSR_208012915_DEBTORS">#REF!</definedName>
    <definedName name="L_KEYWORD_ISSR_208012915_DEF_INC_TAX">#REF!</definedName>
    <definedName name="L_KEYWORD_ISSR_208012915_DEPR_AMORT">#REF!</definedName>
    <definedName name="L_KEYWORD_ISSR_208012915_DEPREC">#REF!</definedName>
    <definedName name="L_KEYWORD_ISSR_208012915_DIV_PAID">#REF!</definedName>
    <definedName name="L_KEYWORD_ISSR_208012915_DIVDS_ASSOC_JV">#REF!</definedName>
    <definedName name="L_KEYWORD_ISSR_208012915_DIVDS_PD_MINORITIES">#REF!</definedName>
    <definedName name="L_KEYWORD_ISSR_208012915_DIVEST">#REF!</definedName>
    <definedName name="L_KEYWORD_ISSR_208012915_EBIT">#REF!</definedName>
    <definedName name="L_KEYWORD_ISSR_208012915_EBITDA_CALC">#REF!</definedName>
    <definedName name="L_KEYWORD_ISSR_208012915_EEMEA_SALES_GROWTH">#REF!</definedName>
    <definedName name="L_KEYWORD_ISSR_208012915_EMPLOYEES">#REF!</definedName>
    <definedName name="L_KEYWORD_ISSR_208012915_EQ">#REF!</definedName>
    <definedName name="L_KEYWORD_ISSR_208012915_EUROPE_SALES_GROWTH">#REF!</definedName>
    <definedName name="L_KEYWORD_ISSR_208012915_EXP_ALUMINIUM">#REF!</definedName>
    <definedName name="L_KEYWORD_ISSR_208012915_EXP_BEEF">#REF!</definedName>
    <definedName name="L_KEYWORD_ISSR_208012915_EXP_CHICKEN">#REF!</definedName>
    <definedName name="L_KEYWORD_ISSR_208012915_EXP_COCOA">#REF!</definedName>
    <definedName name="L_KEYWORD_ISSR_208012915_EXP_COFFEE">#REF!</definedName>
    <definedName name="L_KEYWORD_ISSR_208012915_EXP_CORN">#REF!</definedName>
    <definedName name="L_KEYWORD_ISSR_208012915_EXP_DAIRY">#REF!</definedName>
    <definedName name="L_KEYWORD_ISSR_208012915_EXP_GLASS">#REF!</definedName>
    <definedName name="L_KEYWORD_ISSR_208012915_EXP_NUTS">#REF!</definedName>
    <definedName name="L_KEYWORD_ISSR_208012915_EXP_OIL_DERIV_NGLS_PLASTICS">#REF!</definedName>
    <definedName name="L_KEYWORD_ISSR_208012915_EXP_OIL_PETRO_FUEL">#REF!</definedName>
    <definedName name="L_KEYWORD_ISSR_208012915_EXP_OTH_COMMODITY">#REF!</definedName>
    <definedName name="L_KEYWORD_ISSR_208012915_EXP_OTH_COST">#REF!</definedName>
    <definedName name="L_KEYWORD_ISSR_208012915_EXP_OTH_EDIBLE_OIL">#REF!</definedName>
    <definedName name="L_KEYWORD_ISSR_208012915_EXP_PALM_OIL">#REF!</definedName>
    <definedName name="L_KEYWORD_ISSR_208012915_EXP_PAPER_PULP">#REF!</definedName>
    <definedName name="L_KEYWORD_ISSR_208012915_EXP_PORK">#REF!</definedName>
    <definedName name="L_KEYWORD_ISSR_208012915_EXP_SOYBEAN">#REF!</definedName>
    <definedName name="L_KEYWORD_ISSR_208012915_EXP_STEEL">#REF!</definedName>
    <definedName name="L_KEYWORD_ISSR_208012915_EXP_SUGAR">#REF!</definedName>
    <definedName name="L_KEYWORD_ISSR_208012915_EXP_TIN">#REF!</definedName>
    <definedName name="L_KEYWORD_ISSR_208012915_EXP_WATER">#REF!</definedName>
    <definedName name="L_KEYWORD_ISSR_208012915_EXP_WHEAT">#REF!</definedName>
    <definedName name="L_KEYWORD_ISSR_208012915_FIX_ASS_INV">#REF!</definedName>
    <definedName name="L_KEYWORD_ISSR_208012915_GCI_INFL">#REF!</definedName>
    <definedName name="L_KEYWORD_ISSR_208012915_GOODWILL_AMORT">#REF!</definedName>
    <definedName name="L_KEYWORD_ISSR_208012915_GR_FIX_ASS">#REF!</definedName>
    <definedName name="L_KEYWORD_ISSR_208012915_GR_INTANG">#REF!</definedName>
    <definedName name="L_KEYWORD_ISSR_208012915_INT_EXP_IND">#REF!</definedName>
    <definedName name="L_KEYWORD_ISSR_208012915_INT_INC_IND">#REF!</definedName>
    <definedName name="L_KEYWORD_ISSR_208012915_INV_SECUR">#REF!</definedName>
    <definedName name="L_KEYWORD_ISSR_208012915_Issuer_Name">#REF!</definedName>
    <definedName name="L_KEYWORD_ISSR_208012915_LATAM_SALES_GROWTH">#REF!</definedName>
    <definedName name="L_KEYWORD_ISSR_208012915_LEASE_DEEM_DEPR">#REF!</definedName>
    <definedName name="L_KEYWORD_ISSR_208012915_LEASE_DEEM_INT">#REF!</definedName>
    <definedName name="L_KEYWORD_ISSR_208012915_LEASE_PAY">#REF!</definedName>
    <definedName name="L_KEYWORD_ISSR_208012915_LT_DEBT">#REF!</definedName>
    <definedName name="L_KEYWORD_ISSR_208012915_MEDIA_ADVERTISING">#REF!</definedName>
    <definedName name="L_KEYWORD_ISSR_208012915_MINORITIES">#REF!</definedName>
    <definedName name="L_KEYWORD_ISSR_208012915_MV_ASSOCIATES">#REF!</definedName>
    <definedName name="L_KEYWORD_ISSR_208012915_NAMERICA_SALES_GROWTH">#REF!</definedName>
    <definedName name="L_KEYWORD_ISSR_208012915_NET_DEBT">#REF!</definedName>
    <definedName name="L_KEYWORD_ISSR_208012915_NET_DEBT_ADJ">#REF!</definedName>
    <definedName name="L_KEYWORD_ISSR_208012915_NET_FIX_ASS">#REF!</definedName>
    <definedName name="L_KEYWORD_ISSR_208012915_NET_INT_CH">#REF!</definedName>
    <definedName name="L_KEYWORD_ISSR_208012915_NET_INT_EXP">#REF!</definedName>
    <definedName name="L_KEYWORD_ISSR_208012915_NET_INTANG">#REF!</definedName>
    <definedName name="L_KEYWORD_ISSR_208012915_NONPPE_CAPEX">#REF!</definedName>
    <definedName name="L_KEYWORD_ISSR_208012915_OP_COST">#REF!</definedName>
    <definedName name="L_KEYWORD_ISSR_208012915_ORD_SH_FUND">#REF!</definedName>
    <definedName name="L_KEYWORD_ISSR_208012915_ORG_REV_GRTH">#REF!</definedName>
    <definedName name="L_KEYWORD_ISSR_208012915_OTH_COST_INC">#REF!</definedName>
    <definedName name="L_KEYWORD_ISSR_208012915_OTH_CUR_ASS">#REF!</definedName>
    <definedName name="L_KEYWORD_ISSR_208012915_OTH_CUR_LIABS">#REF!</definedName>
    <definedName name="L_KEYWORD_ISSR_208012915_OTH_DACF_ADJ">#REF!</definedName>
    <definedName name="L_KEYWORD_ISSR_208012915_OTH_FIN_CF">#REF!</definedName>
    <definedName name="L_KEYWORD_ISSR_208012915_OTH_GCI_ADJ">#REF!</definedName>
    <definedName name="L_KEYWORD_ISSR_208012915_OTH_INV_CF">#REF!</definedName>
    <definedName name="L_KEYWORD_ISSR_208012915_OTH_LT_ASS">#REF!</definedName>
    <definedName name="L_KEYWORD_ISSR_208012915_OTH_LT_CRED_GQ">#REF!</definedName>
    <definedName name="L_KEYWORD_ISSR_208012915_OTH_NONCASH_ADJ">#REF!</definedName>
    <definedName name="L_KEYWORD_ISSR_208012915_OTH_OP_CF">#REF!</definedName>
    <definedName name="L_KEYWORD_ISSR_208012915_OTH_OP_INC_EXP">#REF!</definedName>
    <definedName name="L_KEYWORD_ISSR_208012915_PERIOD_MILESTONE">#REF!</definedName>
    <definedName name="L_KEYWORD_ISSR_208012915_PERSONNEL">#REF!</definedName>
    <definedName name="L_KEYWORD_ISSR_208012915_PL_SALE_ASSETS">#REF!</definedName>
    <definedName name="L_KEYWORD_ISSR_208012915_PREF_SH">#REF!</definedName>
    <definedName name="L_KEYWORD_ISSR_208012915_PROFIT_ON_DISP">#REF!</definedName>
    <definedName name="L_KEYWORD_ISSR_208012915_PT_PROF">#REF!</definedName>
    <definedName name="L_KEYWORD_ISSR_208012915_RD_EXP">#REF!</definedName>
    <definedName name="L_KEYWORD_ISSR_208012915_SALES">#REF!</definedName>
    <definedName name="L_KEYWORD_ISSR_208012915_SALES_BEEF">#REF!</definedName>
    <definedName name="L_KEYWORD_ISSR_208012915_SALES_BRAZIL">#REF!</definedName>
    <definedName name="L_KEYWORD_ISSR_208012915_SALES_CEE">#REF!</definedName>
    <definedName name="L_KEYWORD_ISSR_208012915_SALES_CHICKEN">#REF!</definedName>
    <definedName name="L_KEYWORD_ISSR_208012915_SALES_CHINA">#REF!</definedName>
    <definedName name="L_KEYWORD_ISSR_208012915_SALES_COCOA">#REF!</definedName>
    <definedName name="L_KEYWORD_ISSR_208012915_SALES_COFFEE">#REF!</definedName>
    <definedName name="L_KEYWORD_ISSR_208012915_SALES_CONS">#REF!</definedName>
    <definedName name="L_KEYWORD_ISSR_208012915_SALES_CORN">#REF!</definedName>
    <definedName name="L_KEYWORD_ISSR_208012915_SALES_DAIRY">#REF!</definedName>
    <definedName name="L_KEYWORD_ISSR_208012915_SALES_EU_EX_UK">#REF!</definedName>
    <definedName name="L_KEYWORD_ISSR_208012915_SALES_FINAN">#REF!</definedName>
    <definedName name="L_KEYWORD_ISSR_208012915_SALES_FX_BRL">#REF!</definedName>
    <definedName name="L_KEYWORD_ISSR_208012915_SALES_FX_CNY">#REF!</definedName>
    <definedName name="L_KEYWORD_ISSR_208012915_SALES_FX_EUR">#REF!</definedName>
    <definedName name="L_KEYWORD_ISSR_208012915_SALES_FX_GPB">#REF!</definedName>
    <definedName name="L_KEYWORD_ISSR_208012915_SALES_FX_INR">#REF!</definedName>
    <definedName name="L_KEYWORD_ISSR_208012915_SALES_FX_KRW">#REF!</definedName>
    <definedName name="L_KEYWORD_ISSR_208012915_SALES_FX_OTH">#REF!</definedName>
    <definedName name="L_KEYWORD_ISSR_208012915_SALES_FX_RUB">#REF!</definedName>
    <definedName name="L_KEYWORD_ISSR_208012915_SALES_FX_TWD">#REF!</definedName>
    <definedName name="L_KEYWORD_ISSR_208012915_SALES_FX_USD">#REF!</definedName>
    <definedName name="L_KEYWORD_ISSR_208012915_SALES_FX_YEN">#REF!</definedName>
    <definedName name="L_KEYWORD_ISSR_208012915_SALES_GOV">#REF!</definedName>
    <definedName name="L_KEYWORD_ISSR_208012915_SALES_IND">#REF!</definedName>
    <definedName name="L_KEYWORD_ISSR_208012915_SALES_INDIA">#REF!</definedName>
    <definedName name="L_KEYWORD_ISSR_208012915_SALES_JAPAN">#REF!</definedName>
    <definedName name="L_KEYWORD_ISSR_208012915_SALES_ME">#REF!</definedName>
    <definedName name="L_KEYWORD_ISSR_208012915_SALES_NUTS">#REF!</definedName>
    <definedName name="L_KEYWORD_ISSR_208012915_SALES_OTH_AEJ">#REF!</definedName>
    <definedName name="L_KEYWORD_ISSR_208012915_SALES_OTH_AM">#REF!</definedName>
    <definedName name="L_KEYWORD_ISSR_208012915_SALES_OTH_COMMODITY">#REF!</definedName>
    <definedName name="L_KEYWORD_ISSR_208012915_SALES_OTH_EMEA">#REF!</definedName>
    <definedName name="L_KEYWORD_ISSR_208012915_SALES_OTH_SALES_SOURCES">#REF!</definedName>
    <definedName name="L_KEYWORD_ISSR_208012915_SALES_OTHER">#REF!</definedName>
    <definedName name="L_KEYWORD_ISSR_208012915_SALES_PORK">#REF!</definedName>
    <definedName name="L_KEYWORD_ISSR_208012915_SALES_RUSSIA">#REF!</definedName>
    <definedName name="L_KEYWORD_ISSR_208012915_SALES_SK">#REF!</definedName>
    <definedName name="L_KEYWORD_ISSR_208012915_SALES_SOYBEAN">#REF!</definedName>
    <definedName name="L_KEYWORD_ISSR_208012915_SALES_SUGAR">#REF!</definedName>
    <definedName name="L_KEYWORD_ISSR_208012915_SALES_TAIWAN">#REF!</definedName>
    <definedName name="L_KEYWORD_ISSR_208012915_SALES_TOT_AFRICA">#REF!</definedName>
    <definedName name="L_KEYWORD_ISSR_208012915_SALES_TOT_AM">#REF!</definedName>
    <definedName name="L_KEYWORD_ISSR_208012915_SALES_TOT_ASIA">#REF!</definedName>
    <definedName name="L_KEYWORD_ISSR_208012915_SALES_TOT_EMEA">#REF!</definedName>
    <definedName name="L_KEYWORD_ISSR_208012915_SALES_UK">#REF!</definedName>
    <definedName name="L_KEYWORD_ISSR_208012915_SALES_US">#REF!</definedName>
    <definedName name="L_KEYWORD_ISSR_208012915_SALES_WATER">#REF!</definedName>
    <definedName name="L_KEYWORD_ISSR_208012915_SALES_WHEAT">#REF!</definedName>
    <definedName name="L_KEYWORD_ISSR_208012915_SEL_GL_AD">#REF!</definedName>
    <definedName name="L_KEYWORD_ISSR_208012915_SH_REPUR">#REF!</definedName>
    <definedName name="L_KEYWORD_ISSR_208012915_SHORT_T_DEBT">#REF!</definedName>
    <definedName name="L_KEYWORD_ISSR_208012915_SHORT_TERM_LIABS">#REF!</definedName>
    <definedName name="L_KEYWORD_ISSR_208012915_STOCKS">#REF!</definedName>
    <definedName name="L_KEYWORD_ISSR_208012915_TOT_ASSET">#REF!</definedName>
    <definedName name="L_KEYWORD_ISSR_208012915_TOT_CF">#REF!</definedName>
    <definedName name="L_KEYWORD_ISSR_208012915_TOT_LIAB">#REF!</definedName>
    <definedName name="L_KEYWORD_ISSR_208012915_TOT_LIAB_EQ">#REF!</definedName>
    <definedName name="L_KEYWORD_ISSR_208012915_TOT_LT_LIAB">#REF!</definedName>
    <definedName name="L_KEYWORD_ISSR_208012915_TOT_OPS_EXP">#REF!</definedName>
    <definedName name="L_KEYWORD_ISSR_208012915_TOT_OPS_EXP_DDA">#REF!</definedName>
    <definedName name="L_KEYWORD_ISSR_208012915_UNF_PENS">#REF!</definedName>
    <definedName name="L_KEYWORD_ISSR_208012915_UNF_PENS_LIAB_OTH">#REF!</definedName>
    <definedName name="L_KEYWORD_ISSR_208012915_UNF_PENS_OFF">#REF!</definedName>
    <definedName name="L_KEYWORD_ISSR_208012915_WORK_CAP">#REF!</definedName>
    <definedName name="L_LIVEDATA_EQTY_200008062" localSheetId="1">#REF!</definedName>
    <definedName name="L_LIVEDATA_EQTY_200008062">#REF!</definedName>
    <definedName name="L_LIVEDATA_EQTY_200012577" localSheetId="1">#REF!</definedName>
    <definedName name="L_LIVEDATA_EQTY_200012577">#REF!</definedName>
    <definedName name="L_LIVEDATA_EQTY_200015373" localSheetId="1">#REF!</definedName>
    <definedName name="L_LIVEDATA_EQTY_200015373">#REF!</definedName>
    <definedName name="L_LIVEDATA_EQTY_200015981">#REF!</definedName>
    <definedName name="L_LIVEDATA_ISSR_208006264" localSheetId="1">#REF!</definedName>
    <definedName name="L_LIVEDATA_ISSR_208006264">#REF!</definedName>
    <definedName name="L_LIVEDATA_ISSR_208009569" localSheetId="1">#REF!</definedName>
    <definedName name="L_LIVEDATA_ISSR_208009569">#REF!</definedName>
    <definedName name="L_LIVEDATA_ISSR_208012915" localSheetId="1">#REF!</definedName>
    <definedName name="L_LIVEDATA_ISSR_208012915">#REF!</definedName>
    <definedName name="L_MANEXP" localSheetId="1">#REF!</definedName>
    <definedName name="L_MANEXP">#REF!</definedName>
    <definedName name="L_NAV" localSheetId="1">#REF!</definedName>
    <definedName name="L_NAV">#REF!</definedName>
    <definedName name="L_NBEV" localSheetId="1">#REF!</definedName>
    <definedName name="L_NBEV">#REF!</definedName>
    <definedName name="L_NBMARGIN">#REF!</definedName>
    <definedName name="L_NBV">#REF!</definedName>
    <definedName name="L_NETACHIEVED">#REF!</definedName>
    <definedName name="L_NWP">#REF!</definedName>
    <definedName name="L_OPVAR">#REF!</definedName>
    <definedName name="L_OTHERPL">#REF!</definedName>
    <definedName name="L_PERIOD_1994">#REF!</definedName>
    <definedName name="L_PERIOD_1995">#REF!</definedName>
    <definedName name="L_PERIOD_1996">#REF!</definedName>
    <definedName name="L_PERIOD_1997">#REF!</definedName>
    <definedName name="L_PERIOD_1998">#REF!</definedName>
    <definedName name="L_PERIOD_1999" localSheetId="9">#REF!</definedName>
    <definedName name="L_PERIOD_1999" localSheetId="1">#REF!</definedName>
    <definedName name="L_PERIOD_1999">#REF!</definedName>
    <definedName name="L_PERIOD_2000" localSheetId="9">#REF!</definedName>
    <definedName name="L_PERIOD_2000" localSheetId="1">#REF!</definedName>
    <definedName name="L_PERIOD_2000">#REF!</definedName>
    <definedName name="L_PERIOD_2001" localSheetId="9">#REF!</definedName>
    <definedName name="L_PERIOD_2001" localSheetId="1">#REF!</definedName>
    <definedName name="L_PERIOD_2001">#REF!</definedName>
    <definedName name="L_PERIOD_2002" localSheetId="9">#REF!</definedName>
    <definedName name="L_PERIOD_2002" localSheetId="1">#REF!</definedName>
    <definedName name="L_PERIOD_2002">#REF!</definedName>
    <definedName name="L_PERIOD_2003" localSheetId="9">#REF!</definedName>
    <definedName name="L_PERIOD_2003" localSheetId="1">#REF!</definedName>
    <definedName name="L_PERIOD_2003">#REF!</definedName>
    <definedName name="L_PERIOD_2004" localSheetId="9">#REF!</definedName>
    <definedName name="L_PERIOD_2004" localSheetId="1">#REF!</definedName>
    <definedName name="L_PERIOD_2004">#REF!</definedName>
    <definedName name="L_PERIOD_2005" localSheetId="9">#REF!</definedName>
    <definedName name="L_PERIOD_2005" localSheetId="1">#REF!</definedName>
    <definedName name="L_PERIOD_2005">#REF!</definedName>
    <definedName name="L_PERIOD_2006" localSheetId="9">#REF!</definedName>
    <definedName name="L_PERIOD_2006" localSheetId="1">#REF!</definedName>
    <definedName name="L_PERIOD_2006">#REF!</definedName>
    <definedName name="L_PERIOD_2007" localSheetId="9">#REF!</definedName>
    <definedName name="L_PERIOD_2007" localSheetId="1">#REF!</definedName>
    <definedName name="L_PERIOD_2007">#REF!</definedName>
    <definedName name="L_PERIOD_2008" localSheetId="9">#REF!</definedName>
    <definedName name="L_PERIOD_2008" localSheetId="1">#REF!</definedName>
    <definedName name="L_PERIOD_2008">#REF!</definedName>
    <definedName name="L_PERIOD_2009" localSheetId="9">#REF!</definedName>
    <definedName name="L_PERIOD_2009" localSheetId="1">#REF!</definedName>
    <definedName name="L_PERIOD_2009_Q1" localSheetId="1">#REF!</definedName>
    <definedName name="L_PERIOD_2009_Q1">#REF!</definedName>
    <definedName name="L_PERIOD_2009_Q2" localSheetId="1">#REF!</definedName>
    <definedName name="L_PERIOD_2009_Q2">#REF!</definedName>
    <definedName name="L_PERIOD_2009_Q3" localSheetId="1">#REF!</definedName>
    <definedName name="L_PERIOD_2009_Q3">#REF!</definedName>
    <definedName name="L_PERIOD_2009_Q4" localSheetId="1">#REF!</definedName>
    <definedName name="L_PERIOD_2009_Q4">#REF!</definedName>
    <definedName name="L_PERIOD_2010" localSheetId="9">#REF!</definedName>
    <definedName name="L_PERIOD_2010" localSheetId="1">#REF!</definedName>
    <definedName name="L_PERIOD_2010_H1" localSheetId="1">#REF!</definedName>
    <definedName name="L_PERIOD_2010_H1">#REF!</definedName>
    <definedName name="L_PERIOD_2010_H2" localSheetId="1">#REF!</definedName>
    <definedName name="L_PERIOD_2010_H2">#REF!</definedName>
    <definedName name="L_PERIOD_2010_Q1" localSheetId="1">#REF!</definedName>
    <definedName name="L_PERIOD_2010_Q1">#REF!</definedName>
    <definedName name="L_PERIOD_2010_Q2" localSheetId="1">#REF!</definedName>
    <definedName name="L_PERIOD_2010_Q2">#REF!</definedName>
    <definedName name="L_PERIOD_2010_Q3" localSheetId="1">#REF!</definedName>
    <definedName name="L_PERIOD_2010_Q3">#REF!</definedName>
    <definedName name="L_PERIOD_2010_Q4" localSheetId="1">#REF!</definedName>
    <definedName name="L_PERIOD_2010_Q4">#REF!</definedName>
    <definedName name="L_PERIOD_2011" localSheetId="9">#REF!</definedName>
    <definedName name="L_PERIOD_2011" localSheetId="1">#REF!</definedName>
    <definedName name="L_PERIOD_2011_H1" localSheetId="1">#REF!</definedName>
    <definedName name="L_PERIOD_2011_H1">#REF!</definedName>
    <definedName name="L_PERIOD_2011_H2" localSheetId="1">#REF!</definedName>
    <definedName name="L_PERIOD_2011_H2">#REF!</definedName>
    <definedName name="L_PERIOD_2011_Q1" localSheetId="1">#REF!</definedName>
    <definedName name="L_PERIOD_2011_Q1">#REF!</definedName>
    <definedName name="L_PERIOD_2011_Q2" localSheetId="1">#REF!</definedName>
    <definedName name="L_PERIOD_2011_Q2">#REF!</definedName>
    <definedName name="L_PERIOD_2011_Q3" localSheetId="1">#REF!</definedName>
    <definedName name="L_PERIOD_2011_Q3">#REF!</definedName>
    <definedName name="L_PERIOD_2011_Q4" localSheetId="1">#REF!</definedName>
    <definedName name="L_PERIOD_2011_Q4">#REF!</definedName>
    <definedName name="L_PERIOD_2012" localSheetId="1">#REF!</definedName>
    <definedName name="L_PERIOD_2012_H1" localSheetId="1">#REF!</definedName>
    <definedName name="L_PERIOD_2012_H1">#REF!</definedName>
    <definedName name="L_PERIOD_2012_H2" localSheetId="1">#REF!</definedName>
    <definedName name="L_PERIOD_2012_H2">#REF!</definedName>
    <definedName name="L_PERIOD_2012_Q1" localSheetId="1">#REF!</definedName>
    <definedName name="L_PERIOD_2012_Q1">#REF!</definedName>
    <definedName name="L_PERIOD_2012_Q2" localSheetId="1">#REF!</definedName>
    <definedName name="L_PERIOD_2012_Q2">#REF!</definedName>
    <definedName name="L_PERIOD_2012_Q3" localSheetId="1">#REF!</definedName>
    <definedName name="L_PERIOD_2012_Q3">#REF!</definedName>
    <definedName name="L_PERIOD_2012_Q4" localSheetId="1">#REF!</definedName>
    <definedName name="L_PERIOD_2012_Q4">#REF!</definedName>
    <definedName name="L_PERIOD_2013" localSheetId="1">#REF!</definedName>
    <definedName name="L_PERIOD_2013_Q1" localSheetId="1">#REF!</definedName>
    <definedName name="L_PERIOD_2013_Q1">#REF!</definedName>
    <definedName name="L_PERIOD_2013_Q2" localSheetId="1">#REF!</definedName>
    <definedName name="L_PERIOD_2013_Q2">#REF!</definedName>
    <definedName name="L_PERIOD_2013_Q3" localSheetId="1">#REF!</definedName>
    <definedName name="L_PERIOD_2013_Q3">#REF!</definedName>
    <definedName name="L_PERIOD_2013_Q4" localSheetId="1">#REF!</definedName>
    <definedName name="L_PERIOD_2013_Q4">#REF!</definedName>
    <definedName name="L_PERIOD_2014" localSheetId="1">#REF!</definedName>
    <definedName name="L_PERIOD_2015" localSheetId="1">#REF!</definedName>
    <definedName name="L_PPRETAX" localSheetId="1">#REF!</definedName>
    <definedName name="L_PPRETAX">#REF!</definedName>
    <definedName name="L_PRETAX" localSheetId="1">#REF!</definedName>
    <definedName name="L_PRETAX">#REF!</definedName>
    <definedName name="L_RNAV" localSheetId="1">#REF!</definedName>
    <definedName name="L_RNAV">#REF!</definedName>
    <definedName name="L_SECTION_EQTY_200008062_1314">#REF!</definedName>
    <definedName name="L_SECTION_EQTY_200008062_131E">#REF!</definedName>
    <definedName name="L_SECTION_EQTY_200008062_131O">#REF!</definedName>
    <definedName name="L_SECTION_EQTY_200008062_13A">#REF!</definedName>
    <definedName name="L_SECTION_EQTY_200008062_13K">#REF!</definedName>
    <definedName name="L_SECTION_EQTY_200008062_13U">#REF!</definedName>
    <definedName name="L_SECTION_EQTY_200008062_13V">#REF!</definedName>
    <definedName name="L_SECTION_EQTY_200008062_Reference_Data">#REF!</definedName>
    <definedName name="L_SECTION_EQTY_200012577_1314">#REF!</definedName>
    <definedName name="L_SECTION_EQTY_200012577_131E">#REF!</definedName>
    <definedName name="L_SECTION_EQTY_200012577_131O">#REF!</definedName>
    <definedName name="L_SECTION_EQTY_200012577_13A">#REF!</definedName>
    <definedName name="L_SECTION_EQTY_200012577_13K">#REF!</definedName>
    <definedName name="L_SECTION_EQTY_200012577_13U">#REF!</definedName>
    <definedName name="L_SECTION_EQTY_200012577_13V">#REF!</definedName>
    <definedName name="L_SECTION_EQTY_200012577_Reference_Data">#REF!</definedName>
    <definedName name="L_SECTION_EQTY_200015373_1314">#REF!</definedName>
    <definedName name="L_SECTION_EQTY_200015373_131E">#REF!</definedName>
    <definedName name="L_SECTION_EQTY_200015373_131O">#REF!</definedName>
    <definedName name="L_SECTION_EQTY_200015373_13A">#REF!</definedName>
    <definedName name="L_SECTION_EQTY_200015373_13K">#REF!</definedName>
    <definedName name="L_SECTION_EQTY_200015373_13U">#REF!</definedName>
    <definedName name="L_SECTION_EQTY_200015373_13V">#REF!</definedName>
    <definedName name="L_SECTION_EQTY_200015373_Reference_Data">#REF!</definedName>
    <definedName name="L_SECTION_EQTY_200015981_1314">#REF!</definedName>
    <definedName name="L_SECTION_EQTY_200015981_131E">#REF!</definedName>
    <definedName name="L_SECTION_EQTY_200015981_131O">#REF!</definedName>
    <definedName name="L_SECTION_EQTY_200015981_13A">#REF!</definedName>
    <definedName name="L_SECTION_EQTY_200015981_13K">#REF!</definedName>
    <definedName name="L_SECTION_EQTY_200015981_13U">#REF!</definedName>
    <definedName name="L_SECTION_EQTY_200015981_13V">#REF!</definedName>
    <definedName name="L_SECTION_EQTY_200015981_Reference_Data">#REF!</definedName>
    <definedName name="L_SECTION_ISSR_208006264_1314" localSheetId="1">#REF!</definedName>
    <definedName name="L_SECTION_ISSR_208006264_1314">#REF!</definedName>
    <definedName name="L_SECTION_ISSR_208006264_13168" localSheetId="1">#REF!</definedName>
    <definedName name="L_SECTION_ISSR_208006264_13168">#REF!</definedName>
    <definedName name="L_SECTION_ISSR_208006264_1316S" localSheetId="1">#REF!</definedName>
    <definedName name="L_SECTION_ISSR_208006264_1316S">#REF!</definedName>
    <definedName name="L_SECTION_ISSR_208006264_1316T">#REF!</definedName>
    <definedName name="L_SECTION_ISSR_208006264_1316U">#REF!</definedName>
    <definedName name="L_SECTION_ISSR_208006264_13171">#REF!</definedName>
    <definedName name="L_SECTION_ISSR_208006264_13172">#REF!</definedName>
    <definedName name="L_SECTION_ISSR_208006264_1319">#REF!</definedName>
    <definedName name="L_SECTION_ISSR_208006264_131E">#REF!</definedName>
    <definedName name="L_SECTION_ISSR_208006264_131J">#REF!</definedName>
    <definedName name="L_SECTION_ISSR_208006264_131O">#REF!</definedName>
    <definedName name="L_SECTION_ISSR_208006264_13U">#REF!</definedName>
    <definedName name="L_SECTION_ISSR_208006264_13V">#REF!</definedName>
    <definedName name="L_SECTION_ISSR_208006264_Reference_Data">#REF!</definedName>
    <definedName name="L_SECTION_ISSR_208009569_1314">#REF!</definedName>
    <definedName name="L_SECTION_ISSR_208009569_13168">#REF!</definedName>
    <definedName name="L_SECTION_ISSR_208009569_1316U">#REF!</definedName>
    <definedName name="L_SECTION_ISSR_208009569_1319">#REF!</definedName>
    <definedName name="L_SECTION_ISSR_208009569_131E">#REF!</definedName>
    <definedName name="L_SECTION_ISSR_208009569_131J">#REF!</definedName>
    <definedName name="L_SECTION_ISSR_208009569_131O">#REF!</definedName>
    <definedName name="L_SECTION_ISSR_208009569_13U">#REF!</definedName>
    <definedName name="L_SECTION_ISSR_208009569_13V">#REF!</definedName>
    <definedName name="L_SECTION_ISSR_208009569_Reference_Data">#REF!</definedName>
    <definedName name="L_SECTION_ISSR_208012915_1314">#REF!</definedName>
    <definedName name="L_SECTION_ISSR_208012915_13168">#REF!</definedName>
    <definedName name="L_SECTION_ISSR_208012915_1316S">#REF!</definedName>
    <definedName name="L_SECTION_ISSR_208012915_1316T">#REF!</definedName>
    <definedName name="L_SECTION_ISSR_208012915_1316U">#REF!</definedName>
    <definedName name="L_SECTION_ISSR_208012915_13171">#REF!</definedName>
    <definedName name="L_SECTION_ISSR_208012915_13172">#REF!</definedName>
    <definedName name="L_SECTION_ISSR_208012915_1319">#REF!</definedName>
    <definedName name="L_SECTION_ISSR_208012915_131E">#REF!</definedName>
    <definedName name="L_SECTION_ISSR_208012915_131J">#REF!</definedName>
    <definedName name="L_SECTION_ISSR_208012915_131O">#REF!</definedName>
    <definedName name="L_SECTION_ISSR_208012915_13U">#REF!</definedName>
    <definedName name="L_SECTION_ISSR_208012915_13V">#REF!</definedName>
    <definedName name="L_SECTION_ISSR_208012915_Reference_Data">#REF!</definedName>
    <definedName name="L_TOTAL_COMPANY" localSheetId="1">#REF!</definedName>
    <definedName name="L_TOTAL_COMPANY">#REF!</definedName>
    <definedName name="L_TOTEV" localSheetId="1">#REF!</definedName>
    <definedName name="L_TOTEV">#REF!</definedName>
    <definedName name="L_TOTEXP" localSheetId="1">#REF!</definedName>
    <definedName name="L_TOTEXP">#REF!</definedName>
    <definedName name="L_TOTINVINC">#REF!</definedName>
    <definedName name="L_TOTRESERVE">#REF!</definedName>
    <definedName name="L_TRADRESERVE">#REF!</definedName>
    <definedName name="L_ULRESERVE">#REF!</definedName>
    <definedName name="L_UNWIND">#REF!</definedName>
    <definedName name="L_VIF">#REF!</definedName>
    <definedName name="Last_Update">#REF!</definedName>
    <definedName name="LastActualYear" localSheetId="4">#REF!</definedName>
    <definedName name="LastActualYear" localSheetId="1">#REF!</definedName>
    <definedName name="LastActualYear">#REF!</definedName>
    <definedName name="LatestActualGrossDebt" localSheetId="1">#REF!</definedName>
    <definedName name="LatestActualGrossDebt">#REF!</definedName>
    <definedName name="Less__Bank___Other_Debt" localSheetId="5">#REF!</definedName>
    <definedName name="Less__Bank___Other_Debt" localSheetId="1">#REF!</definedName>
    <definedName name="Less__Bank___Other_Debt">#REF!</definedName>
    <definedName name="Less__Minorities" localSheetId="5">#REF!</definedName>
    <definedName name="Less__Minorities" localSheetId="1">#REF!</definedName>
    <definedName name="Less__Minorities">#REF!</definedName>
    <definedName name="Leverage" localSheetId="1">#REF!</definedName>
    <definedName name="Leverage">#REF!</definedName>
    <definedName name="LGEN" localSheetId="1">#REF!</definedName>
    <definedName name="LGEN">#REF!</definedName>
    <definedName name="Liberalization" localSheetId="1">#REF!</definedName>
    <definedName name="Liberalization">#REF!</definedName>
    <definedName name="library">#REF!</definedName>
    <definedName name="library_ds">#REF!</definedName>
    <definedName name="library_name">#REF!</definedName>
    <definedName name="LicenseeSales">#REF!</definedName>
    <definedName name="Links">#REF!</definedName>
    <definedName name="Liquidity" localSheetId="1">#REF!</definedName>
    <definedName name="Liquidity">#REF!</definedName>
    <definedName name="listdate" localSheetId="1">#REF!</definedName>
    <definedName name="listdate">#REF!</definedName>
    <definedName name="LiveReqs">#REF!</definedName>
    <definedName name="lkj">#REF!</definedName>
    <definedName name="LNC" localSheetId="1">#REF!</definedName>
    <definedName name="LNC">#REF!</definedName>
    <definedName name="LnPrv89">#REF!</definedName>
    <definedName name="LnPrv90">#REF!</definedName>
    <definedName name="LnPrv91">#REF!</definedName>
    <definedName name="LnPrv92">#REF!</definedName>
    <definedName name="LnPrv93">#REF!</definedName>
    <definedName name="LnPrv94">#REF!</definedName>
    <definedName name="LnPrv95">#REF!</definedName>
    <definedName name="Loading" localSheetId="1">#REF!</definedName>
    <definedName name="Loading">#REF!</definedName>
    <definedName name="Loan_Loss_Provision_fore" localSheetId="1">#REF!</definedName>
    <definedName name="Loan_Loss_Provision_fore">#REF!</definedName>
    <definedName name="loan97" localSheetId="1">#REF!</definedName>
    <definedName name="loan97">#REF!</definedName>
    <definedName name="loan98" localSheetId="1">#REF!</definedName>
    <definedName name="loan98">#REF!</definedName>
    <definedName name="loan99">#REF!</definedName>
    <definedName name="LoanAllow88">#REF!</definedName>
    <definedName name="LoanAllow89">#REF!</definedName>
    <definedName name="LoanAllow90">#REF!</definedName>
    <definedName name="LoanAllow91">#REF!</definedName>
    <definedName name="LoanAllow92">#REF!</definedName>
    <definedName name="LoanAllow93">#REF!</definedName>
    <definedName name="LoanAllow94">#REF!</definedName>
    <definedName name="LoanAllow95">#REF!</definedName>
    <definedName name="LoanBreakdown">#REF!</definedName>
    <definedName name="LOB_valuation" localSheetId="1">#REF!</definedName>
    <definedName name="LOB_valuation">#REF!</definedName>
    <definedName name="LOCAL" localSheetId="1">#REF!</definedName>
    <definedName name="LOCAL">#REF!</definedName>
    <definedName name="local_costs">#REF!</definedName>
    <definedName name="local_gm">#REF!</definedName>
    <definedName name="local_gp">#REF!</definedName>
    <definedName name="local_revs">#REF!</definedName>
    <definedName name="Long_term_debt">#REF!</definedName>
    <definedName name="LP" localSheetId="4">#REF!</definedName>
    <definedName name="LP" localSheetId="5">#REF!</definedName>
    <definedName name="LP" localSheetId="1">#REF!</definedName>
    <definedName name="LP">#REF!</definedName>
    <definedName name="LP52Hi" localSheetId="4">#REF!</definedName>
    <definedName name="LP52Hi" localSheetId="5">#REF!</definedName>
    <definedName name="LP52Hi">#REF!</definedName>
    <definedName name="LP52Lo" localSheetId="4">#REF!</definedName>
    <definedName name="LP52Lo" localSheetId="5">#REF!</definedName>
    <definedName name="LP52Lo">#REF!</definedName>
    <definedName name="lptl">"ld"</definedName>
    <definedName name="lshares">#REF!</definedName>
    <definedName name="LT_debt_growth_fore">#REF!</definedName>
    <definedName name="LT_int_bearing_assets">#REF!</definedName>
    <definedName name="LTAss" localSheetId="1">#REF!</definedName>
    <definedName name="LTAss">#REF!</definedName>
    <definedName name="LTAssOther" localSheetId="1">#REF!</definedName>
    <definedName name="LTAssOther">#REF!</definedName>
    <definedName name="ltd">#REF!</definedName>
    <definedName name="ltdebt">#REF!</definedName>
    <definedName name="ltgr" localSheetId="1">#REF!</definedName>
    <definedName name="ltgr">#REF!</definedName>
    <definedName name="ltgrowth">#REF!</definedName>
    <definedName name="m">#REF!</definedName>
    <definedName name="M_PlaceofPath" hidden="1">"\\SNYCEQT0100\HOME\LZURLO\DATA\TELMEX\Models\tmx_vdf.xls"</definedName>
    <definedName name="M69M354" localSheetId="14">#REF!</definedName>
    <definedName name="M69M354">#REF!</definedName>
    <definedName name="Macau_costs">#REF!</definedName>
    <definedName name="Macau_revenues">#REF!</definedName>
    <definedName name="Macro12" localSheetId="14">#N/A</definedName>
    <definedName name="Macro12">#REF!</definedName>
    <definedName name="Macro3" localSheetId="14">#N/A</definedName>
    <definedName name="Macro3">#REF!</definedName>
    <definedName name="MACROS">#REF!</definedName>
    <definedName name="MaintenanceCapex">#REF!</definedName>
    <definedName name="Malaysia">#REF!</definedName>
    <definedName name="MAP" localSheetId="1">#REF!</definedName>
    <definedName name="MAP">#REF!</definedName>
    <definedName name="Margin_multiple">#REF!</definedName>
    <definedName name="Market_capitalization">#REF!</definedName>
    <definedName name="MARKETCAPRMB" localSheetId="1">#REF!</definedName>
    <definedName name="MARKETCAPRMB" localSheetId="14">#REF!</definedName>
    <definedName name="MARKETCAPRMB">#REF!</definedName>
    <definedName name="Marketing___Admin._costs">#REF!</definedName>
    <definedName name="MarketValue" localSheetId="1">#REF!</definedName>
    <definedName name="MarketValue">#REF!</definedName>
    <definedName name="markval">#REF!</definedName>
    <definedName name="Massive">#REF!</definedName>
    <definedName name="Master_RNK_index">#REF!</definedName>
    <definedName name="mat1q95eps">#REF!</definedName>
    <definedName name="mat1q96eps">#REF!</definedName>
    <definedName name="mat1q97eps">#REF!</definedName>
    <definedName name="mat2q95eps">#REF!</definedName>
    <definedName name="mat2q96eps">#REF!</definedName>
    <definedName name="mat2q97eps">#REF!</definedName>
    <definedName name="mat3q95eps">#REF!</definedName>
    <definedName name="mat3q96eps">#REF!</definedName>
    <definedName name="mat3q97eps">#REF!</definedName>
    <definedName name="mat4q95eps">#REF!</definedName>
    <definedName name="mat4q96eps">#REF!</definedName>
    <definedName name="mat4q97eps">#REF!</definedName>
    <definedName name="mat5YEARROE">#REF!</definedName>
    <definedName name="mat5YREPS">#REF!</definedName>
    <definedName name="mat95bookvalshare">#REF!</definedName>
    <definedName name="mat95casheps">#REF!</definedName>
    <definedName name="mat95roe">#REF!</definedName>
    <definedName name="mat96bookvalshare">#REF!</definedName>
    <definedName name="mat96casheps">#REF!</definedName>
    <definedName name="mat96roe">#REF!</definedName>
    <definedName name="mat97bookvalshare">#REF!</definedName>
    <definedName name="mat97casheps">#REF!</definedName>
    <definedName name="mat97roe">#REF!</definedName>
    <definedName name="matcomments">#REF!</definedName>
    <definedName name="matNORMORE">#REF!</definedName>
    <definedName name="matNORMROE">#REF!</definedName>
    <definedName name="matrix" localSheetId="1">#REF!</definedName>
    <definedName name="matrix">#REF!</definedName>
    <definedName name="matROE">#REF!</definedName>
    <definedName name="Mattel__Inc.">#REF!</definedName>
    <definedName name="MATURITY" localSheetId="1">#REF!</definedName>
    <definedName name="MATURITY">#REF!</definedName>
    <definedName name="mcapex">#REF!</definedName>
    <definedName name="MED" localSheetId="1">#REF!</definedName>
    <definedName name="MED">#REF!</definedName>
    <definedName name="MemFree">#REF!</definedName>
    <definedName name="MemTotal">#REF!</definedName>
    <definedName name="MET" localSheetId="1">#REF!</definedName>
    <definedName name="MET">#REF!</definedName>
    <definedName name="MFC.CA" localSheetId="1">#REF!</definedName>
    <definedName name="MFC.CA">#REF!</definedName>
    <definedName name="MFG" localSheetId="1">#REF!</definedName>
    <definedName name="MFG">#REF!</definedName>
    <definedName name="mgmt" localSheetId="1">#REF!</definedName>
    <definedName name="mgmt">#REF!</definedName>
    <definedName name="mgn">#REF!</definedName>
    <definedName name="mi00">#REF!</definedName>
    <definedName name="mibs">#REF!</definedName>
    <definedName name="Midland">#REF!</definedName>
    <definedName name="MinIntA" localSheetId="1">#REF!</definedName>
    <definedName name="MinIntA">#REF!</definedName>
    <definedName name="MinIntP" localSheetId="1">#REF!</definedName>
    <definedName name="MinIntP">#REF!</definedName>
    <definedName name="minorities">#REF!</definedName>
    <definedName name="Minority">#REF!</definedName>
    <definedName name="Minority_interests">#REF!</definedName>
    <definedName name="mipl">#REF!</definedName>
    <definedName name="MKL" localSheetId="1">#REF!</definedName>
    <definedName name="MKL">#REF!</definedName>
    <definedName name="mktcap" localSheetId="1">#REF!</definedName>
    <definedName name="mktcap">#REF!</definedName>
    <definedName name="MktDmnsn" localSheetId="1">#REF!</definedName>
    <definedName name="MktDmnsn">#REF!</definedName>
    <definedName name="MNY">#REF!</definedName>
    <definedName name="Monthlies_title">#N/A</definedName>
    <definedName name="Monthly" localSheetId="1">#REF!</definedName>
    <definedName name="Monthly">#REF!</definedName>
    <definedName name="mortloan" localSheetId="1">#REF!</definedName>
    <definedName name="mortloan">#REF!</definedName>
    <definedName name="MXRE" localSheetId="1">#REF!</definedName>
    <definedName name="MXRE">#REF!</definedName>
    <definedName name="n">#REF!</definedName>
    <definedName name="N225current" localSheetId="1">#REF!</definedName>
    <definedName name="N225current">#REF!</definedName>
    <definedName name="N225previous" localSheetId="1">#REF!</definedName>
    <definedName name="N225previous">#REF!</definedName>
    <definedName name="name" localSheetId="1">#REF!</definedName>
    <definedName name="name">#REF!</definedName>
    <definedName name="napt01">#REF!</definedName>
    <definedName name="nas">#REF!</definedName>
    <definedName name="natsustROE">#REF!</definedName>
    <definedName name="navest" localSheetId="1">#REF!</definedName>
    <definedName name="navest">#REF!</definedName>
    <definedName name="nbd" localSheetId="1">#REF!</definedName>
    <definedName name="nbd">#REF!</definedName>
    <definedName name="nbn" localSheetId="1">#REF!</definedName>
    <definedName name="nbn">#REF!</definedName>
    <definedName name="Nbr_of_employees__avg">#REF!</definedName>
    <definedName name="Nbr_of_employees__Y_E">#REF!</definedName>
    <definedName name="Nbr_of_employees_comp_units_Y_E">#REF!</definedName>
    <definedName name="NBV" localSheetId="1">#REF!</definedName>
    <definedName name="NBV">#REF!</definedName>
    <definedName name="ncurr_invent">#REF!</definedName>
    <definedName name="nd_eq">#REF!</definedName>
    <definedName name="ndebt91" localSheetId="1">#REF!</definedName>
    <definedName name="ndebt91">#REF!</definedName>
    <definedName name="ndebt92" localSheetId="1">#REF!</definedName>
    <definedName name="ndebt92">#REF!</definedName>
    <definedName name="ndebt93" localSheetId="1">#REF!</definedName>
    <definedName name="ndebt93">#REF!</definedName>
    <definedName name="ndebt94">#REF!</definedName>
    <definedName name="ndebt95">#REF!</definedName>
    <definedName name="ndebt96">#REF!</definedName>
    <definedName name="ndebt97">#REF!</definedName>
    <definedName name="ndps91">#REF!</definedName>
    <definedName name="ndps92">#REF!</definedName>
    <definedName name="ndps93">#REF!</definedName>
    <definedName name="ndps94">#REF!</definedName>
    <definedName name="ndps95">#REF!</definedName>
    <definedName name="ndps96">#REF!</definedName>
    <definedName name="ndps97">#REF!</definedName>
    <definedName name="ndxnew">#REF!</definedName>
    <definedName name="ndxprevious">#REF!</definedName>
    <definedName name="neps">#REF!</definedName>
    <definedName name="Net_adj_for_capitalized_expenses" localSheetId="1">#REF!</definedName>
    <definedName name="Net_adj_for_capitalized_expenses">#REF!</definedName>
    <definedName name="Net_debt" localSheetId="1">#REF!</definedName>
    <definedName name="Net_debt">#REF!</definedName>
    <definedName name="Net_Income">#REF!</definedName>
    <definedName name="Net_income_fore" localSheetId="1">#REF!</definedName>
    <definedName name="Net_income_fore">#REF!</definedName>
    <definedName name="Net_income_growth_avg">#REF!</definedName>
    <definedName name="Net_margin">#REF!</definedName>
    <definedName name="Net_margin_fore" localSheetId="1">#REF!</definedName>
    <definedName name="Net_margin_fore">#REF!</definedName>
    <definedName name="Net_non_recurring_items">#REF!</definedName>
    <definedName name="Net_PPE_growth_fore" localSheetId="1">#REF!</definedName>
    <definedName name="Net_PPE_growth_fore">#REF!</definedName>
    <definedName name="net_profit_1997">#REF!</definedName>
    <definedName name="Net_Profit_97">#REF!</definedName>
    <definedName name="net_profit_98">#REF!</definedName>
    <definedName name="Net_Profit_growth_1997">#REF!</definedName>
    <definedName name="Net_Profit_growth_97">#REF!</definedName>
    <definedName name="Net_sales">#REF!</definedName>
    <definedName name="Net_sales_DCF">#REF!</definedName>
    <definedName name="Net_sales_fore" localSheetId="1">#REF!</definedName>
    <definedName name="Net_sales_fore">#REF!</definedName>
    <definedName name="Net_sales_growth_fore" localSheetId="1">#REF!</definedName>
    <definedName name="Net_sales_growth_fore">#REF!</definedName>
    <definedName name="Net_working_capital">#REF!</definedName>
    <definedName name="Net_working_capital_turns">#REF!</definedName>
    <definedName name="NetAbnor">#REF!</definedName>
    <definedName name="NetCash" localSheetId="1">#REF!</definedName>
    <definedName name="NetCash">#REF!</definedName>
    <definedName name="NetCashBorrowMove" localSheetId="1">#REF!</definedName>
    <definedName name="NetCashBorrowMove">#REF!</definedName>
    <definedName name="NetCashFinance" localSheetId="1">#REF!</definedName>
    <definedName name="NetCashFinance">#REF!</definedName>
    <definedName name="NetCashInvest">#REF!</definedName>
    <definedName name="NetCashInvestOther">#REF!</definedName>
    <definedName name="NetCashOpAct">#REF!</definedName>
    <definedName name="NetCashOpActOther">#REF!</definedName>
    <definedName name="netdebt">#REF!</definedName>
    <definedName name="NetDebt_02">#REF!</definedName>
    <definedName name="NetDebt_95">#REF!</definedName>
    <definedName name="NetDebt_96">#REF!</definedName>
    <definedName name="NetDebtPerShare">#REF!</definedName>
    <definedName name="NetExchDiff" localSheetId="1">#REF!</definedName>
    <definedName name="NetExchDiff">#REF!</definedName>
    <definedName name="NetExtra" localSheetId="1">#REF!</definedName>
    <definedName name="NetExtra">#REF!</definedName>
    <definedName name="netinc00">#REF!</definedName>
    <definedName name="netinc01">#REF!</definedName>
    <definedName name="netinc98">#REF!</definedName>
    <definedName name="netinc99">#REF!</definedName>
    <definedName name="NetIncCash">#REF!</definedName>
    <definedName name="NetIncCashAdjust">#REF!</definedName>
    <definedName name="NetIncome">#REF!</definedName>
    <definedName name="NetIncome_00">#REF!</definedName>
    <definedName name="NetIncome_01">#REF!</definedName>
    <definedName name="NetIncome_02">#REF!</definedName>
    <definedName name="NetIncome_03">#REF!</definedName>
    <definedName name="NetIncome_04">#REF!</definedName>
    <definedName name="NetIncome_05">#REF!</definedName>
    <definedName name="NetIncome_06">#REF!</definedName>
    <definedName name="NetIncome_07">#REF!</definedName>
    <definedName name="NetIncome_08">#REF!</definedName>
    <definedName name="NetIncome_96">#REF!</definedName>
    <definedName name="NetIncome_97">#REF!</definedName>
    <definedName name="NetIncome_98">#REF!</definedName>
    <definedName name="NetIncome_99">#REF!</definedName>
    <definedName name="NetIncomePostGW" localSheetId="1">#REF!</definedName>
    <definedName name="NetIncomePostGW">#REF!</definedName>
    <definedName name="NetIncomePreGW" localSheetId="1">#REF!</definedName>
    <definedName name="NetIncomePreGW">#REF!</definedName>
    <definedName name="NetIncometocommon">#REF!</definedName>
    <definedName name="netint">#REF!</definedName>
    <definedName name="NetinterestMargin" localSheetId="1">#REF!</definedName>
    <definedName name="NetinterestMargin">#REF!</definedName>
    <definedName name="NetIntPaid" localSheetId="1">#REF!</definedName>
    <definedName name="NetIntPaid">#REF!</definedName>
    <definedName name="NetProf" localSheetId="1">#REF!</definedName>
    <definedName name="NetProf">#REF!</definedName>
    <definedName name="Netprofit" localSheetId="1">#REF!</definedName>
    <definedName name="Netprofit" localSheetId="14">#REF!</definedName>
    <definedName name="Netprofit">#REF!</definedName>
    <definedName name="NetProfit_00">#REF!</definedName>
    <definedName name="NetProfit_01">#REF!</definedName>
    <definedName name="NetProfit_92">#REF!</definedName>
    <definedName name="NetProfit_93">#REF!</definedName>
    <definedName name="NetProfit_94">#REF!</definedName>
    <definedName name="NetProfit_95">#REF!</definedName>
    <definedName name="NetProfit_96">#REF!</definedName>
    <definedName name="NetProfit_97">#REF!</definedName>
    <definedName name="NetProfit_98">#REF!</definedName>
    <definedName name="NetProfit_99">#REF!</definedName>
    <definedName name="NetWC_turns_fore" localSheetId="1">#REF!</definedName>
    <definedName name="NetWC_turns_fore">#REF!</definedName>
    <definedName name="NEU" localSheetId="1">#REF!</definedName>
    <definedName name="NEU">#REF!</definedName>
    <definedName name="New">#REF!</definedName>
    <definedName name="new_chart_index">#REF!</definedName>
    <definedName name="new_chart_range">#REF!</definedName>
    <definedName name="newlib_ds">#REF!</definedName>
    <definedName name="newlib_sedol">#REF!</definedName>
    <definedName name="NFA" localSheetId="1">#REF!</definedName>
    <definedName name="NFA" localSheetId="14">#REF!</definedName>
    <definedName name="NFA">#REF!</definedName>
    <definedName name="NFS" localSheetId="1">#REF!</definedName>
    <definedName name="NFS">#REF!</definedName>
    <definedName name="NKYcurrent" localSheetId="1">#REF!</definedName>
    <definedName name="NKYcurrent">#REF!</definedName>
    <definedName name="NKYprevious" localSheetId="1">#REF!</definedName>
    <definedName name="NKYprevious">#REF!</definedName>
    <definedName name="NL_CAP">#REF!</definedName>
    <definedName name="NL_CLAIMRAT">#REF!</definedName>
    <definedName name="NL_CLAIMS">#REF!</definedName>
    <definedName name="NL_COMRAT">#REF!</definedName>
    <definedName name="NL_DAC">#REF!</definedName>
    <definedName name="NL_EXP">#REF!</definedName>
    <definedName name="NL_EXPRAT">#REF!</definedName>
    <definedName name="NL_GWP">#REF!</definedName>
    <definedName name="NL_GWP_DOM">#REF!</definedName>
    <definedName name="NL_GWP_EUR">#REF!</definedName>
    <definedName name="NL_GWP_LA">#REF!</definedName>
    <definedName name="NL_GWP_NA">#REF!</definedName>
    <definedName name="NL_GWP_OTH">#REF!</definedName>
    <definedName name="NL_GWP_PDOM">#REF!</definedName>
    <definedName name="NL_GWP_PEUR">#REF!</definedName>
    <definedName name="NL_GWP_PLA">#REF!</definedName>
    <definedName name="NL_GWP_PNA">#REF!</definedName>
    <definedName name="NL_GWP_POTH">#REF!</definedName>
    <definedName name="NL_INVYLD">#REF!</definedName>
    <definedName name="NL_NETRESERVE">#REF!</definedName>
    <definedName name="NL_NWP">#REF!</definedName>
    <definedName name="NL_OTHER">#REF!</definedName>
    <definedName name="NL_PPRETAX">#REF!</definedName>
    <definedName name="NL_PRETAX">#REF!</definedName>
    <definedName name="NL_RESRAT">#REF!</definedName>
    <definedName name="NL_SOLVRAT">#REF!</definedName>
    <definedName name="NL_TOTINVINC">#REF!</definedName>
    <definedName name="NL_UW">#REF!</definedName>
    <definedName name="NL_UWMARGIN">#REF!</definedName>
    <definedName name="nmcapex">#REF!</definedName>
    <definedName name="nod">#REF!</definedName>
    <definedName name="nod_pd">#REF!</definedName>
    <definedName name="nominal_Long_run_growth" localSheetId="5">#REF!</definedName>
    <definedName name="nominal_Long_run_growth" localSheetId="1">#REF!</definedName>
    <definedName name="nominal_Long_run_growth">#REF!</definedName>
    <definedName name="nominaldiv">#REF!</definedName>
    <definedName name="Non_recurring_costs">#REF!</definedName>
    <definedName name="Non_recurring_income">#REF!</definedName>
    <definedName name="Non_usage" localSheetId="1">#REF!</definedName>
    <definedName name="Non_usage">#REF!</definedName>
    <definedName name="NonAssocDivRec" localSheetId="1">#REF!</definedName>
    <definedName name="NonAssocDivRec">#REF!</definedName>
    <definedName name="NonCurrConvDebt" localSheetId="1">#REF!</definedName>
    <definedName name="NonCurrConvDebt">#REF!</definedName>
    <definedName name="NonCurrDebt">#REF!</definedName>
    <definedName name="NonCurrLiab">#REF!</definedName>
    <definedName name="NonCurrProvisions">#REF!</definedName>
    <definedName name="NonCurrTradeCredit">#REF!</definedName>
    <definedName name="NONREG">#REF!</definedName>
    <definedName name="NOPAT">#REF!</definedName>
    <definedName name="NOPAT_DCF">#REF!</definedName>
    <definedName name="NOPAT_fore" localSheetId="1">#REF!</definedName>
    <definedName name="NOPAT_fore">#REF!</definedName>
    <definedName name="NOPAT_growth_avg">#REF!</definedName>
    <definedName name="NOPAT_margin">#REF!</definedName>
    <definedName name="NOPAT_margin_fore" localSheetId="1">#REF!</definedName>
    <definedName name="NOPAT_margin_fore">#REF!</definedName>
    <definedName name="NOPAT_Share">#REF!</definedName>
    <definedName name="NOPBT">#REF!</definedName>
    <definedName name="NOPBT_fore" localSheetId="1">#REF!</definedName>
    <definedName name="NOPBT_fore">#REF!</definedName>
    <definedName name="Norm_forecast_11_15" localSheetId="1">#REF!</definedName>
    <definedName name="Norm_forecast_11_15">#REF!</definedName>
    <definedName name="Norm_forecast_16_25" localSheetId="1">#REF!</definedName>
    <definedName name="Norm_forecast_16_25">#REF!</definedName>
    <definedName name="Norm_forecast_4_5">#REF!</definedName>
    <definedName name="Norm_forecast_6_10">#REF!</definedName>
    <definedName name="north">#REF!</definedName>
    <definedName name="North_America">#REF!</definedName>
    <definedName name="North_America_w">#REF!</definedName>
    <definedName name="NOSH" localSheetId="1">#REF!</definedName>
    <definedName name="NOSH">#REF!</definedName>
    <definedName name="NoShares" localSheetId="1">#REF!</definedName>
    <definedName name="NoShares">#REF!</definedName>
    <definedName name="NotionalIntAdj" localSheetId="1">#REF!</definedName>
    <definedName name="NotionalIntAdj">#REF!</definedName>
    <definedName name="NowDate" localSheetId="4">#REF!</definedName>
    <definedName name="NowDate" localSheetId="5">#REF!</definedName>
    <definedName name="NowDate">#REF!</definedName>
    <definedName name="npat00">#REF!</definedName>
    <definedName name="npat01">#REF!</definedName>
    <definedName name="npat02">#REF!</definedName>
    <definedName name="npat97" localSheetId="1">#REF!</definedName>
    <definedName name="npat97">#REF!</definedName>
    <definedName name="NPAT98">#REF!</definedName>
    <definedName name="NPAT99">#REF!</definedName>
    <definedName name="NPATFX">#REF!</definedName>
    <definedName name="NPATxSGARA">#REF!</definedName>
    <definedName name="NPBT89">#REF!</definedName>
    <definedName name="NPBT90">#REF!</definedName>
    <definedName name="NPBT91">#REF!</definedName>
    <definedName name="NPBT92">#REF!</definedName>
    <definedName name="NPBT93">#REF!</definedName>
    <definedName name="NPBT94">#REF!</definedName>
    <definedName name="NPBT95">#REF!</definedName>
    <definedName name="NPLvsNAL">#REF!</definedName>
    <definedName name="nprofit">#REF!</definedName>
    <definedName name="nprofit_st">#REF!</definedName>
    <definedName name="NPT_1">#REF!</definedName>
    <definedName name="NPT_2">#REF!</definedName>
    <definedName name="NPT_3">#REF!</definedName>
    <definedName name="NPT_4">#REF!</definedName>
    <definedName name="NPT_5">#REF!</definedName>
    <definedName name="NPT_P">#REF!</definedName>
    <definedName name="NPV" localSheetId="1">#REF!</definedName>
    <definedName name="NPV">#REF!</definedName>
    <definedName name="NPVDisc" localSheetId="1">#REF!</definedName>
    <definedName name="NPVDisc">#REF!</definedName>
    <definedName name="NRM" localSheetId="1">#REF!</definedName>
    <definedName name="NRM">#REF!</definedName>
    <definedName name="nta">#REF!</definedName>
    <definedName name="nta_share">#REF!</definedName>
    <definedName name="NTAAdju" localSheetId="1">#REF!</definedName>
    <definedName name="NTAAdju">#REF!</definedName>
    <definedName name="Number_ordinary_shares">#REF!</definedName>
    <definedName name="nzdnew" localSheetId="1">#REF!</definedName>
    <definedName name="nzdnew">#REF!</definedName>
    <definedName name="nzdold" localSheetId="1">#REF!</definedName>
    <definedName name="nzdold">#REF!</definedName>
    <definedName name="o">#REF!</definedName>
    <definedName name="oaa" localSheetId="1">#REF!</definedName>
    <definedName name="oaa">#REF!</definedName>
    <definedName name="oai" localSheetId="1">#REF!</definedName>
    <definedName name="oai">#REF!</definedName>
    <definedName name="oal" localSheetId="1">#REF!</definedName>
    <definedName name="oal">#REF!</definedName>
    <definedName name="oan">#REF!</definedName>
    <definedName name="oar">#REF!</definedName>
    <definedName name="oba">#REF!</definedName>
    <definedName name="obb">#REF!</definedName>
    <definedName name="obc">#REF!</definedName>
    <definedName name="obd">#REF!</definedName>
    <definedName name="obe">#REF!</definedName>
    <definedName name="OBS">#REF!</definedName>
    <definedName name="obt" localSheetId="1">#REF!</definedName>
    <definedName name="obt">#REF!</definedName>
    <definedName name="oca" localSheetId="1">#REF!</definedName>
    <definedName name="oca">#REF!</definedName>
    <definedName name="occ" localSheetId="1">#REF!</definedName>
    <definedName name="occ">#REF!</definedName>
    <definedName name="OCF">#REF!</definedName>
    <definedName name="oci" localSheetId="1">#REF!</definedName>
    <definedName name="oci">#REF!</definedName>
    <definedName name="oco" localSheetId="1">#REF!</definedName>
    <definedName name="oco">#REF!</definedName>
    <definedName name="ocr" localSheetId="1">#REF!</definedName>
    <definedName name="ocr">#REF!</definedName>
    <definedName name="ofa">#REF!</definedName>
    <definedName name="Off_B_S_Income">#REF!</definedName>
    <definedName name="Off_B_S_Income_DCF">#REF!</definedName>
    <definedName name="Off_B_S_Income_fore" localSheetId="1">#REF!</definedName>
    <definedName name="Off_B_S_Income_fore">#REF!</definedName>
    <definedName name="Off_B_S_Income_growth_fore" localSheetId="1">#REF!</definedName>
    <definedName name="Off_B_S_Income_growth_fore">#REF!</definedName>
    <definedName name="Off_High_Cov">#REF!</definedName>
    <definedName name="official_ARPU">#REF!</definedName>
    <definedName name="ofl" localSheetId="1">#REF!</definedName>
    <definedName name="ofl">#REF!</definedName>
    <definedName name="ofn" localSheetId="1">#REF!</definedName>
    <definedName name="ofn">#REF!</definedName>
    <definedName name="oga" localSheetId="1">#REF!</definedName>
    <definedName name="oga">#REF!</definedName>
    <definedName name="ogm">#REF!</definedName>
    <definedName name="ogn">#REF!</definedName>
    <definedName name="ogp">#REF!</definedName>
    <definedName name="ogw">#REF!</definedName>
    <definedName name="oir">#REF!</definedName>
    <definedName name="ois">#REF!</definedName>
    <definedName name="oit">#REF!</definedName>
    <definedName name="ok">#REF!</definedName>
    <definedName name="OL_1">#REF!</definedName>
    <definedName name="OL_2">#REF!</definedName>
    <definedName name="OL_3">#REF!</definedName>
    <definedName name="OL_4">#REF!</definedName>
    <definedName name="OL_P">#REF!</definedName>
    <definedName name="olb" localSheetId="1">#REF!</definedName>
    <definedName name="olb">#REF!</definedName>
    <definedName name="oli" localSheetId="1">#REF!</definedName>
    <definedName name="oli">#REF!</definedName>
    <definedName name="oll" localSheetId="1">#REF!</definedName>
    <definedName name="oll">#REF!</definedName>
    <definedName name="oln">#REF!</definedName>
    <definedName name="olo">#REF!</definedName>
    <definedName name="olr">#REF!</definedName>
    <definedName name="olt">#REF!</definedName>
    <definedName name="omv">#REF!</definedName>
    <definedName name="onb">#REF!</definedName>
    <definedName name="onc">#REF!</definedName>
    <definedName name="OneOff">#REF!</definedName>
    <definedName name="onp">#REF!</definedName>
    <definedName name="ons">#REF!</definedName>
    <definedName name="ooa">#REF!</definedName>
    <definedName name="oop">#REF!</definedName>
    <definedName name="oot">#REF!</definedName>
    <definedName name="opcf">#REF!</definedName>
    <definedName name="OpDay_printarea">#N/A</definedName>
    <definedName name="Operating_income_fore">#REF!</definedName>
    <definedName name="Operating_Lease_Expense">#REF!</definedName>
    <definedName name="Operating_Lease_Expense_fore" localSheetId="1">#REF!</definedName>
    <definedName name="Operating_Lease_Expense_fore">#REF!</definedName>
    <definedName name="Operating_Sys">#REF!</definedName>
    <definedName name="OperatingMargin" localSheetId="1">#REF!</definedName>
    <definedName name="OperatingMargin">#REF!</definedName>
    <definedName name="Opex" localSheetId="1">#REF!</definedName>
    <definedName name="Opex" localSheetId="14">#REF!</definedName>
    <definedName name="Opex">#REF!</definedName>
    <definedName name="opex_customer_retention">#REF!</definedName>
    <definedName name="opex_network">#REF!</definedName>
    <definedName name="opex_other">#REF!</definedName>
    <definedName name="opex_rental">#REF!</definedName>
    <definedName name="opex_salaries">#REF!</definedName>
    <definedName name="opex_sales_marketing">#REF!</definedName>
    <definedName name="opi" localSheetId="1">#REF!</definedName>
    <definedName name="opi">#REF!</definedName>
    <definedName name="OpLease" localSheetId="1">#REF!</definedName>
    <definedName name="OpLease">#REF!</definedName>
    <definedName name="OpLeaseRent" localSheetId="1">#REF!</definedName>
    <definedName name="OpLeaseRent">#REF!</definedName>
    <definedName name="opt">#REF!</definedName>
    <definedName name="options">#REF!</definedName>
    <definedName name="Opworkcap" localSheetId="1">#REF!</definedName>
    <definedName name="Opworkcap" localSheetId="14">#REF!</definedName>
    <definedName name="Opworkcap">#REF!</definedName>
    <definedName name="OrdEqu" localSheetId="1">#REF!</definedName>
    <definedName name="OrdEqu">#REF!</definedName>
    <definedName name="Order_backlog">#REF!</definedName>
    <definedName name="Order_intake">#REF!</definedName>
    <definedName name="Ordinary" localSheetId="1">#REF!</definedName>
    <definedName name="Ordinary">#REF!</definedName>
    <definedName name="orw" localSheetId="1">#REF!</definedName>
    <definedName name="orw">#REF!</definedName>
    <definedName name="osb" localSheetId="1">#REF!</definedName>
    <definedName name="osb">#REF!</definedName>
    <definedName name="osi">#REF!</definedName>
    <definedName name="osn">#REF!</definedName>
    <definedName name="osp">#REF!</definedName>
    <definedName name="ost">#REF!</definedName>
    <definedName name="OT_PRETAX">#REF!</definedName>
    <definedName name="oth_cf">#REF!</definedName>
    <definedName name="oth_creditors">#REF!</definedName>
    <definedName name="oth_debtors">#REF!</definedName>
    <definedName name="oth_eq">#REF!</definedName>
    <definedName name="OTHER" localSheetId="1">#REF!</definedName>
    <definedName name="other" localSheetId="14">#REF!</definedName>
    <definedName name="OTHER">#REF!</definedName>
    <definedName name="Other_asset_turns">#REF!</definedName>
    <definedName name="Other_asset_turns_fore" localSheetId="1">#REF!</definedName>
    <definedName name="Other_asset_turns_fore">#REF!</definedName>
    <definedName name="other_cap">#REF!</definedName>
    <definedName name="other_cf">#REF!</definedName>
    <definedName name="Other_current_assets_growth_fore" localSheetId="1">#REF!</definedName>
    <definedName name="Other_current_assets_growth_fore">#REF!</definedName>
    <definedName name="Other_current_liabilities_growth_fore" localSheetId="1">#REF!</definedName>
    <definedName name="Other_current_liabilities_growth_fore">#REF!</definedName>
    <definedName name="Other_dividends" localSheetId="1">#REF!</definedName>
    <definedName name="Other_dividends">#REF!</definedName>
    <definedName name="Other_Europe">#REF!</definedName>
    <definedName name="Other_Europe_w">#REF!</definedName>
    <definedName name="Other_Expenses">#REF!</definedName>
    <definedName name="Other_Expenses_fore" localSheetId="1">#REF!</definedName>
    <definedName name="Other_Expenses_fore">#REF!</definedName>
    <definedName name="Other_expenses_gains">#REF!</definedName>
    <definedName name="Other_expenses_gains_fore" localSheetId="1">#REF!</definedName>
    <definedName name="Other_expenses_gains_fore">#REF!</definedName>
    <definedName name="Other_expenses_growth_fore" localSheetId="1">#REF!</definedName>
    <definedName name="Other_expenses_growth_fore">#REF!</definedName>
    <definedName name="Other_fixed_asset_turns_fore" localSheetId="1">#REF!</definedName>
    <definedName name="Other_fixed_asset_turns_fore">#REF!</definedName>
    <definedName name="Other_fixed_assets_growth_fore">#REF!</definedName>
    <definedName name="Other_growth_fore">#REF!</definedName>
    <definedName name="Other_inc_exp_fore">#REF!</definedName>
    <definedName name="Other_Income">#REF!</definedName>
    <definedName name="Other_income_growth_fore" localSheetId="1">#REF!</definedName>
    <definedName name="Other_income_growth_fore">#REF!</definedName>
    <definedName name="Other_Intangibles">#REF!</definedName>
    <definedName name="Other_investments">#REF!</definedName>
    <definedName name="Other_liabilities_growth_fore" localSheetId="1">#REF!</definedName>
    <definedName name="Other_liabilities_growth_fore">#REF!</definedName>
    <definedName name="Other_long_term_liabilities">#REF!</definedName>
    <definedName name="Other_LT_assets">#REF!</definedName>
    <definedName name="Other_Segment_Revenues">#REF!</definedName>
    <definedName name="other_shf">#REF!</definedName>
    <definedName name="OtherAmortisation" localSheetId="1">#REF!</definedName>
    <definedName name="OtherAmortisation">#REF!</definedName>
    <definedName name="otherassets">#REF!</definedName>
    <definedName name="OtherCA">#REF!</definedName>
    <definedName name="othercurrent">#REF!</definedName>
    <definedName name="OtherCurrLiab" localSheetId="1">#REF!</definedName>
    <definedName name="OtherCurrLiab">#REF!</definedName>
    <definedName name="otherincome">#REF!</definedName>
    <definedName name="OtherIntangibles" localSheetId="1">#REF!</definedName>
    <definedName name="OtherIntangibles">#REF!</definedName>
    <definedName name="OtherInv" localSheetId="1">#REF!</definedName>
    <definedName name="OtherInv">#REF!</definedName>
    <definedName name="otherliabs">#REF!</definedName>
    <definedName name="OtherNonCurrLiab" localSheetId="1">#REF!</definedName>
    <definedName name="OtherNonCurrLiab">#REF!</definedName>
    <definedName name="OtherNonTradeProf" localSheetId="1">#REF!</definedName>
    <definedName name="OtherNonTradeProf">#REF!</definedName>
    <definedName name="OtherOperatingExpenses" localSheetId="1">#REF!</definedName>
    <definedName name="OtherOperatingExpenses">#REF!</definedName>
    <definedName name="OtherPretaxIncExp">#REF!</definedName>
    <definedName name="otherprovs">#REF!</definedName>
    <definedName name="OtherRev" localSheetId="1">#REF!</definedName>
    <definedName name="OtherRev">#REF!</definedName>
    <definedName name="othershf">#REF!</definedName>
    <definedName name="othliabs">#REF!</definedName>
    <definedName name="OthrInc88">#REF!</definedName>
    <definedName name="OthrInc89">#REF!</definedName>
    <definedName name="OthrInc90">#REF!</definedName>
    <definedName name="OthrInc91">#REF!</definedName>
    <definedName name="OthrInc92">#REF!</definedName>
    <definedName name="OthrInc93">#REF!</definedName>
    <definedName name="OthrInc94">#REF!</definedName>
    <definedName name="OthrInc95">#REF!</definedName>
    <definedName name="oti">#REF!</definedName>
    <definedName name="otl">#REF!</definedName>
    <definedName name="otp">#REF!</definedName>
    <definedName name="ots">#REF!</definedName>
    <definedName name="ott">#REF!</definedName>
    <definedName name="OWN">#REF!</definedName>
    <definedName name="P">#REF!</definedName>
    <definedName name="P_L">#REF!</definedName>
    <definedName name="P_LInvest">#REF!</definedName>
    <definedName name="P_Product">#REF!</definedName>
    <definedName name="P_Tear">#REF!</definedName>
    <definedName name="page1">#REF!</definedName>
    <definedName name="Page10">#REF!</definedName>
    <definedName name="page14">#REF!</definedName>
    <definedName name="page15">#REF!</definedName>
    <definedName name="Page16">#REF!</definedName>
    <definedName name="Page1A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7a">#REF!</definedName>
    <definedName name="PAGE8">#REF!</definedName>
    <definedName name="Page9">#REF!</definedName>
    <definedName name="pai" localSheetId="1">#REF!</definedName>
    <definedName name="pai">#REF!</definedName>
    <definedName name="Paid_tax">#REF!</definedName>
    <definedName name="par" localSheetId="1">#REF!</definedName>
    <definedName name="par">#REF!</definedName>
    <definedName name="Partial" localSheetId="1">#REF!</definedName>
    <definedName name="Partial">#REF!</definedName>
    <definedName name="PartPaidShare" localSheetId="1">#REF!</definedName>
    <definedName name="PartPaidShare">#REF!</definedName>
    <definedName name="pasp" localSheetId="1">#REF!</definedName>
    <definedName name="pasp" localSheetId="14">#REF!</definedName>
    <definedName name="pasp">#REF!</definedName>
    <definedName name="PASSWORD" localSheetId="4">#REF!</definedName>
    <definedName name="PASSWORD" localSheetId="5">#REF!</definedName>
    <definedName name="PASSWORD" localSheetId="1">#REF!</definedName>
    <definedName name="PASSWORD">#REF!</definedName>
    <definedName name="pat">#REF!</definedName>
    <definedName name="Payout_ratio_on_underlying">#REF!</definedName>
    <definedName name="pb_CurrCode" localSheetId="1">#REF!</definedName>
    <definedName name="pb_CurrCode">#REF!</definedName>
    <definedName name="pb_Dir" localSheetId="1">#REF!</definedName>
    <definedName name="pb_Dir">#REF!</definedName>
    <definedName name="pb_FileName" localSheetId="1">#REF!</definedName>
    <definedName name="pb_FileName">#REF!</definedName>
    <definedName name="pb_ListFTSE">#REF!</definedName>
    <definedName name="pb_ListIndex">#REF!</definedName>
    <definedName name="pb_ListMarket">#REF!</definedName>
    <definedName name="pb_ListMSCI">#REF!</definedName>
    <definedName name="pb_ListSector">#REF!</definedName>
    <definedName name="pb_PDBCode">#REF!</definedName>
    <definedName name="pb_Reuters1">#REF!</definedName>
    <definedName name="pb_SectorRating">#REF!</definedName>
    <definedName name="pb_StockRating">#REF!</definedName>
    <definedName name="pbd">#REF!</definedName>
    <definedName name="pbv" localSheetId="4">#REF!</definedName>
    <definedName name="pbv" localSheetId="5">#REF!</definedName>
    <definedName name="pbv">#REF!</definedName>
    <definedName name="PBVmultiples">#REF!</definedName>
    <definedName name="pco">#REF!</definedName>
    <definedName name="pcx">#REF!</definedName>
    <definedName name="PD">#REF!</definedName>
    <definedName name="pd_best">#REF!</definedName>
    <definedName name="pd_down">#REF!</definedName>
    <definedName name="PD_Q">#REF!</definedName>
    <definedName name="PD_RNK_index">#REF!</definedName>
    <definedName name="pd_sd_per">#REF!</definedName>
    <definedName name="PD_UD_index">#REF!</definedName>
    <definedName name="pd_up">#REF!</definedName>
    <definedName name="pd_worst">#REF!</definedName>
    <definedName name="pde" localSheetId="1">#REF!</definedName>
    <definedName name="pde">#REF!</definedName>
    <definedName name="pdl" localSheetId="1">#REF!</definedName>
    <definedName name="pdl">#REF!</definedName>
    <definedName name="pdp" localSheetId="1">#REF!</definedName>
    <definedName name="pdp">#REF!</definedName>
    <definedName name="pdr">#REF!</definedName>
    <definedName name="pdvaln">#REF!</definedName>
    <definedName name="peb" localSheetId="1">#REF!</definedName>
    <definedName name="peb">#REF!</definedName>
    <definedName name="pei" localSheetId="1">#REF!</definedName>
    <definedName name="pei">#REF!</definedName>
    <definedName name="Pension_provisions">#REF!</definedName>
    <definedName name="perf" localSheetId="1">#REF!</definedName>
    <definedName name="perf">#REF!</definedName>
    <definedName name="Perf_97">#REF!</definedName>
    <definedName name="Perf_98">#REF!</definedName>
    <definedName name="Perf_99">#REF!</definedName>
    <definedName name="Performance" localSheetId="1">#REF!</definedName>
    <definedName name="Performance">#REF!</definedName>
    <definedName name="PerformanceDPS" localSheetId="1">#REF!</definedName>
    <definedName name="PerformanceDPS">#REF!</definedName>
    <definedName name="PeriodEnd" localSheetId="1">#REF!</definedName>
    <definedName name="PeriodEnd">#REF!</definedName>
    <definedName name="periods" localSheetId="9">#REF!</definedName>
    <definedName name="Periods" localSheetId="1">#REF!</definedName>
    <definedName name="periods" localSheetId="14">#REF!</definedName>
    <definedName name="Periods">#REF!</definedName>
    <definedName name="periphass">#REF!</definedName>
    <definedName name="perp" localSheetId="1">#REF!</definedName>
    <definedName name="perp">#REF!</definedName>
    <definedName name="Perpetuity">#REF!</definedName>
    <definedName name="pershare2" localSheetId="1">#REF!</definedName>
    <definedName name="pershare2">#REF!</definedName>
    <definedName name="pet" localSheetId="1">#REF!</definedName>
    <definedName name="pet">#REF!</definedName>
    <definedName name="pfc" localSheetId="1">#REF!</definedName>
    <definedName name="pfc">#REF!</definedName>
    <definedName name="PFG">#REF!</definedName>
    <definedName name="PFI">#REF!</definedName>
    <definedName name="pfprice">#REF!</definedName>
    <definedName name="pfrmbprice">#REF!</definedName>
    <definedName name="pfsgprice">#REF!</definedName>
    <definedName name="pfx">#REF!</definedName>
    <definedName name="pga">#REF!</definedName>
    <definedName name="pgp">#REF!</definedName>
    <definedName name="PGR">#REF!</definedName>
    <definedName name="pgv">#REF!</definedName>
    <definedName name="pie">#REF!</definedName>
    <definedName name="pii">#REF!</definedName>
    <definedName name="pik">#REF!</definedName>
    <definedName name="pin" localSheetId="1">#REF!</definedName>
    <definedName name="pin">#REF!</definedName>
    <definedName name="pl" localSheetId="1">#REF!</definedName>
    <definedName name="pl">#REF!</definedName>
    <definedName name="pl_hkB" localSheetId="1">#REF!</definedName>
    <definedName name="pl_hkB">#REF!</definedName>
    <definedName name="pl_hsbcmaly">#REF!</definedName>
    <definedName name="PLA">#REF!</definedName>
    <definedName name="Plant____Eqipment">#REF!</definedName>
    <definedName name="Players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layers" localSheetId="1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layer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LFULL">#REF!</definedName>
    <definedName name="PLHKAustr">#REF!</definedName>
    <definedName name="plMIDL">#REF!</definedName>
    <definedName name="PLN">#REF!</definedName>
    <definedName name="plod">#REF!</definedName>
    <definedName name="PLQ" localSheetId="1">#REF!</definedName>
    <definedName name="PLQ">#REF!</definedName>
    <definedName name="PLR">#REF!</definedName>
    <definedName name="pmi">#REF!</definedName>
    <definedName name="pmp">#REF!</definedName>
    <definedName name="pni">#REF!</definedName>
    <definedName name="PNL_extraordinary_items">#REF!</definedName>
    <definedName name="PNL_other_income">#REF!</definedName>
    <definedName name="pno" localSheetId="1">#REF!</definedName>
    <definedName name="pno">#REF!</definedName>
    <definedName name="pnp" localSheetId="1">#REF!</definedName>
    <definedName name="pnp">#REF!</definedName>
    <definedName name="pof" localSheetId="1">#REF!</definedName>
    <definedName name="pof">#REF!</definedName>
    <definedName name="poi">#REF!</definedName>
    <definedName name="Policyholder_Benefit_Payout_Ratio" localSheetId="1">#REF!</definedName>
    <definedName name="Policyholder_Benefit_Payout_Ratio">#REF!</definedName>
    <definedName name="Policyholder_Dividends" localSheetId="1">#REF!</definedName>
    <definedName name="Policyholder_Dividends">#REF!</definedName>
    <definedName name="poo" localSheetId="1">#REF!</definedName>
    <definedName name="poo">#REF!</definedName>
    <definedName name="pop" localSheetId="1">#REF!</definedName>
    <definedName name="pop">#REF!</definedName>
    <definedName name="Post_tax_stock_gains_losses" localSheetId="1">#REF!</definedName>
    <definedName name="Post_tax_stock_gains_losses">#REF!</definedName>
    <definedName name="pov" localSheetId="1">#REF!</definedName>
    <definedName name="pov">#REF!</definedName>
    <definedName name="pox" localSheetId="1">#REF!</definedName>
    <definedName name="pox">#REF!</definedName>
    <definedName name="ppb" localSheetId="1">#REF!</definedName>
    <definedName name="ppb">#REF!</definedName>
    <definedName name="ppi">#REF!</definedName>
    <definedName name="ppl">#REF!</definedName>
    <definedName name="PPnE_turns_fore">#REF!</definedName>
    <definedName name="ppr">#REF!</definedName>
    <definedName name="ppt">#REF!</definedName>
    <definedName name="pr" localSheetId="9">#REF!</definedName>
    <definedName name="PR" localSheetId="5">#REF!</definedName>
    <definedName name="pr" localSheetId="14">#REF!</definedName>
    <definedName name="PR">#REF!</definedName>
    <definedName name="pr00" localSheetId="1">#REF!</definedName>
    <definedName name="pr00">#REF!</definedName>
    <definedName name="prd" localSheetId="1">#REF!</definedName>
    <definedName name="prd">#REF!</definedName>
    <definedName name="PRDATA" localSheetId="1">#REF!</definedName>
    <definedName name="PRDATA">#REF!</definedName>
    <definedName name="pre">#REF!</definedName>
    <definedName name="pref">#REF!</definedName>
    <definedName name="PrefCap" localSheetId="1">#REF!</definedName>
    <definedName name="PrefCap">#REF!</definedName>
    <definedName name="PrefDiv" localSheetId="1">#REF!</definedName>
    <definedName name="PrefDiv">#REF!</definedName>
    <definedName name="PrefDivDebt" localSheetId="1">#REF!</definedName>
    <definedName name="PrefDivDebt">#REF!</definedName>
    <definedName name="PrefDivEquity">#REF!</definedName>
    <definedName name="Preferred_stock">#REF!</definedName>
    <definedName name="Preferred_stock_growth_fore" localSheetId="1">#REF!</definedName>
    <definedName name="Preferred_stock_growth_fore">#REF!</definedName>
    <definedName name="PrefShare" localSheetId="1">#REF!</definedName>
    <definedName name="PrefShare">#REF!</definedName>
    <definedName name="PREL00">#REF!</definedName>
    <definedName name="PREL01">#REF!</definedName>
    <definedName name="prel4" localSheetId="1">#REF!</definedName>
    <definedName name="prel4">#REF!</definedName>
    <definedName name="PREL86">#REF!</definedName>
    <definedName name="PREL87">#REF!</definedName>
    <definedName name="PREL88">#REF!</definedName>
    <definedName name="PREL89">#REF!</definedName>
    <definedName name="PREL90">#REF!</definedName>
    <definedName name="PREL91">#REF!</definedName>
    <definedName name="PREL92">#REF!</definedName>
    <definedName name="PREL93">#REF!</definedName>
    <definedName name="PREL94">#REF!</definedName>
    <definedName name="PREL95">#REF!</definedName>
    <definedName name="PREL98">#REF!</definedName>
    <definedName name="PREL99">#REF!</definedName>
    <definedName name="PRENL01">#REF!</definedName>
    <definedName name="PRENL86">#REF!</definedName>
    <definedName name="PRENL87">#REF!</definedName>
    <definedName name="PRENL88">#REF!</definedName>
    <definedName name="PRENL89">#REF!</definedName>
    <definedName name="PRENL90">#REF!</definedName>
    <definedName name="PRENL91">#REF!</definedName>
    <definedName name="PRENL92">#REF!</definedName>
    <definedName name="PRENL93">#REF!</definedName>
    <definedName name="PRENL94">#REF!</definedName>
    <definedName name="PRENL95">#REF!</definedName>
    <definedName name="PRENL98">#REF!</definedName>
    <definedName name="Present_Value_Oper_lease">#REF!</definedName>
    <definedName name="pretax">#REF!</definedName>
    <definedName name="Pretax_income">#REF!</definedName>
    <definedName name="Pretax_income_fore" localSheetId="1">#REF!</definedName>
    <definedName name="Pretax_income_fore">#REF!</definedName>
    <definedName name="Pretax_profit">#REF!</definedName>
    <definedName name="pretax00">#REF!</definedName>
    <definedName name="pretax01">#REF!</definedName>
    <definedName name="pretax93">#REF!</definedName>
    <definedName name="pretax94">#REF!</definedName>
    <definedName name="pretax95">#REF!</definedName>
    <definedName name="pretax96">#REF!</definedName>
    <definedName name="pretax97">#REF!</definedName>
    <definedName name="pretax98">#REF!</definedName>
    <definedName name="pretax98e">#REF!</definedName>
    <definedName name="pretax99">#REF!</definedName>
    <definedName name="PreTaxProf">#REF!</definedName>
    <definedName name="pri">#REF!</definedName>
    <definedName name="Price" localSheetId="9">#REF!</definedName>
    <definedName name="PRICE" localSheetId="4">#REF!</definedName>
    <definedName name="PRICE" localSheetId="5">#REF!</definedName>
    <definedName name="PRICE" localSheetId="1">#REF!</definedName>
    <definedName name="PRICE">#REF!</definedName>
    <definedName name="price_assumpt">#REF!</definedName>
    <definedName name="Price_Gap">#REF!</definedName>
    <definedName name="Price_Implied_Cost_of_Equity">#REF!</definedName>
    <definedName name="pricef" localSheetId="4">#REF!</definedName>
    <definedName name="pricef" localSheetId="5">#REF!</definedName>
    <definedName name="pricef" localSheetId="1">#REF!</definedName>
    <definedName name="pricef">#REF!</definedName>
    <definedName name="_xlnm.Print_Area" localSheetId="9">CROCI!$A$11:$B$78</definedName>
    <definedName name="_xlnm.Print_Area" localSheetId="5">Segment!$A$2:$CC$808</definedName>
    <definedName name="_xlnm.Print_Area">#REF!</definedName>
    <definedName name="Print_Area_MI" localSheetId="1">#REF!</definedName>
    <definedName name="Print_Area_MI">#REF!</definedName>
    <definedName name="PRINT_CF" localSheetId="1">#REF!</definedName>
    <definedName name="PRINT_CF">#REF!</definedName>
    <definedName name="PRINT_E">#REF!</definedName>
    <definedName name="PRINT_EDI">#REF!</definedName>
    <definedName name="PRINT_I">#REF!</definedName>
    <definedName name="PRINT_MP">#REF!</definedName>
    <definedName name="PRINT_NA">#REF!</definedName>
    <definedName name="PRINT_R">#REF!</definedName>
    <definedName name="_xlnm.Print_Titles">#REF!</definedName>
    <definedName name="prl">#REF!</definedName>
    <definedName name="ProcBusInv">#REF!</definedName>
    <definedName name="ProcPPE">#REF!</definedName>
    <definedName name="ProfAssetSale">#REF!</definedName>
    <definedName name="profit">#REF!</definedName>
    <definedName name="Profit_aft_net_finance">#REF!</definedName>
    <definedName name="ProfitAndLoss" localSheetId="1">#REF!</definedName>
    <definedName name="ProfitAndLoss">#REF!</definedName>
    <definedName name="ProfitBeforeTax" localSheetId="1">#REF!</definedName>
    <definedName name="ProfitBeforeTax">#REF!</definedName>
    <definedName name="PROJECT" localSheetId="1">#REF!</definedName>
    <definedName name="PROJECT" localSheetId="14">#REF!</definedName>
    <definedName name="PROJECT">#REF!</definedName>
    <definedName name="PROJECT2" localSheetId="1">#REF!</definedName>
    <definedName name="PROJECT2" localSheetId="14">#REF!</definedName>
    <definedName name="PROJECT2">#REF!</definedName>
    <definedName name="ProjectName" localSheetId="1">{"Client Name or Project Name"}</definedName>
    <definedName name="ProjectName" localSheetId="14">{"Client Name or Project Name"}</definedName>
    <definedName name="ProjectName">{"Client Name or Project Name"}</definedName>
    <definedName name="PropGrwth">#REF!</definedName>
    <definedName name="prov00">#REF!</definedName>
    <definedName name="prov01">#REF!</definedName>
    <definedName name="prov99">#REF!</definedName>
    <definedName name="Provisions">#REF!</definedName>
    <definedName name="PRU" localSheetId="1">#REF!</definedName>
    <definedName name="PRU">#REF!</definedName>
    <definedName name="prx" localSheetId="1">#REF!</definedName>
    <definedName name="prx">#REF!</definedName>
    <definedName name="pse" localSheetId="1">#REF!</definedName>
    <definedName name="pse">#REF!</definedName>
    <definedName name="psr">#REF!</definedName>
    <definedName name="psv">#REF!</definedName>
    <definedName name="pta">#REF!</definedName>
    <definedName name="ptc">#REF!</definedName>
    <definedName name="ptd">#REF!</definedName>
    <definedName name="pti">#REF!</definedName>
    <definedName name="pto">#REF!</definedName>
    <definedName name="Purchases">#REF!</definedName>
    <definedName name="pxp" localSheetId="1">#REF!</definedName>
    <definedName name="pxp">#REF!</definedName>
    <definedName name="q" localSheetId="9">#REF!</definedName>
    <definedName name="Q" localSheetId="4">#REF!</definedName>
    <definedName name="Q" localSheetId="5">#REF!</definedName>
    <definedName name="Q">#REF!</definedName>
    <definedName name="q_1993">#REF!</definedName>
    <definedName name="q_1994">#REF!</definedName>
    <definedName name="q_1995">#REF!</definedName>
    <definedName name="q_1996">#REF!</definedName>
    <definedName name="q1_93">#REF!</definedName>
    <definedName name="q1_94">#REF!</definedName>
    <definedName name="q1_95">#REF!</definedName>
    <definedName name="q1_96">#REF!</definedName>
    <definedName name="q2_93">#REF!</definedName>
    <definedName name="q2_94">#REF!</definedName>
    <definedName name="q2_95">#REF!</definedName>
    <definedName name="q2_96">#REF!</definedName>
    <definedName name="q3_93">#REF!</definedName>
    <definedName name="q3_94">#REF!</definedName>
    <definedName name="q3_95">#REF!</definedName>
    <definedName name="q3_96">#REF!</definedName>
    <definedName name="q4_93">#REF!</definedName>
    <definedName name="q4_94">#REF!</definedName>
    <definedName name="q4_95">#REF!</definedName>
    <definedName name="q4_96">#REF!</definedName>
    <definedName name="QBE">#REF!</definedName>
    <definedName name="qryEstimateSet">#REF!</definedName>
    <definedName name="qryTicker">#REF!</definedName>
    <definedName name="Quarter">#REF!</definedName>
    <definedName name="Quoted_investments">#REF!</definedName>
    <definedName name="R_D">#REF!</definedName>
    <definedName name="R_D_amort_years">#REF!</definedName>
    <definedName name="R_D_Amortization">#REF!</definedName>
    <definedName name="R_D_expense">#REF!</definedName>
    <definedName name="RA" localSheetId="1">#REF!</definedName>
    <definedName name="RA">#REF!</definedName>
    <definedName name="rad" localSheetId="1">#REF!</definedName>
    <definedName name="rad">#REF!</definedName>
    <definedName name="range" localSheetId="1">#REF!</definedName>
    <definedName name="range">#REF!</definedName>
    <definedName name="rangef">#REF!</definedName>
    <definedName name="rangeprm">#REF!</definedName>
    <definedName name="RAS">#REF!</definedName>
    <definedName name="RAT">#REF!</definedName>
    <definedName name="RATES">#REF!</definedName>
    <definedName name="RATES2">#REF!</definedName>
    <definedName name="ratio">#REF!</definedName>
    <definedName name="ratio1">#REF!</definedName>
    <definedName name="ratio2">#REF!</definedName>
    <definedName name="RATIOFULL">#REF!</definedName>
    <definedName name="RATIOS">#REF!</definedName>
    <definedName name="rce">#REF!</definedName>
    <definedName name="rcr">#REF!</definedName>
    <definedName name="rde">#REF!</definedName>
    <definedName name="RE">#REF!</definedName>
    <definedName name="Real_Rate" localSheetId="5">#REF!</definedName>
    <definedName name="Real_Rate">#REF!</definedName>
    <definedName name="rec" localSheetId="1">#REF!</definedName>
    <definedName name="rec">#REF!</definedName>
    <definedName name="recap">#REF!</definedName>
    <definedName name="recapprof">#REF!</definedName>
    <definedName name="recdate" localSheetId="1">#REF!</definedName>
    <definedName name="recdate">#REF!</definedName>
    <definedName name="Receivables">#REF!</definedName>
    <definedName name="reclist" localSheetId="1">#REF!</definedName>
    <definedName name="reclist">#REF!</definedName>
    <definedName name="Recommend" localSheetId="4">#REF!</definedName>
    <definedName name="Recommend" localSheetId="5">#REF!</definedName>
    <definedName name="Recommend">#REF!</definedName>
    <definedName name="_xlnm.Recorder">#REF!</definedName>
    <definedName name="Region" localSheetId="1">#REF!</definedName>
    <definedName name="Region">#REF!</definedName>
    <definedName name="Renewal_premium_per__1000_renewal_business" localSheetId="1">#REF!</definedName>
    <definedName name="Renewal_premium_per__1000_renewal_business">#REF!</definedName>
    <definedName name="rep" localSheetId="1" hidden="1">{#N/A,#N/A,FALSE,"COVER";#N/A,#N/A,FALSE,"VALUATION";#N/A,#N/A,FALSE,"FORECAST";#N/A,#N/A,FALSE,"FY ANALYSIS ";#N/A,#N/A,FALSE," HY ANALYSIS"}</definedName>
    <definedName name="rep" localSheetId="14" hidden="1">{#N/A,#N/A,FALSE,"COVER";#N/A,#N/A,FALSE,"VALUATION";#N/A,#N/A,FALSE,"FORECAST";#N/A,#N/A,FALSE,"FY ANALYSIS ";#N/A,#N/A,FALSE," HY ANALYSIS"}</definedName>
    <definedName name="rep" hidden="1">{#N/A,#N/A,FALSE,"COVER";#N/A,#N/A,FALSE,"VALUATION";#N/A,#N/A,FALSE,"FORECAST";#N/A,#N/A,FALSE,"FY ANALYSIS ";#N/A,#N/A,FALSE," HY ANALYSIS"}</definedName>
    <definedName name="RepayBorrow">#REF!</definedName>
    <definedName name="Report" localSheetId="1">#REF!</definedName>
    <definedName name="Report" localSheetId="14">#REF!</definedName>
    <definedName name="Report">#REF!</definedName>
    <definedName name="Reported_net_income">#REF!</definedName>
    <definedName name="REPORTED_PRETAX_PROFIT">#REF!</definedName>
    <definedName name="RepProf" localSheetId="1">#REF!</definedName>
    <definedName name="RepProf">#REF!</definedName>
    <definedName name="reps">#REF!</definedName>
    <definedName name="reqdetails">#REF!</definedName>
    <definedName name="Required_cash_percent">#REF!</definedName>
    <definedName name="ResDevCap" localSheetId="1">#REF!</definedName>
    <definedName name="ResDevCap">#REF!</definedName>
    <definedName name="ResDevExp" localSheetId="1">#REF!</definedName>
    <definedName name="ResDevExp">#REF!</definedName>
    <definedName name="Reserves" localSheetId="1">#REF!</definedName>
    <definedName name="Reserves">#REF!</definedName>
    <definedName name="Reserves_forecast_drivers___B_S_Perspective" localSheetId="1">#REF!</definedName>
    <definedName name="Reserves_forecast_drivers___B_S_Perspective">#REF!</definedName>
    <definedName name="resincome" localSheetId="1">#REF!</definedName>
    <definedName name="resincome">#REF!</definedName>
    <definedName name="RestatedSales_01" localSheetId="1">#REF!</definedName>
    <definedName name="RestatedSales_01">#REF!</definedName>
    <definedName name="Restricted_equity">#REF!</definedName>
    <definedName name="Restructuring">#REF!</definedName>
    <definedName name="Restructuring_charges">#REF!</definedName>
    <definedName name="Restructuring_charges_growth_fore" localSheetId="1">#REF!</definedName>
    <definedName name="Restructuring_charges_growth_fore">#REF!</definedName>
    <definedName name="result" localSheetId="1">#REF!</definedName>
    <definedName name="result">#REF!</definedName>
    <definedName name="Results" localSheetId="1">#REF!</definedName>
    <definedName name="Results">#REF!</definedName>
    <definedName name="RetEarn">#REF!</definedName>
    <definedName name="retfcf">#REF!</definedName>
    <definedName name="ReturnOnAssets" localSheetId="1">#REF!</definedName>
    <definedName name="ReturnOnAssets">#REF!</definedName>
    <definedName name="ReturnOnEquity" localSheetId="1">#REF!</definedName>
    <definedName name="ReturnOnEquity">#REF!</definedName>
    <definedName name="REUTERS" localSheetId="4">#REF!</definedName>
    <definedName name="REUTERS" localSheetId="5">#REF!</definedName>
    <definedName name="REUTERS">#REF!</definedName>
    <definedName name="rev">#REF!</definedName>
    <definedName name="rev_92">#REF!</definedName>
    <definedName name="rev_93">#REF!</definedName>
    <definedName name="rev_94">#REF!</definedName>
    <definedName name="rev_95">#REF!</definedName>
    <definedName name="RevDisc">#REF!</definedName>
    <definedName name="RevDiscName">#REF!</definedName>
    <definedName name="RevDiv1">#REF!</definedName>
    <definedName name="RevDiv1Name">#REF!</definedName>
    <definedName name="RevDiv2">#REF!</definedName>
    <definedName name="RevDiv2Name">#REF!</definedName>
    <definedName name="RevDiv3">#REF!</definedName>
    <definedName name="RevDiv3Name">#REF!</definedName>
    <definedName name="RevDiv4">#REF!</definedName>
    <definedName name="RevDiv4Name">#REF!</definedName>
    <definedName name="RevDiv5">#REF!</definedName>
    <definedName name="RevDiv5Name">#REF!</definedName>
    <definedName name="RevDiv6">#REF!</definedName>
    <definedName name="RevDiv6Name">#REF!</definedName>
    <definedName name="RevDiv7">#REF!</definedName>
    <definedName name="RevDiv7Name">#REF!</definedName>
    <definedName name="RevDiv8">#REF!</definedName>
    <definedName name="RevDiv8Name">#REF!</definedName>
    <definedName name="RevDiv9">#REF!</definedName>
    <definedName name="RevDiv9Name">#REF!</definedName>
    <definedName name="RevDivCorpOver">#REF!</definedName>
    <definedName name="Revenue" localSheetId="1">#REF!</definedName>
    <definedName name="Revenue" localSheetId="14">#REF!</definedName>
    <definedName name="Revenue">#REF!</definedName>
    <definedName name="Revenue_2">#REF!</definedName>
    <definedName name="Revenues">#REF!</definedName>
    <definedName name="REVQ191">#REF!</definedName>
    <definedName name="REVQ192">#REF!</definedName>
    <definedName name="REVQ193">#REF!</definedName>
    <definedName name="REVQ194">#REF!</definedName>
    <definedName name="REVQ195">#REF!</definedName>
    <definedName name="REVQ196">#REF!</definedName>
    <definedName name="REVQ197">#REF!</definedName>
    <definedName name="REVQ291">#REF!</definedName>
    <definedName name="REVQ292">#REF!</definedName>
    <definedName name="REVQ293">#REF!</definedName>
    <definedName name="REVQ294">#REF!</definedName>
    <definedName name="REVQ295">#REF!</definedName>
    <definedName name="REVQ296">#REF!</definedName>
    <definedName name="REVQ297">#REF!</definedName>
    <definedName name="REVQ391">#REF!</definedName>
    <definedName name="REVQ392">#REF!</definedName>
    <definedName name="REVQ393">#REF!</definedName>
    <definedName name="REVQ394">#REF!</definedName>
    <definedName name="REVQ395">#REF!</definedName>
    <definedName name="REVQ396">#REF!</definedName>
    <definedName name="REVQ397">#REF!</definedName>
    <definedName name="REVQ490">#REF!</definedName>
    <definedName name="REVQ491">#REF!</definedName>
    <definedName name="REVQ492">#REF!</definedName>
    <definedName name="REVQ493">#REF!</definedName>
    <definedName name="REVQ494">#REF!</definedName>
    <definedName name="REVQ495">#REF!</definedName>
    <definedName name="REVQ496">#REF!</definedName>
    <definedName name="REVQ497">#REF!</definedName>
    <definedName name="RevReg1">#REF!</definedName>
    <definedName name="RevReg1Name">#REF!</definedName>
    <definedName name="RevReg2">#REF!</definedName>
    <definedName name="RevReg2Name">#REF!</definedName>
    <definedName name="RevReg3">#REF!</definedName>
    <definedName name="RevReg3Name">#REF!</definedName>
    <definedName name="RevReg4">#REF!</definedName>
    <definedName name="RevReg4Name">#REF!</definedName>
    <definedName name="RevReg5">#REF!</definedName>
    <definedName name="RevReg5Name">#REF!</definedName>
    <definedName name="RevReg6">#REF!</definedName>
    <definedName name="RevReg6Name">#REF!</definedName>
    <definedName name="RevReg7">#REF!</definedName>
    <definedName name="RevReg7Name">#REF!</definedName>
    <definedName name="RevReg8">#REF!</definedName>
    <definedName name="RevReg8Name">#REF!</definedName>
    <definedName name="RevReg9">#REF!</definedName>
    <definedName name="RevReg9Name">#REF!</definedName>
    <definedName name="RevRegDisc">#REF!</definedName>
    <definedName name="RevRegDiscName">#REF!</definedName>
    <definedName name="RevRegDivCorpOver">#REF!</definedName>
    <definedName name="revs_cellular_total">#REF!</definedName>
    <definedName name="revs_internet">#REF!</definedName>
    <definedName name="revs_other">#REF!</definedName>
    <definedName name="RF" localSheetId="4">#REF!</definedName>
    <definedName name="RF" localSheetId="5">#REF!</definedName>
    <definedName name="RF" localSheetId="1">#REF!</definedName>
    <definedName name="RF">#REF!</definedName>
    <definedName name="rfa" localSheetId="1">#REF!</definedName>
    <definedName name="rfa">#REF!</definedName>
    <definedName name="RFR" localSheetId="1">#REF!</definedName>
    <definedName name="RFR">#REF!</definedName>
    <definedName name="rfs" localSheetId="1">#REF!</definedName>
    <definedName name="rfs">#REF!</definedName>
    <definedName name="RGA">#REF!</definedName>
    <definedName name="ric">#REF!</definedName>
    <definedName name="rica">#REF!</definedName>
    <definedName name="ricf">#REF!</definedName>
    <definedName name="RICS" localSheetId="4">#REF!</definedName>
    <definedName name="RICS" localSheetId="5">#REF!</definedName>
    <definedName name="RICS">#REF!</definedName>
    <definedName name="ricx">#REF!</definedName>
    <definedName name="risk_free_rate" localSheetId="4">#REF!</definedName>
    <definedName name="risk_free_rate" localSheetId="5">#REF!</definedName>
    <definedName name="risk_free_rate">#REF!</definedName>
    <definedName name="riskadjmargings" localSheetId="1">#REF!</definedName>
    <definedName name="riskadjmargings">#REF!</definedName>
    <definedName name="RM" localSheetId="4">#REF!</definedName>
    <definedName name="RM" localSheetId="5">#REF!</definedName>
    <definedName name="RM">#REF!</definedName>
    <definedName name="Rmb" localSheetId="1">#REF!</definedName>
    <definedName name="Rmb">#REF!</definedName>
    <definedName name="RNBV" localSheetId="4">#REF!</definedName>
    <definedName name="RNBV" localSheetId="5">#REF!</definedName>
    <definedName name="RNBV">#REF!</definedName>
    <definedName name="RnD_expense">#REF!</definedName>
    <definedName name="RnD_expense_fore" localSheetId="1">#REF!</definedName>
    <definedName name="RnD_expense_fore">#REF!</definedName>
    <definedName name="RnD_expense_growth_fore" localSheetId="1">#REF!</definedName>
    <definedName name="RnD_expense_growth_fore">#REF!</definedName>
    <definedName name="RnD_expenses_fore" localSheetId="1">#REF!</definedName>
    <definedName name="RnD_expenses_fore">#REF!</definedName>
    <definedName name="rnf">#REF!</definedName>
    <definedName name="RNK_index">#REF!</definedName>
    <definedName name="RNR" localSheetId="1">#REF!</definedName>
    <definedName name="RNR">#REF!</definedName>
    <definedName name="rns" localSheetId="1">#REF!</definedName>
    <definedName name="rns">#REF!</definedName>
    <definedName name="roa">#REF!</definedName>
    <definedName name="roce01">#REF!</definedName>
    <definedName name="roce02">#REF!</definedName>
    <definedName name="roce03">#REF!</definedName>
    <definedName name="roce04">#REF!</definedName>
    <definedName name="roe" localSheetId="1">#REF!</definedName>
    <definedName name="roe" localSheetId="14">#REF!</definedName>
    <definedName name="roe">#REF!</definedName>
    <definedName name="ROE_01_HIH" localSheetId="1">#REF!</definedName>
    <definedName name="ROE_01_HIH">#REF!</definedName>
    <definedName name="ROE_03_AMP" localSheetId="1">#REF!</definedName>
    <definedName name="ROE_03_AMP" localSheetId="14">#REF!</definedName>
    <definedName name="ROE_03_AMP">#REF!</definedName>
    <definedName name="ROE_03_AXA" localSheetId="1">#REF!</definedName>
    <definedName name="ROE_03_AXA" localSheetId="14">#REF!</definedName>
    <definedName name="ROE_03_AXA">#REF!</definedName>
    <definedName name="ROE_03_NRM" localSheetId="1">#REF!</definedName>
    <definedName name="ROE_03_NRM" localSheetId="14">#REF!</definedName>
    <definedName name="ROE_03_NRM">#REF!</definedName>
    <definedName name="ROE_03_QBE" localSheetId="1">#REF!</definedName>
    <definedName name="ROE_03_QBE" localSheetId="14">#REF!</definedName>
    <definedName name="ROE_03_QBE">#REF!</definedName>
    <definedName name="ROE_03_TWR" localSheetId="1">#REF!</definedName>
    <definedName name="ROE_03_TWR" localSheetId="14">#REF!</definedName>
    <definedName name="ROE_03_TWR">#REF!</definedName>
    <definedName name="rot" localSheetId="1">#REF!</definedName>
    <definedName name="rot">#REF!</definedName>
    <definedName name="row" localSheetId="1">#REF!</definedName>
    <definedName name="row">#REF!</definedName>
    <definedName name="RoW_w">#REF!</definedName>
    <definedName name="Row10Col2">#REF!</definedName>
    <definedName name="Row11Col2">#REF!</definedName>
    <definedName name="Row12Col2">#REF!</definedName>
    <definedName name="Row13Col2">#REF!</definedName>
    <definedName name="Row14Col2">#REF!</definedName>
    <definedName name="Row2Col2">#REF!</definedName>
    <definedName name="Row3Col2">#REF!</definedName>
    <definedName name="Row4Col2">#REF!</definedName>
    <definedName name="Row5Col2">#REF!</definedName>
    <definedName name="Row6Col2">#REF!</definedName>
    <definedName name="Row7Col2">#REF!</definedName>
    <definedName name="Row8Col2">#REF!</definedName>
    <definedName name="Row9Col2">#REF!</definedName>
    <definedName name="rowheight">#REF!</definedName>
    <definedName name="Royalties" localSheetId="1">#REF!</definedName>
    <definedName name="Royalties">#REF!</definedName>
    <definedName name="rpea">#REF!</definedName>
    <definedName name="rpia">#REF!</definedName>
    <definedName name="rr">#REF!</definedName>
    <definedName name="rre" localSheetId="1">#REF!</definedName>
    <definedName name="rre">#REF!</definedName>
    <definedName name="rrrevenue">#REF!</definedName>
    <definedName name="rs">#REF!</definedName>
    <definedName name="RSA" localSheetId="1">#REF!</definedName>
    <definedName name="RSA">#REF!</definedName>
    <definedName name="rtfcf">#REF!</definedName>
    <definedName name="rus" localSheetId="1">#REF!</definedName>
    <definedName name="rus">#REF!</definedName>
    <definedName name="rwc" localSheetId="1">#REF!</definedName>
    <definedName name="rwc">#REF!</definedName>
    <definedName name="rwt" localSheetId="1">#REF!</definedName>
    <definedName name="rwt">#REF!</definedName>
    <definedName name="s">#REF!</definedName>
    <definedName name="S_Count">#REF!</definedName>
    <definedName name="S_RUKN" localSheetId="1">#REF!</definedName>
    <definedName name="S_RUKN">#REF!</definedName>
    <definedName name="sad" localSheetId="1">#REF!</definedName>
    <definedName name="sad">#REF!</definedName>
    <definedName name="saf" localSheetId="1">#REF!</definedName>
    <definedName name="saf">#REF!</definedName>
    <definedName name="SAFC">#REF!</definedName>
    <definedName name="sal">#REF!</definedName>
    <definedName name="Sales">#REF!</definedName>
    <definedName name="Sales_00">#REF!</definedName>
    <definedName name="Sales_01">#REF!</definedName>
    <definedName name="Sales_02">#REF!</definedName>
    <definedName name="Sales_03">#REF!</definedName>
    <definedName name="Sales_04">#REF!</definedName>
    <definedName name="Sales_05">#REF!</definedName>
    <definedName name="Sales_06">#REF!</definedName>
    <definedName name="Sales_07">#REF!</definedName>
    <definedName name="Sales_08">#REF!</definedName>
    <definedName name="sales_1997">#REF!</definedName>
    <definedName name="sales_2001">#REF!</definedName>
    <definedName name="sales_2002">#REF!</definedName>
    <definedName name="sales_2003">#REF!</definedName>
    <definedName name="sales_2004">#REF!</definedName>
    <definedName name="Sales_92">#REF!</definedName>
    <definedName name="Sales_93">#REF!</definedName>
    <definedName name="Sales_94">#REF!</definedName>
    <definedName name="Sales_95">#REF!</definedName>
    <definedName name="Sales_96">#REF!</definedName>
    <definedName name="Sales_97">#REF!</definedName>
    <definedName name="Sales_98">#REF!</definedName>
    <definedName name="Sales_99">#REF!</definedName>
    <definedName name="sales_eu_01">#REF!</definedName>
    <definedName name="sales_eu_02">#REF!</definedName>
    <definedName name="sales_eu_03">#REF!</definedName>
    <definedName name="sales_eu_04">#REF!</definedName>
    <definedName name="sales_growth_1997">#REF!</definedName>
    <definedName name="sales_growth_97">#REF!</definedName>
    <definedName name="Sales_growth_avg" localSheetId="1">#REF!</definedName>
    <definedName name="Sales_growth_avg">#REF!</definedName>
    <definedName name="sales01">#REF!</definedName>
    <definedName name="sales02">#REF!</definedName>
    <definedName name="sales03">#REF!</definedName>
    <definedName name="sales04">#REF!</definedName>
    <definedName name="SalesRev" localSheetId="1">#REF!</definedName>
    <definedName name="SalesRev">#REF!</definedName>
    <definedName name="SAM" localSheetId="1">#REF!</definedName>
    <definedName name="SAM">#REF!</definedName>
    <definedName name="sas" localSheetId="1">#REF!</definedName>
    <definedName name="sas">#REF!</definedName>
    <definedName name="sbprice">#REF!</definedName>
    <definedName name="scen_change" localSheetId="1" hidden="1">#REF!</definedName>
    <definedName name="scen_change" localSheetId="14" hidden="1">#REF!</definedName>
    <definedName name="scen_change" hidden="1">#REF!</definedName>
    <definedName name="scen_date1" hidden="1">34337.506400463</definedName>
    <definedName name="scen_name1" hidden="1">"/tar"</definedName>
    <definedName name="scen_num" hidden="1">1</definedName>
    <definedName name="scen_user1" hidden="1">"Williams Eileen"</definedName>
    <definedName name="scen_value1" hidden="1">"NM"</definedName>
    <definedName name="Scenario">#REF!</definedName>
    <definedName name="ScenarioList">#REF!</definedName>
    <definedName name="SCH">#REF!</definedName>
    <definedName name="Schedule">#REF!</definedName>
    <definedName name="Schroder_exceptionals">#REF!</definedName>
    <definedName name="SCO" localSheetId="1">#REF!</definedName>
    <definedName name="SCO">#REF!</definedName>
    <definedName name="Score_ED">#REF!</definedName>
    <definedName name="Score_PD">#REF!</definedName>
    <definedName name="Score_Val">#REF!</definedName>
    <definedName name="SD" hidden="1">#REF!</definedName>
    <definedName name="SDA" hidden="1">#REF!</definedName>
    <definedName name="SDF" hidden="1">#REF!</definedName>
    <definedName name="SE" localSheetId="1">#REF!</definedName>
    <definedName name="SE">#REF!</definedName>
    <definedName name="SE4q93">#REF!</definedName>
    <definedName name="SE4q94">#REF!</definedName>
    <definedName name="seas">#REF!</definedName>
    <definedName name="Sect_1_Start" localSheetId="4">#REF!</definedName>
    <definedName name="Sect_1_Start" localSheetId="5">#REF!</definedName>
    <definedName name="Sect_1_Start">#REF!</definedName>
    <definedName name="Sect_2_Start" localSheetId="4">#REF!</definedName>
    <definedName name="Sect_2_Start" localSheetId="5">#REF!</definedName>
    <definedName name="Sect_2_Start">#REF!</definedName>
    <definedName name="Sect_3_Start">#REF!</definedName>
    <definedName name="Sect_4_Start">#REF!</definedName>
    <definedName name="Sect_5_Start">#REF!</definedName>
    <definedName name="Sect_6_Start">#REF!</definedName>
    <definedName name="Sect_7_Start">#REF!</definedName>
    <definedName name="Sect_8_Start">#REF!</definedName>
    <definedName name="SECTOR">#REF!</definedName>
    <definedName name="Sector_index">#REF!</definedName>
    <definedName name="SECTORa" localSheetId="1">#REF!</definedName>
    <definedName name="SECTORa">#REF!</definedName>
    <definedName name="SectorTable" localSheetId="1">#REF!</definedName>
    <definedName name="SectorTable">#REF!</definedName>
    <definedName name="Segment1_income">#REF!</definedName>
    <definedName name="Segment1_income_DCF">#REF!</definedName>
    <definedName name="Segment1_income_fore" localSheetId="1">#REF!</definedName>
    <definedName name="Segment1_income_fore">#REF!</definedName>
    <definedName name="Segment1_income_growth_fore" localSheetId="1">#REF!</definedName>
    <definedName name="Segment1_income_growth_fore">#REF!</definedName>
    <definedName name="Segment2_income">#REF!</definedName>
    <definedName name="Segment2_income_DCF">#REF!</definedName>
    <definedName name="Segment2_income_fore" localSheetId="1">#REF!</definedName>
    <definedName name="Segment2_income_fore">#REF!</definedName>
    <definedName name="Segment2_income_growth_fore" localSheetId="1">#REF!</definedName>
    <definedName name="Segment2_income_growth_fore">#REF!</definedName>
    <definedName name="seller" localSheetId="1">#REF!</definedName>
    <definedName name="seller">#REF!</definedName>
    <definedName name="sencount" hidden="1">1</definedName>
    <definedName name="Setup">#REF!</definedName>
    <definedName name="SFG" localSheetId="1">#REF!</definedName>
    <definedName name="SFG">#REF!</definedName>
    <definedName name="sFormat">#REF!</definedName>
    <definedName name="sFreq">#REF!</definedName>
    <definedName name="SGA">#REF!</definedName>
    <definedName name="SGA_fore" localSheetId="1">#REF!</definedName>
    <definedName name="SGA_fore">#REF!</definedName>
    <definedName name="SGA_growth">#REF!</definedName>
    <definedName name="SGA_growth_avg" localSheetId="1">#REF!</definedName>
    <definedName name="SGA_growth_avg">#REF!</definedName>
    <definedName name="SGA_growth_fore" localSheetId="1">#REF!</definedName>
    <definedName name="SGA_growth_fore">#REF!</definedName>
    <definedName name="SGA_margin_fore" localSheetId="1">#REF!</definedName>
    <definedName name="SGA_margin_fore">#REF!</definedName>
    <definedName name="SGARARevenue">#REF!</definedName>
    <definedName name="SGARATax">#REF!</definedName>
    <definedName name="sgdnew">#REF!</definedName>
    <definedName name="sgdold">#REF!</definedName>
    <definedName name="SHAO01">#REF!</definedName>
    <definedName name="SHAO86">#REF!</definedName>
    <definedName name="SHAO87">#REF!</definedName>
    <definedName name="SHAO88">#REF!</definedName>
    <definedName name="SHAO89">#REF!</definedName>
    <definedName name="SHAO90">#REF!</definedName>
    <definedName name="SHAO91">#REF!</definedName>
    <definedName name="SHAO92">#REF!</definedName>
    <definedName name="SHAO93">#REF!</definedName>
    <definedName name="SHAO94">#REF!</definedName>
    <definedName name="SHAO95">#REF!</definedName>
    <definedName name="SHAP00">#REF!</definedName>
    <definedName name="SHAP01">#REF!</definedName>
    <definedName name="SHAP86">#REF!</definedName>
    <definedName name="SHAP87">#REF!</definedName>
    <definedName name="SHAP88">#REF!</definedName>
    <definedName name="SHAP89">#REF!</definedName>
    <definedName name="SHAP90">#REF!</definedName>
    <definedName name="SHAP91">#REF!</definedName>
    <definedName name="SHAP92">#REF!</definedName>
    <definedName name="SHAP93">#REF!</definedName>
    <definedName name="SHAP94">#REF!</definedName>
    <definedName name="SHAP95">#REF!</definedName>
    <definedName name="SHAP96">#REF!</definedName>
    <definedName name="SHAP97">#REF!</definedName>
    <definedName name="SHAP98">#REF!</definedName>
    <definedName name="SHAP99">#REF!</definedName>
    <definedName name="Share_Data">#REF!</definedName>
    <definedName name="Share_price">#REF!</definedName>
    <definedName name="ShareAssocNetProfMem">#REF!</definedName>
    <definedName name="sharecapitalpostHI">#REF!</definedName>
    <definedName name="Shareholder1">#REF!</definedName>
    <definedName name="Shareholder2">#REF!</definedName>
    <definedName name="Shareholder3">#REF!</definedName>
    <definedName name="Shareholder4">#REF!</definedName>
    <definedName name="Shareholder5">#REF!</definedName>
    <definedName name="ShareHoldFund">#REF!</definedName>
    <definedName name="Shareholding1">#REF!</definedName>
    <definedName name="Shareholding2">#REF!</definedName>
    <definedName name="Shareholding3">#REF!</definedName>
    <definedName name="Shareholding4">#REF!</definedName>
    <definedName name="Shareholding5">#REF!</definedName>
    <definedName name="SHAREPRICE" localSheetId="9">#REF!</definedName>
    <definedName name="SharePrice" localSheetId="5">#REF!</definedName>
    <definedName name="SHAREPRICE" localSheetId="14">#REF!</definedName>
    <definedName name="SharePrice">#REF!</definedName>
    <definedName name="SHAREPRICERMB" localSheetId="1">#REF!</definedName>
    <definedName name="SHAREPRICERMB" localSheetId="14">#REF!</definedName>
    <definedName name="SHAREPRICERMB">#REF!</definedName>
    <definedName name="SHARES" localSheetId="9">#REF!</definedName>
    <definedName name="Shares" localSheetId="4">#REF!</definedName>
    <definedName name="Shares" localSheetId="5">#REF!</definedName>
    <definedName name="Shares">#REF!</definedName>
    <definedName name="shares_01">#REF!</definedName>
    <definedName name="shares_02">#REF!</definedName>
    <definedName name="shares_03">#REF!</definedName>
    <definedName name="shares_04">#REF!</definedName>
    <definedName name="Shares_DCF">#REF!</definedName>
    <definedName name="Shares_fore" localSheetId="1">#REF!</definedName>
    <definedName name="Shares_fore">#REF!</definedName>
    <definedName name="Shares_growth">#REF!</definedName>
    <definedName name="Shares_growth_fore" localSheetId="1">#REF!</definedName>
    <definedName name="Shares_growth_fore">#REF!</definedName>
    <definedName name="Shares_Out">#REF!</definedName>
    <definedName name="shares_plc_00">#REF!</definedName>
    <definedName name="Shares_repurchase_liability">#REF!</definedName>
    <definedName name="sharesav00">#REF!</definedName>
    <definedName name="sharesav01">#REF!</definedName>
    <definedName name="sharesav98">#REF!</definedName>
    <definedName name="sharesav99">#REF!</definedName>
    <definedName name="Sharesfd">#REF!</definedName>
    <definedName name="SharesIssued" localSheetId="1">#REF!</definedName>
    <definedName name="SharesIssued">#REF!</definedName>
    <definedName name="shareswtd" localSheetId="1">#REF!</definedName>
    <definedName name="shareswtd" localSheetId="14">#REF!</definedName>
    <definedName name="shareswtd">#REF!</definedName>
    <definedName name="sharesye95" localSheetId="1">#REF!</definedName>
    <definedName name="sharesye95">#REF!</definedName>
    <definedName name="sharesye98" localSheetId="1">#REF!</definedName>
    <definedName name="sharesye98">#REF!</definedName>
    <definedName name="shareto" localSheetId="4">#REF!</definedName>
    <definedName name="shareto" localSheetId="5">#REF!</definedName>
    <definedName name="shareto">#REF!</definedName>
    <definedName name="SHAS00">#REF!</definedName>
    <definedName name="SHAS01" localSheetId="1">#REF!</definedName>
    <definedName name="SHAS01">#REF!</definedName>
    <definedName name="SHAS86">#REF!</definedName>
    <definedName name="SHAS87">#REF!</definedName>
    <definedName name="SHAS88">#REF!</definedName>
    <definedName name="SHAS89">#REF!</definedName>
    <definedName name="SHAS90">#REF!</definedName>
    <definedName name="SHAS91">#REF!</definedName>
    <definedName name="SHAS92">#REF!</definedName>
    <definedName name="SHAS93">#REF!</definedName>
    <definedName name="SHAS94">#REF!</definedName>
    <definedName name="SHAS95">#REF!</definedName>
    <definedName name="SHAS96">#REF!</definedName>
    <definedName name="SHAS97">#REF!</definedName>
    <definedName name="SHAS98">#REF!</definedName>
    <definedName name="SHAS99">#REF!</definedName>
    <definedName name="sheq">#REF!</definedName>
    <definedName name="shhf91" localSheetId="4">#REF!</definedName>
    <definedName name="shhf91" localSheetId="5">#REF!</definedName>
    <definedName name="shhf91" localSheetId="1">#REF!</definedName>
    <definedName name="shhf91">#REF!</definedName>
    <definedName name="shhf92" localSheetId="4">#REF!</definedName>
    <definedName name="shhf92" localSheetId="5">#REF!</definedName>
    <definedName name="shhf92">#REF!</definedName>
    <definedName name="shhf93">#REF!</definedName>
    <definedName name="shhf94">#REF!</definedName>
    <definedName name="shhf95">#REF!</definedName>
    <definedName name="shhf96">#REF!</definedName>
    <definedName name="shhf97">#REF!</definedName>
    <definedName name="SHold1">#REF!</definedName>
    <definedName name="SholdersEquity" localSheetId="1">#REF!</definedName>
    <definedName name="SholdersEquity">#REF!</definedName>
    <definedName name="Short_term_debt">#REF!</definedName>
    <definedName name="shortname" localSheetId="1">#REF!</definedName>
    <definedName name="shortname">#REF!</definedName>
    <definedName name="ShowDetails">#REF!</definedName>
    <definedName name="SHRFULL" localSheetId="1">#REF!</definedName>
    <definedName name="SHRFULL">#REF!</definedName>
    <definedName name="SINGAPORE" localSheetId="1">#REF!</definedName>
    <definedName name="SINGAPORE">#REF!</definedName>
    <definedName name="singmscifxfactor" localSheetId="1">#REF!</definedName>
    <definedName name="singmscifxfactor">#REF!</definedName>
    <definedName name="singmscinew">#REF!</definedName>
    <definedName name="singmsciold">#REF!</definedName>
    <definedName name="SIVP98">#REF!</definedName>
    <definedName name="SKN">#REF!</definedName>
    <definedName name="skyprice">#REF!</definedName>
    <definedName name="SLC.CA">#REF!</definedName>
    <definedName name="sort_start">#REF!</definedName>
    <definedName name="South_America">#REF!</definedName>
    <definedName name="South_America_w">#REF!</definedName>
    <definedName name="SPC" localSheetId="1">#REF!</definedName>
    <definedName name="SPC">#REF!</definedName>
    <definedName name="SpecialDPS" localSheetId="1">#REF!</definedName>
    <definedName name="SpecialDPS">#REF!</definedName>
    <definedName name="sps" localSheetId="1">#REF!</definedName>
    <definedName name="sps">#REF!</definedName>
    <definedName name="ss">#REF!</definedName>
    <definedName name="ST_debt_growth_fore" localSheetId="1">#REF!</definedName>
    <definedName name="ST_debt_growth_fore">#REF!</definedName>
    <definedName name="STAMP" localSheetId="1">#REF!</definedName>
    <definedName name="STAMP" localSheetId="14">#REF!</definedName>
    <definedName name="STAMP">#REF!</definedName>
    <definedName name="STAMP2" localSheetId="1">#REF!</definedName>
    <definedName name="STAMP2" localSheetId="14">#REF!</definedName>
    <definedName name="STAMP2">#REF!</definedName>
    <definedName name="start">#REF!</definedName>
    <definedName name="stats">#REF!</definedName>
    <definedName name="stdebt">#REF!</definedName>
    <definedName name="stindex" localSheetId="4">#REF!</definedName>
    <definedName name="stindex" localSheetId="1">#REF!</definedName>
    <definedName name="stindex">#REF!</definedName>
    <definedName name="STLoans" localSheetId="1">#REF!</definedName>
    <definedName name="STLoans">#REF!</definedName>
    <definedName name="StockData">#REF!</definedName>
    <definedName name="sTopic">#REF!</definedName>
    <definedName name="sty_beta">#REF!</definedName>
    <definedName name="sty_div">#REF!</definedName>
    <definedName name="sty_evebitda">#REF!</definedName>
    <definedName name="sty_evsales">#REF!</definedName>
    <definedName name="sty_gear">#REF!</definedName>
    <definedName name="sty_mv">#REF!</definedName>
    <definedName name="sty_pb">#REF!</definedName>
    <definedName name="sty_pcf">#REF!</definedName>
    <definedName name="sty_pe">#REF!</definedName>
    <definedName name="sty_peg">#REF!</definedName>
    <definedName name="sty_roa">#REF!</definedName>
    <definedName name="sty_roce">#REF!</definedName>
    <definedName name="sty_roe">#REF!</definedName>
    <definedName name="sty_vfo">#REF!</definedName>
    <definedName name="stype">#REF!</definedName>
    <definedName name="subdisc">#REF!</definedName>
    <definedName name="Subs_total">#REF!</definedName>
    <definedName name="subsector" localSheetId="1">#REF!</definedName>
    <definedName name="subsector">#REF!</definedName>
    <definedName name="SUM">#REF!</definedName>
    <definedName name="summary">#REF!</definedName>
    <definedName name="SUMMOD">#REF!</definedName>
    <definedName name="SUN">#REF!</definedName>
    <definedName name="Super">#REF!</definedName>
    <definedName name="sustroe">#REF!</definedName>
    <definedName name="SV">#REF!</definedName>
    <definedName name="swa">#REF!</definedName>
    <definedName name="Sweden">#REF!</definedName>
    <definedName name="Sweden_w">#REF!</definedName>
    <definedName name="SwitchStock" localSheetId="1">#REF!</definedName>
    <definedName name="SwitchStock">#REF!</definedName>
    <definedName name="swl" localSheetId="1">#REF!</definedName>
    <definedName name="swl">#REF!</definedName>
    <definedName name="sws" localSheetId="1">#REF!</definedName>
    <definedName name="sws">#REF!</definedName>
    <definedName name="sYesNo">#REF!</definedName>
    <definedName name="t">#REF!</definedName>
    <definedName name="T2_rpt0297" localSheetId="1">#REF!</definedName>
    <definedName name="T2_rpt0297">#REF!</definedName>
    <definedName name="T6_rpt0297" localSheetId="1">#REF!</definedName>
    <definedName name="T6_rpt0297">#REF!</definedName>
    <definedName name="TAB" localSheetId="1">#REF!</definedName>
    <definedName name="TAB">#REF!</definedName>
    <definedName name="Tab2_EarnProj" localSheetId="1">#REF!</definedName>
    <definedName name="Tab2_EarnProj">#REF!</definedName>
    <definedName name="Table">#REF!</definedName>
    <definedName name="Table_19___Earnings_Projections_and_P_Es_for_Hong_Kong_Banking_Sector" localSheetId="1">#REF!</definedName>
    <definedName name="Table_19___Earnings_Projections_and_P_Es_for_Hong_Kong_Banking_Sector">#REF!</definedName>
    <definedName name="table_name" localSheetId="1">#REF!</definedName>
    <definedName name="table_name">#REF!</definedName>
    <definedName name="Table2" localSheetId="1">#REF!</definedName>
    <definedName name="Table2">#REF!</definedName>
    <definedName name="Table3">#REF!</definedName>
    <definedName name="TableContents" localSheetId="1">#REF!</definedName>
    <definedName name="TableContents" localSheetId="14">#REF!</definedName>
    <definedName name="TableContents">#REF!</definedName>
    <definedName name="TableName">#REF!</definedName>
    <definedName name="TAIWAN" localSheetId="4">#REF!</definedName>
    <definedName name="TAIWAN" localSheetId="1">#REF!</definedName>
    <definedName name="TAIWAN">#REF!</definedName>
    <definedName name="target" localSheetId="1">#REF!</definedName>
    <definedName name="target">#REF!</definedName>
    <definedName name="Target_D_DE" localSheetId="4">#REF!</definedName>
    <definedName name="Target_D_DE" localSheetId="5">#REF!</definedName>
    <definedName name="Target_D_DE" localSheetId="1">#REF!</definedName>
    <definedName name="Target_D_DE">#REF!</definedName>
    <definedName name="Target_DE" localSheetId="4">#REF!</definedName>
    <definedName name="Target_DE" localSheetId="5">#REF!</definedName>
    <definedName name="Target_DE">#REF!</definedName>
    <definedName name="Target_debt_to_capital" localSheetId="1">#REF!</definedName>
    <definedName name="Target_debt_to_capital">#REF!</definedName>
    <definedName name="Target_PBook_AXA">#REF!</definedName>
    <definedName name="Target_PBook_NRM">#REF!</definedName>
    <definedName name="Target_PBook_QBE">#REF!</definedName>
    <definedName name="Target_PBook_TWR">#REF!</definedName>
    <definedName name="tariff">#REF!</definedName>
    <definedName name="Tax" localSheetId="1">#REF!</definedName>
    <definedName name="tax" localSheetId="14">#REF!</definedName>
    <definedName name="Tax">#REF!</definedName>
    <definedName name="Tax_expense">#REF!</definedName>
    <definedName name="Tax_rate_for_WACC">#REF!</definedName>
    <definedName name="tax00">#REF!</definedName>
    <definedName name="TaxConsolidated">#REF!</definedName>
    <definedName name="Taxes_paid">#REF!</definedName>
    <definedName name="TaxExceptionals" localSheetId="1">#REF!</definedName>
    <definedName name="TaxExceptionals">#REF!</definedName>
    <definedName name="Taxmanagement" localSheetId="1">#REF!</definedName>
    <definedName name="Taxmanagement">#REF!</definedName>
    <definedName name="TaxPaid" localSheetId="1">#REF!</definedName>
    <definedName name="TaxPaid">#REF!</definedName>
    <definedName name="taxpd">#REF!</definedName>
    <definedName name="Taxrate_00">#REF!</definedName>
    <definedName name="Taxrate_97">#REF!</definedName>
    <definedName name="Taxrate_98">#REF!</definedName>
    <definedName name="Taxrate_99">#REF!</definedName>
    <definedName name="taxrate00">#REF!</definedName>
    <definedName name="taxrate01">#REF!</definedName>
    <definedName name="taxrate98">#REF!</definedName>
    <definedName name="taxrate99">#REF!</definedName>
    <definedName name="tcd">#REF!</definedName>
    <definedName name="tcf">#REF!</definedName>
    <definedName name="tci">#REF!</definedName>
    <definedName name="tclcprice">#REF!</definedName>
    <definedName name="tcliprice">#REF!</definedName>
    <definedName name="tcs" localSheetId="1">#REF!</definedName>
    <definedName name="tcs">#REF!</definedName>
    <definedName name="tdebtors">#REF!</definedName>
    <definedName name="TECH">#REF!</definedName>
    <definedName name="Telephone" localSheetId="4">#REF!</definedName>
    <definedName name="Telephone" localSheetId="5">#REF!</definedName>
    <definedName name="Telephone">#REF!</definedName>
    <definedName name="Template.WIRE">"DBACCESS"</definedName>
    <definedName name="Terminal" localSheetId="1">#REF!</definedName>
    <definedName name="Terminal" localSheetId="14">#REF!</definedName>
    <definedName name="Terminal">#REF!</definedName>
    <definedName name="Terminal_dividend_payout">#REF!</definedName>
    <definedName name="Terminal_g">#REF!</definedName>
    <definedName name="Terminal_ROE">#REF!</definedName>
    <definedName name="TerminalYear" localSheetId="1">#REF!</definedName>
    <definedName name="TerminalYear">#REF!</definedName>
    <definedName name="test">#REF!</definedName>
    <definedName name="tev" localSheetId="1">#REF!</definedName>
    <definedName name="tev">#REF!</definedName>
    <definedName name="tfc" localSheetId="1">#REF!</definedName>
    <definedName name="tfc">#REF!</definedName>
    <definedName name="tfd" localSheetId="1">#REF!</definedName>
    <definedName name="tfd">#REF!</definedName>
    <definedName name="tfo">#REF!</definedName>
    <definedName name="tfr">#REF!</definedName>
    <definedName name="TGR">#REF!</definedName>
    <definedName name="thbnew">#REF!</definedName>
    <definedName name="thbold">#REF!</definedName>
    <definedName name="threeg">#REF!</definedName>
    <definedName name="Ticker" localSheetId="1">#REF!</definedName>
    <definedName name="Ticker">#REF!</definedName>
    <definedName name="Tier1HI" localSheetId="1">#REF!</definedName>
    <definedName name="Tier1HI">#REF!</definedName>
    <definedName name="Tigr_Exhibit00bb3118_3532_40e5_8fa1_cbb359e3458c" hidden="1">#REF!</definedName>
    <definedName name="Tigr_Exhibit01da6b54_f095_4882_a6f1_cd88a8e1a79e" hidden="1">Segment!$B$8:$E$69</definedName>
    <definedName name="Tigr_Exhibit02b6d425_5001_45bd_b205_67666315e7bb" localSheetId="1" hidden="1">#REF!</definedName>
    <definedName name="Tigr_Exhibit02b6d425_5001_45bd_b205_67666315e7bb" hidden="1">#REF!</definedName>
    <definedName name="Tigr_Exhibit126e9364_bf1a_4e01_828e_2fe32c9e66a3" hidden="1">#REF!</definedName>
    <definedName name="Tigr_Exhibit1720746c_dcf6_4ab1_a301_169103ac88d7" localSheetId="1" hidden="1">#REF!</definedName>
    <definedName name="Tigr_Exhibit1720746c_dcf6_4ab1_a301_169103ac88d7" hidden="1">#REF!</definedName>
    <definedName name="Tigr_Exhibit1d6d2be8_9653_44aa_9284_b92f78a0f24f" localSheetId="1" hidden="1">#REF!</definedName>
    <definedName name="Tigr_Exhibit1d6d2be8_9653_44aa_9284_b92f78a0f24f" localSheetId="14" hidden="1">#REF!</definedName>
    <definedName name="Tigr_Exhibit1d6d2be8_9653_44aa_9284_b92f78a0f24f" hidden="1">#REF!</definedName>
    <definedName name="Tigr_Exhibit2a2148d0_3782_4261_8565_f96d6c8cd6b4" hidden="1">#REF!</definedName>
    <definedName name="Tigr_Exhibit303f7493_220c_43e4_a14b_4f9ac02519d5" hidden="1">Segment!$D$8:$E$69</definedName>
    <definedName name="Tigr_Exhibit381b2a24_db11_4984_90b1_795f0e262a20" localSheetId="1" hidden="1">#REF!</definedName>
    <definedName name="Tigr_Exhibit381b2a24_db11_4984_90b1_795f0e262a20" localSheetId="14" hidden="1">#REF!</definedName>
    <definedName name="Tigr_Exhibit381b2a24_db11_4984_90b1_795f0e262a20" hidden="1">#REF!</definedName>
    <definedName name="Tigr_Exhibit3dcbbcb0_844a_4ecf_b425_7c38fc2653a5" localSheetId="1" hidden="1">#REF!</definedName>
    <definedName name="Tigr_Exhibit3dcbbcb0_844a_4ecf_b425_7c38fc2653a5" hidden="1">#REF!</definedName>
    <definedName name="Tigr_Exhibit3e6d0f38_ee02_455d_8e0f_3ee9b1baa6a2" localSheetId="1" hidden="1">#REF!</definedName>
    <definedName name="Tigr_Exhibit3e6d0f38_ee02_455d_8e0f_3ee9b1baa6a2" hidden="1">#REF!</definedName>
    <definedName name="Tigr_Exhibit5b51c35a_2b74_445c_b2b5_d6c5fc7f8bfc" hidden="1">Segment!$B$8:$E$69</definedName>
    <definedName name="Tigr_Exhibit5c2d2c8a_614f_46fd_8628_b15f9f086b7e" localSheetId="1" hidden="1">#REF!</definedName>
    <definedName name="Tigr_Exhibit5c2d2c8a_614f_46fd_8628_b15f9f086b7e" hidden="1">#REF!</definedName>
    <definedName name="Tigr_Exhibit6592bb38_39c5_4392_828e_6deb47f230af" localSheetId="1" hidden="1">#REF!</definedName>
    <definedName name="Tigr_Exhibit6592bb38_39c5_4392_828e_6deb47f230af" hidden="1">#REF!</definedName>
    <definedName name="Tigr_Exhibit71d22b70_1a01_44fb_9ea0_cfcfae4cca49" localSheetId="1" hidden="1">#REF!</definedName>
    <definedName name="Tigr_Exhibit71d22b70_1a01_44fb_9ea0_cfcfae4cca49" hidden="1">#REF!</definedName>
    <definedName name="Tigr_Exhibit8650493a_c0dc_45dc_ba09_19c4eb2db606" localSheetId="1" hidden="1">#REF!</definedName>
    <definedName name="Tigr_Exhibit8650493a_c0dc_45dc_ba09_19c4eb2db606" hidden="1">#REF!</definedName>
    <definedName name="Tigr_Exhibitb072a941_f909_46ec_afd9_15a1f4ab025c" hidden="1">#REF!</definedName>
    <definedName name="Tigr_Exhibitb7d5f6c1_e892_4517_9b42_59852c2d9f66" localSheetId="1" hidden="1">#REF!</definedName>
    <definedName name="Tigr_Exhibitb7d5f6c1_e892_4517_9b42_59852c2d9f66" hidden="1">#REF!</definedName>
    <definedName name="Tigr_Exhibitba37f58e_1eeb_4a4b_a42d_529e1d778742" hidden="1">Segment!$D$8:$E$69</definedName>
    <definedName name="Tigr_Exhibitc336bbf1_d5b3_4f5c_88ac_ad1cabf069eb" hidden="1">Segment!$B$8:$F$68</definedName>
    <definedName name="Tigr_Exhibitc671c25c_7f8f_432f_b8cd_4d7736c690e4" localSheetId="1" hidden="1">#REF!</definedName>
    <definedName name="Tigr_Exhibitc671c25c_7f8f_432f_b8cd_4d7736c690e4" hidden="1">#REF!</definedName>
    <definedName name="Tigr_Exhibitd12aabf3_2d05_4f6a_a8b7_7bf925f71b28" hidden="1">Segment!$D$8:$F$68</definedName>
    <definedName name="Tigr_Exhibiteca0c7be_65f1_48c2_a0ea_6b11ccfac569" hidden="1">Segment!$D$8:$E$69</definedName>
    <definedName name="Tigr_Exhibitf03adb94_8795_482b_9d72_1167b4cb8cd4" hidden="1">#REF!</definedName>
    <definedName name="Tigr_Exhibitf4e543ec_b892_4ea1_b381_8d49b6255417" localSheetId="1" hidden="1">#REF!</definedName>
    <definedName name="Tigr_Exhibitf4e543ec_b892_4ea1_b381_8d49b6255417" localSheetId="14" hidden="1">#REF!</definedName>
    <definedName name="Tigr_Exhibitf4e543ec_b892_4ea1_b381_8d49b6255417" hidden="1">#REF!</definedName>
    <definedName name="Tigr_Exhibitfdc0e3e4_1c51_4ba7_b6bc_0819e8a3416e" hidden="1">Segment!$D$8:$E$68</definedName>
    <definedName name="tim" localSheetId="1">#REF!</definedName>
    <definedName name="tim">#REF!</definedName>
    <definedName name="tin" localSheetId="1">#REF!</definedName>
    <definedName name="tin">#REF!</definedName>
    <definedName name="Title">#REF!</definedName>
    <definedName name="Title_Date">#REF!</definedName>
    <definedName name="TMK" localSheetId="1">#REF!</definedName>
    <definedName name="TMK">#REF!</definedName>
    <definedName name="tnd" localSheetId="1">#REF!</definedName>
    <definedName name="tnd">#REF!</definedName>
    <definedName name="to_USD" localSheetId="4">#REF!</definedName>
    <definedName name="to_USD" localSheetId="5">#REF!</definedName>
    <definedName name="to_USD">#REF!</definedName>
    <definedName name="Today" localSheetId="14">#REF!</definedName>
    <definedName name="TODAY">#REF!</definedName>
    <definedName name="top" localSheetId="1">#REF!</definedName>
    <definedName name="top">#REF!</definedName>
    <definedName name="Total___Policies_Receiving_Benefits" localSheetId="1">#REF!</definedName>
    <definedName name="Total___Policies_Receiving_Benefits">#REF!</definedName>
    <definedName name="Total_amort_fore" localSheetId="1">#REF!</definedName>
    <definedName name="Total_amort_fore">#REF!</definedName>
    <definedName name="Total_Amortization">#REF!</definedName>
    <definedName name="Total_Amortization_fore" localSheetId="1">#REF!</definedName>
    <definedName name="Total_Amortization_fore">#REF!</definedName>
    <definedName name="Total_COS">#REF!</definedName>
    <definedName name="Total_COS_fore" localSheetId="1">#REF!</definedName>
    <definedName name="Total_COS_fore">#REF!</definedName>
    <definedName name="Total_COS_growth_fore" localSheetId="1">#REF!</definedName>
    <definedName name="Total_COS_growth_fore">#REF!</definedName>
    <definedName name="Total_COS_net_DnA_fore" localSheetId="1">#REF!</definedName>
    <definedName name="Total_COS_net_DnA_fore">#REF!</definedName>
    <definedName name="Total_debt">#REF!</definedName>
    <definedName name="Total_debt_DCF">#REF!</definedName>
    <definedName name="Total_debt_fore" localSheetId="1">#REF!</definedName>
    <definedName name="Total_debt_fore">#REF!</definedName>
    <definedName name="Total_debt_growth_fore" localSheetId="1">#REF!</definedName>
    <definedName name="Total_debt_growth_fore">#REF!</definedName>
    <definedName name="Total_Increase_in_EEs_fore" localSheetId="1">#REF!</definedName>
    <definedName name="Total_Increase_in_EEs_fore">#REF!</definedName>
    <definedName name="Total_other_assets">#REF!</definedName>
    <definedName name="Total_Value_to_Equity_Claims" localSheetId="4">#REF!</definedName>
    <definedName name="Total_Value_to_Equity_Claims" localSheetId="5">#REF!</definedName>
    <definedName name="Total_Value_to_Equity_Claims" localSheetId="1">#REF!</definedName>
    <definedName name="Total_Value_to_Equity_Claims">#REF!</definedName>
    <definedName name="TotalA">#REF!</definedName>
    <definedName name="totala_fo">#REF!</definedName>
    <definedName name="totala_ka">#REF!</definedName>
    <definedName name="totala_kat">#REF!</definedName>
    <definedName name="totala_li">#REF!</definedName>
    <definedName name="totala_my">#REF!</definedName>
    <definedName name="totala_of">#REF!</definedName>
    <definedName name="totala_rr">#REF!</definedName>
    <definedName name="totala_su">#REF!</definedName>
    <definedName name="totala_ta">#REF!</definedName>
    <definedName name="totala_w4k">#REF!</definedName>
    <definedName name="TotalL">#REF!</definedName>
    <definedName name="TotalReqs">#REF!</definedName>
    <definedName name="totalsf">#REF!</definedName>
    <definedName name="TotalSholdersEquity" localSheetId="1">#REF!</definedName>
    <definedName name="TotalSholdersEquity">#REF!</definedName>
    <definedName name="TotalTime">#REF!</definedName>
    <definedName name="TotAss" localSheetId="1">#REF!</definedName>
    <definedName name="TotAss">#REF!</definedName>
    <definedName name="totcap">#REF!</definedName>
    <definedName name="TotEBIT" localSheetId="1">#REF!</definedName>
    <definedName name="TotEBIT">#REF!</definedName>
    <definedName name="totinc00">#REF!</definedName>
    <definedName name="totinc01">#REF!</definedName>
    <definedName name="totinc98">#REF!</definedName>
    <definedName name="totinc99">#REF!</definedName>
    <definedName name="TotLiab">#REF!</definedName>
    <definedName name="TotRev">#REF!</definedName>
    <definedName name="TotShareHoldFund">#REF!</definedName>
    <definedName name="TotTaxExp">#REF!</definedName>
    <definedName name="tprofit">#REF!</definedName>
    <definedName name="Trade_Currency" localSheetId="4">#REF!</definedName>
    <definedName name="Trade_Currency" localSheetId="5">#REF!</definedName>
    <definedName name="Trade_Currency" localSheetId="1">#REF!</definedName>
    <definedName name="Trade_Currency">#REF!</definedName>
    <definedName name="tradecreditors">#REF!</definedName>
    <definedName name="TradeDebt" localSheetId="1">#REF!</definedName>
    <definedName name="TradeDebt">#REF!</definedName>
    <definedName name="TradeDebtNonCurr" localSheetId="1">#REF!</definedName>
    <definedName name="TradeDebtNonCurr">#REF!</definedName>
    <definedName name="trate">#REF!</definedName>
    <definedName name="tre" localSheetId="1">#REF!</definedName>
    <definedName name="tre">#REF!</definedName>
    <definedName name="TRH" localSheetId="1">#REF!</definedName>
    <definedName name="TRH">#REF!</definedName>
    <definedName name="TRNR_37a5541497be4708a682eae945d2a2c4_177_4" hidden="1">#REF!</definedName>
    <definedName name="TRNR_874a0de55e1541519f394f86b8a6112f_153_4" hidden="1">#REF!</definedName>
    <definedName name="TRNR_9d01f87b90854f0e9b9adf5863360fff_153_2" hidden="1">#REF!</definedName>
    <definedName name="TRNR_dedfd86920c64faaa4eaef76923f7464_153_4" hidden="1">#REF!</definedName>
    <definedName name="TROW" localSheetId="1">#REF!</definedName>
    <definedName name="TROW">#REF!</definedName>
    <definedName name="trtprice">#REF!</definedName>
    <definedName name="trtrmbprice">#REF!</definedName>
    <definedName name="ttr" localSheetId="1">#REF!</definedName>
    <definedName name="ttr">#REF!</definedName>
    <definedName name="Turnover">#REF!</definedName>
    <definedName name="twdnew" localSheetId="1">#REF!</definedName>
    <definedName name="twdnew">#REF!</definedName>
    <definedName name="twdold" localSheetId="1">#REF!</definedName>
    <definedName name="twdold">#REF!</definedName>
    <definedName name="TWK" localSheetId="1">#REF!</definedName>
    <definedName name="TWK">#REF!</definedName>
    <definedName name="TWR">#REF!</definedName>
    <definedName name="Type" localSheetId="14">#REF!</definedName>
    <definedName name="Type">#REF!</definedName>
    <definedName name="u">#REF!</definedName>
    <definedName name="UD_index">#REF!</definedName>
    <definedName name="UK">#REF!</definedName>
    <definedName name="UK_w">#REF!</definedName>
    <definedName name="UniqueRange_0" localSheetId="1">#REF!</definedName>
    <definedName name="UniqueRange_0">#REF!</definedName>
    <definedName name="UniqueRange_1" localSheetId="1">#REF!</definedName>
    <definedName name="UniqueRange_1">#REF!</definedName>
    <definedName name="UNITS">#REF!</definedName>
    <definedName name="UNM" localSheetId="1">#REF!</definedName>
    <definedName name="UNM">#REF!</definedName>
    <definedName name="Unrestricted_equity">#REF!</definedName>
    <definedName name="Untaxed_reserves">#REF!</definedName>
    <definedName name="UOB" localSheetId="1">#REF!</definedName>
    <definedName name="UOB">#REF!</definedName>
    <definedName name="Updated" localSheetId="4">#REF!</definedName>
    <definedName name="Updated" localSheetId="5">#REF!</definedName>
    <definedName name="Updated">#REF!</definedName>
    <definedName name="UpTrend">#REF!</definedName>
    <definedName name="US_Value_Tables">#REF!,#REF!</definedName>
    <definedName name="Usage" localSheetId="1">#REF!</definedName>
    <definedName name="Usage">#REF!</definedName>
    <definedName name="USD" localSheetId="4">#REF!</definedName>
    <definedName name="USD" localSheetId="5">#REF!</definedName>
    <definedName name="USD">#REF!</definedName>
    <definedName name="USdlr">#REF!</definedName>
    <definedName name="Use_payout_ratios">#REF!</definedName>
    <definedName name="USFX">#REF!</definedName>
    <definedName name="UTR">#REF!</definedName>
    <definedName name="v">#REF!</definedName>
    <definedName name="V_ALL_002570.SZ" localSheetId="1">#REF!</definedName>
    <definedName name="V_ALL_002570.SZ">#REF!</definedName>
    <definedName name="V_ALL_002891.SZ">#REF!</definedName>
    <definedName name="V_ALL_0220.HK">#REF!</definedName>
    <definedName name="V_ALL_0322.HK">#REF!</definedName>
    <definedName name="V_ALL_3799.HK" localSheetId="1">#REF!</definedName>
    <definedName name="V_ALL_3799.HK">#REF!</definedName>
    <definedName name="V_ALL_600054.SS" localSheetId="1">#REF!</definedName>
    <definedName name="V_ALL_600054.SS">#REF!</definedName>
    <definedName name="V_ALL_600887.SS" localSheetId="1">#REF!</definedName>
    <definedName name="V_ALL_600887.SS">#REF!</definedName>
    <definedName name="V_ALL_603288.SS">#REF!</definedName>
    <definedName name="V_ALL_605499.SS">#REF!</definedName>
    <definedName name="V_ALL_KEYWORDS_TYPE_Breakdown_EQTY_200008062" localSheetId="1">#REF!</definedName>
    <definedName name="V_ALL_KEYWORDS_TYPE_Breakdown_EQTY_200008062">#REF!</definedName>
    <definedName name="V_ALL_KEYWORDS_TYPE_Breakdown_EQTY_200012577" localSheetId="1">#REF!</definedName>
    <definedName name="V_ALL_KEYWORDS_TYPE_Breakdown_EQTY_200012577">#REF!</definedName>
    <definedName name="V_ALL_KEYWORDS_TYPE_Breakdown_EQTY_200015373" localSheetId="1">#REF!</definedName>
    <definedName name="V_ALL_KEYWORDS_TYPE_Breakdown_EQTY_200015373">#REF!</definedName>
    <definedName name="V_ALL_KEYWORDS_TYPE_ScalarContributed_EQTY_200008062" localSheetId="1">#REF!,#REF!</definedName>
    <definedName name="V_ALL_KEYWORDS_TYPE_ScalarContributed_EQTY_200008062">#REF!,#REF!</definedName>
    <definedName name="V_ALL_KEYWORDS_TYPE_ScalarContributed_EQTY_200011454">#REF!,#REF!</definedName>
    <definedName name="V_ALL_KEYWORDS_TYPE_ScalarContributed_EQTY_200012577" localSheetId="1">#REF!,#REF!</definedName>
    <definedName name="V_ALL_KEYWORDS_TYPE_ScalarContributed_EQTY_200012577">#REF!,#REF!</definedName>
    <definedName name="V_ALL_KEYWORDS_TYPE_ScalarContributed_EQTY_200014158">#REF!,#REF!</definedName>
    <definedName name="V_ALL_KEYWORDS_TYPE_ScalarContributed_EQTY_200015373" localSheetId="1">#REF!,#REF!</definedName>
    <definedName name="V_ALL_KEYWORDS_TYPE_ScalarContributed_EQTY_200015373">#REF!,#REF!</definedName>
    <definedName name="V_ALL_KEYWORDS_TYPE_ScalarContributed_EQTY_200015981">#REF!,#REF!</definedName>
    <definedName name="V_ALL_KEYWORDS_TYPE_ScalarContributed_ISSR_208010849">#REF!,#REF!</definedName>
    <definedName name="V_ALL_KEYWORDS_TYPE_ScalarReference_EQTY_200008062" localSheetId="1">#REF!</definedName>
    <definedName name="V_ALL_KEYWORDS_TYPE_ScalarReference_EQTY_200008062">#REF!</definedName>
    <definedName name="V_ALL_KEYWORDS_TYPE_ScalarReference_EQTY_200012577" localSheetId="1">#REF!</definedName>
    <definedName name="V_ALL_KEYWORDS_TYPE_ScalarReference_EQTY_200012577">#REF!</definedName>
    <definedName name="V_ALL_KEYWORDS_TYPE_ScalarReference_EQTY_200015373" localSheetId="1">#REF!</definedName>
    <definedName name="V_ALL_KEYWORDS_TYPE_ScalarReference_EQTY_200015373">#REF!</definedName>
    <definedName name="V_ALL_KEYWORDS_TYPE_ScalarReference_EQTY_200015981">#REF!</definedName>
    <definedName name="V_ALL_KEYWORDS_TYPE_ScalarReference_ISSR_208006264" localSheetId="1">#REF!</definedName>
    <definedName name="V_ALL_KEYWORDS_TYPE_ScalarReference_ISSR_208006264">#REF!</definedName>
    <definedName name="V_ALL_KEYWORDS_TYPE_ScalarReference_ISSR_208009569" localSheetId="1">#REF!</definedName>
    <definedName name="V_ALL_KEYWORDS_TYPE_ScalarReference_ISSR_208009569">#REF!</definedName>
    <definedName name="V_ALL_KEYWORDS_TYPE_ScalarReference_ISSR_208012915" localSheetId="1">#REF!</definedName>
    <definedName name="V_ALL_KEYWORDS_TYPE_ScalarReference_ISSR_208012915">#REF!</definedName>
    <definedName name="V_ALL_KEYWORDS_TYPE_Vector_EQTY_200008062" localSheetId="1">#REF!,#REF!,#REF!,#REF!,#REF!</definedName>
    <definedName name="V_ALL_KEYWORDS_TYPE_Vector_EQTY_200008062">#REF!,#REF!,#REF!,#REF!,#REF!</definedName>
    <definedName name="V_ALL_KEYWORDS_TYPE_Vector_EQTY_200011454">#REF!,#REF!,#REF!,#REF!,#REF!</definedName>
    <definedName name="V_ALL_KEYWORDS_TYPE_Vector_EQTY_200012577" localSheetId="1">#REF!,#REF!,#REF!,#REF!,#REF!</definedName>
    <definedName name="V_ALL_KEYWORDS_TYPE_Vector_EQTY_200012577">#REF!,#REF!,#REF!,#REF!,#REF!</definedName>
    <definedName name="V_ALL_KEYWORDS_TYPE_Vector_EQTY_200014158">#REF!,#REF!,#REF!,#REF!,#REF!</definedName>
    <definedName name="V_ALL_KEYWORDS_TYPE_Vector_EQTY_200015373" localSheetId="1">#REF!,#REF!,#REF!,#REF!,#REF!</definedName>
    <definedName name="V_ALL_KEYWORDS_TYPE_Vector_EQTY_200015373">#REF!,#REF!,#REF!,#REF!,#REF!</definedName>
    <definedName name="V_ALL_KEYWORDS_TYPE_Vector_EQTY_200015981">#REF!,#REF!,#REF!,#REF!,#REF!</definedName>
    <definedName name="V_ALL_KEYWORDS_TYPE_Vector_EQTY_200016726">#REF!,#REF!,#REF!,#REF!,#REF!</definedName>
    <definedName name="V_ALL_KEYWORDS_TYPE_Vector_EQTY_200016740" localSheetId="1">#REF!,#REF!,#REF!,#REF!,#REF!</definedName>
    <definedName name="V_ALL_KEYWORDS_TYPE_Vector_EQTY_200019345" localSheetId="1">#REF!,#REF!,#REF!,#REF!,#REF!</definedName>
    <definedName name="V_ALL_KEYWORDS_TYPE_Vector_EQTY_200019345">#REF!,#REF!,#REF!,#REF!,#REF!</definedName>
    <definedName name="V_ALL_KEYWORDS_TYPE_Vector_ISSR_208006264" localSheetId="1">#REF!,#REF!,#REF!,#REF!,#REF!,#REF!,#REF!,#REF!,#REF!,#REF!,#REF!,#REF!,#REF!,#REF!</definedName>
    <definedName name="V_ALL_KEYWORDS_TYPE_Vector_ISSR_208006264">#REF!,#REF!,#REF!,#REF!,#REF!,#REF!,#REF!,#REF!,#REF!,#REF!,#REF!,#REF!,#REF!,#REF!</definedName>
    <definedName name="V_ALL_KEYWORDS_TYPE_Vector_ISSR_208008749">#REF!,#REF!,#REF!,#REF!,#REF!,#REF!,#REF!,#REF!,#REF!,#REF!,#REF!,#REF!,#REF!,#REF!,#REF!</definedName>
    <definedName name="V_ALL_KEYWORDS_TYPE_Vector_ISSR_208009569" localSheetId="1">#REF!,#REF!,#REF!,#REF!,#REF!,#REF!,#REF!,#REF!,#REF!,#REF!,#REF!,#REF!,#REF!,#REF!</definedName>
    <definedName name="V_ALL_KEYWORDS_TYPE_Vector_ISSR_208009569">#REF!,#REF!,#REF!,#REF!,#REF!,#REF!,#REF!,#REF!,#REF!,#REF!,#REF!,#REF!,#REF!,#REF!</definedName>
    <definedName name="V_ALL_KEYWORDS_TYPE_Vector_ISSR_208010849">#REF!,#REF!,#REF!,#REF!,#REF!,#REF!,#REF!,#REF!,#REF!,#REF!,#REF!,#REF!,#REF!,#REF!,#REF!,#REF!,#REF!,#REF!,#REF!</definedName>
    <definedName name="V_ALL_KEYWORDS_TYPE_Vector_ISSR_208012915" localSheetId="1">#REF!,#REF!,#REF!,#REF!,#REF!,#REF!,#REF!,#REF!,#REF!,#REF!,#REF!,#REF!,#REF!,#REF!</definedName>
    <definedName name="V_ALL_KEYWORDS_TYPE_Vector_ISSR_208012915">#REF!,#REF!,#REF!,#REF!,#REF!,#REF!,#REF!,#REF!,#REF!,#REF!,#REF!,#REF!,#REF!,#REF!</definedName>
    <definedName name="V_ALL_KEYWORDS_TYPE_Vector_ISSR_208017703" localSheetId="1">#REF!,#REF!,#REF!,#REF!,#REF!,#REF!,#REF!,#REF!,#REF!,#REF!,#REF!,#REF!</definedName>
    <definedName name="V_ALL_KEYWORDS_TYPE_Vector_ISSR_208017703">#REF!,#REF!,#REF!,#REF!,#REF!,#REF!,#REF!,#REF!,#REF!,#REF!,#REF!,#REF!</definedName>
    <definedName name="V_ALL_PERIODS_002570.SZ" localSheetId="1">#REF!</definedName>
    <definedName name="V_ALL_PERIODS_002570.SZ">#REF!</definedName>
    <definedName name="V_ALL_PERIODS_600054.SS" localSheetId="1">#REF!</definedName>
    <definedName name="V_ALL_PERIODS_600054.SS">#REF!</definedName>
    <definedName name="V_ALL_PERIODS_600887.SS" localSheetId="1">#REF!</definedName>
    <definedName name="V_ALL_PERIODS_600887.SS">#REF!</definedName>
    <definedName name="V_ALL_SECTION_KEYWORDS_EQTY_200008062_1314" localSheetId="1">#REF!</definedName>
    <definedName name="V_ALL_SECTION_KEYWORDS_EQTY_200008062_1314">#REF!</definedName>
    <definedName name="V_ALL_SECTION_KEYWORDS_EQTY_200008062_131E" localSheetId="1">#REF!</definedName>
    <definedName name="V_ALL_SECTION_KEYWORDS_EQTY_200008062_131E">#REF!</definedName>
    <definedName name="V_ALL_SECTION_KEYWORDS_EQTY_200008062_131O" localSheetId="1">#REF!</definedName>
    <definedName name="V_ALL_SECTION_KEYWORDS_EQTY_200008062_131O">#REF!</definedName>
    <definedName name="V_ALL_SECTION_KEYWORDS_EQTY_200008062_13A">#REF!</definedName>
    <definedName name="V_ALL_SECTION_KEYWORDS_EQTY_200008062_13K">#REF!</definedName>
    <definedName name="V_ALL_SECTION_KEYWORDS_EQTY_200008062_13U">#REF!</definedName>
    <definedName name="V_ALL_SECTION_KEYWORDS_EQTY_200008062_13V">#REF!</definedName>
    <definedName name="V_ALL_SECTION_KEYWORDS_EQTY_200008062_Reference_Data">#REF!</definedName>
    <definedName name="V_ALL_SECTION_KEYWORDS_EQTY_200012577_1314">#REF!</definedName>
    <definedName name="V_ALL_SECTION_KEYWORDS_EQTY_200012577_131E">#REF!</definedName>
    <definedName name="V_ALL_SECTION_KEYWORDS_EQTY_200012577_131O">#REF!</definedName>
    <definedName name="V_ALL_SECTION_KEYWORDS_EQTY_200012577_13A">#REF!</definedName>
    <definedName name="V_ALL_SECTION_KEYWORDS_EQTY_200012577_13K">#REF!</definedName>
    <definedName name="V_ALL_SECTION_KEYWORDS_EQTY_200012577_13U">#REF!</definedName>
    <definedName name="V_ALL_SECTION_KEYWORDS_EQTY_200012577_13V">#REF!</definedName>
    <definedName name="V_ALL_SECTION_KEYWORDS_EQTY_200012577_Reference_Data">#REF!</definedName>
    <definedName name="V_ALL_SECTION_KEYWORDS_EQTY_200015373_1314">#REF!</definedName>
    <definedName name="V_ALL_SECTION_KEYWORDS_EQTY_200015373_131E">#REF!</definedName>
    <definedName name="V_ALL_SECTION_KEYWORDS_EQTY_200015373_131O">#REF!</definedName>
    <definedName name="V_ALL_SECTION_KEYWORDS_EQTY_200015373_13A">#REF!</definedName>
    <definedName name="V_ALL_SECTION_KEYWORDS_EQTY_200015373_13K">#REF!</definedName>
    <definedName name="V_ALL_SECTION_KEYWORDS_EQTY_200015373_13U">#REF!</definedName>
    <definedName name="V_ALL_SECTION_KEYWORDS_EQTY_200015373_13V">#REF!</definedName>
    <definedName name="V_ALL_SECTION_KEYWORDS_EQTY_200015373_Reference_Data">#REF!</definedName>
    <definedName name="V_ALL_SECTION_KEYWORDS_EQTY_200015981_1314">#REF!</definedName>
    <definedName name="V_ALL_SECTION_KEYWORDS_EQTY_200015981_131E">#REF!</definedName>
    <definedName name="V_ALL_SECTION_KEYWORDS_EQTY_200015981_131O">#REF!</definedName>
    <definedName name="V_ALL_SECTION_KEYWORDS_EQTY_200015981_13A">#REF!</definedName>
    <definedName name="V_ALL_SECTION_KEYWORDS_EQTY_200015981_13K">#REF!</definedName>
    <definedName name="V_ALL_SECTION_KEYWORDS_EQTY_200015981_13U">#REF!</definedName>
    <definedName name="V_ALL_SECTION_KEYWORDS_EQTY_200015981_13V">#REF!</definedName>
    <definedName name="V_ALL_SECTION_KEYWORDS_EQTY_200015981_Reference_Data">#REF!</definedName>
    <definedName name="V_ALL_SECTION_KEYWORDS_ISSR_208006264_1314" localSheetId="1">#REF!</definedName>
    <definedName name="V_ALL_SECTION_KEYWORDS_ISSR_208006264_1314">#REF!</definedName>
    <definedName name="V_ALL_SECTION_KEYWORDS_ISSR_208006264_13168" localSheetId="1">#REF!</definedName>
    <definedName name="V_ALL_SECTION_KEYWORDS_ISSR_208006264_13168">#REF!</definedName>
    <definedName name="V_ALL_SECTION_KEYWORDS_ISSR_208006264_1316S" localSheetId="1">#REF!</definedName>
    <definedName name="V_ALL_SECTION_KEYWORDS_ISSR_208006264_1316S">#REF!</definedName>
    <definedName name="V_ALL_SECTION_KEYWORDS_ISSR_208006264_1316T">#REF!</definedName>
    <definedName name="V_ALL_SECTION_KEYWORDS_ISSR_208006264_1316U">#REF!</definedName>
    <definedName name="V_ALL_SECTION_KEYWORDS_ISSR_208006264_13171">#REF!</definedName>
    <definedName name="V_ALL_SECTION_KEYWORDS_ISSR_208006264_13172">#REF!</definedName>
    <definedName name="V_ALL_SECTION_KEYWORDS_ISSR_208006264_1319">#REF!</definedName>
    <definedName name="V_ALL_SECTION_KEYWORDS_ISSR_208006264_131E">#REF!</definedName>
    <definedName name="V_ALL_SECTION_KEYWORDS_ISSR_208006264_131J">#REF!</definedName>
    <definedName name="V_ALL_SECTION_KEYWORDS_ISSR_208006264_131O">#REF!</definedName>
    <definedName name="V_ALL_SECTION_KEYWORDS_ISSR_208006264_13U">#REF!</definedName>
    <definedName name="V_ALL_SECTION_KEYWORDS_ISSR_208006264_13V">#REF!</definedName>
    <definedName name="V_ALL_SECTION_KEYWORDS_ISSR_208006264_Reference_Data">#REF!</definedName>
    <definedName name="V_ALL_SECTION_KEYWORDS_ISSR_208009569_1314">#REF!</definedName>
    <definedName name="V_ALL_SECTION_KEYWORDS_ISSR_208009569_13168">#REF!</definedName>
    <definedName name="V_ALL_SECTION_KEYWORDS_ISSR_208009569_1316U">#REF!</definedName>
    <definedName name="V_ALL_SECTION_KEYWORDS_ISSR_208009569_1319">#REF!</definedName>
    <definedName name="V_ALL_SECTION_KEYWORDS_ISSR_208009569_131E">#REF!</definedName>
    <definedName name="V_ALL_SECTION_KEYWORDS_ISSR_208009569_131J">#REF!</definedName>
    <definedName name="V_ALL_SECTION_KEYWORDS_ISSR_208009569_131O">#REF!</definedName>
    <definedName name="V_ALL_SECTION_KEYWORDS_ISSR_208009569_13U">#REF!</definedName>
    <definedName name="V_ALL_SECTION_KEYWORDS_ISSR_208009569_13V">#REF!</definedName>
    <definedName name="V_ALL_SECTION_KEYWORDS_ISSR_208009569_Reference_Data">#REF!</definedName>
    <definedName name="V_ALL_SECTION_KEYWORDS_ISSR_208010849_13V">#REF!,#REF!</definedName>
    <definedName name="V_ALL_SECTION_KEYWORDS_ISSR_208012915_1314">#REF!</definedName>
    <definedName name="V_ALL_SECTION_KEYWORDS_ISSR_208012915_13168">#REF!</definedName>
    <definedName name="V_ALL_SECTION_KEYWORDS_ISSR_208012915_1316S">#REF!</definedName>
    <definedName name="V_ALL_SECTION_KEYWORDS_ISSR_208012915_1316T">#REF!</definedName>
    <definedName name="V_ALL_SECTION_KEYWORDS_ISSR_208012915_1316U">#REF!</definedName>
    <definedName name="V_ALL_SECTION_KEYWORDS_ISSR_208012915_13171">#REF!</definedName>
    <definedName name="V_ALL_SECTION_KEYWORDS_ISSR_208012915_13172">#REF!</definedName>
    <definedName name="V_ALL_SECTION_KEYWORDS_ISSR_208012915_1319">#REF!</definedName>
    <definedName name="V_ALL_SECTION_KEYWORDS_ISSR_208012915_131E">#REF!</definedName>
    <definedName name="V_ALL_SECTION_KEYWORDS_ISSR_208012915_131J">#REF!</definedName>
    <definedName name="V_ALL_SECTION_KEYWORDS_ISSR_208012915_131O">#REF!</definedName>
    <definedName name="V_ALL_SECTION_KEYWORDS_ISSR_208012915_13U">#REF!</definedName>
    <definedName name="V_ALL_SECTION_KEYWORDS_ISSR_208012915_13V">#REF!</definedName>
    <definedName name="V_ALL_SECTION_KEYWORDS_ISSR_208012915_Reference_Data">#REF!</definedName>
    <definedName name="V_ALL_SECTION_KEYWORDS_ISSR_208017703_136E" localSheetId="1">#REF!,#REF!</definedName>
    <definedName name="V_ALL_SECTION_KEYWORDS_ISSR_208017703_136E">#REF!,#REF!</definedName>
    <definedName name="V_ALL_SECTION_KEYWORDS_ISSR_208017703_136J" localSheetId="1">#REF!,#REF!</definedName>
    <definedName name="V_ALL_SECTION_KEYWORDS_ISSR_208017703_136J">#REF!,#REF!</definedName>
    <definedName name="V_ALL_SECTIONS_EQTY_200008062" localSheetId="1">#REF!,#REF!,#REF!,#REF!,#REF!,#REF!,#REF!,#REF!</definedName>
    <definedName name="V_ALL_SECTIONS_EQTY_200008062">#REF!,#REF!,#REF!,#REF!,#REF!,#REF!,#REF!,#REF!</definedName>
    <definedName name="V_ALL_SECTIONS_EQTY_200011454">#REF!,#REF!,#REF!,#REF!,#REF!,#REF!,#REF!,#REF!</definedName>
    <definedName name="V_ALL_SECTIONS_EQTY_200012577" localSheetId="1">#REF!,#REF!,#REF!,#REF!,#REF!,#REF!,#REF!,#REF!</definedName>
    <definedName name="V_ALL_SECTIONS_EQTY_200012577">#REF!,#REF!,#REF!,#REF!,#REF!,#REF!,#REF!,#REF!</definedName>
    <definedName name="V_ALL_SECTIONS_EQTY_200015373" localSheetId="1">#REF!,#REF!,#REF!,#REF!,#REF!,#REF!,#REF!,#REF!</definedName>
    <definedName name="V_ALL_SECTIONS_EQTY_200015373">#REF!,#REF!,#REF!,#REF!,#REF!,#REF!,#REF!,#REF!</definedName>
    <definedName name="V_ALL_SECTIONS_EQTY_200015981">#REF!,#REF!,#REF!,#REF!,#REF!,#REF!,#REF!,#REF!</definedName>
    <definedName name="V_ALL_SECTIONS_EQTY_200019345" localSheetId="1">#REF!,#REF!,#REF!,#REF!,#REF!,#REF!,#REF!,#REF!</definedName>
    <definedName name="V_ALL_SECTIONS_EQTY_200019345">#REF!,#REF!,#REF!,#REF!,#REF!,#REF!,#REF!,#REF!</definedName>
    <definedName name="V_ALL_SECTIONS_ISSR_208006264" localSheetId="1">#REF!,#REF!,#REF!,#REF!,#REF!,#REF!,#REF!,#REF!,#REF!,#REF!,#REF!,#REF!,#REF!,#REF!</definedName>
    <definedName name="V_ALL_SECTIONS_ISSR_208006264">#REF!,#REF!,#REF!,#REF!,#REF!,#REF!,#REF!,#REF!,#REF!,#REF!,#REF!,#REF!,#REF!,#REF!</definedName>
    <definedName name="V_ALL_SECTIONS_ISSR_208008749">#REF!,#REF!,#REF!,#REF!,#REF!,#REF!,#REF!,#REF!,#REF!,#REF!,#REF!,#REF!,#REF!,#REF!,#REF!</definedName>
    <definedName name="V_ALL_SECTIONS_ISSR_208009569" localSheetId="1">#REF!,#REF!,#REF!,#REF!,#REF!,#REF!,#REF!,#REF!,#REF!,#REF!</definedName>
    <definedName name="V_ALL_SECTIONS_ISSR_208009569">#REF!,#REF!,#REF!,#REF!,#REF!,#REF!,#REF!,#REF!,#REF!,#REF!</definedName>
    <definedName name="V_ALL_SECTIONS_ISSR_208012915" localSheetId="1">#REF!,#REF!,#REF!,#REF!,#REF!,#REF!,#REF!,#REF!,#REF!,#REF!,#REF!,#REF!,#REF!,#REF!</definedName>
    <definedName name="V_ALL_SECTIONS_ISSR_208012915">#REF!,#REF!,#REF!,#REF!,#REF!,#REF!,#REF!,#REF!,#REF!,#REF!,#REF!,#REF!,#REF!,#REF!</definedName>
    <definedName name="V_CURRENCY_EQTY_200008062_PRI" localSheetId="1">#REF!</definedName>
    <definedName name="V_CURRENCY_EQTY_200008062_PRI">#REF!</definedName>
    <definedName name="V_CURRENCY_EQTY_200008062_PUB" localSheetId="1">#REF!</definedName>
    <definedName name="V_CURRENCY_EQTY_200008062_PUB">#REF!</definedName>
    <definedName name="V_CURRENCY_EQTY_200008062_REP" localSheetId="1">#REF!</definedName>
    <definedName name="V_CURRENCY_EQTY_200008062_REP">#REF!</definedName>
    <definedName name="V_CURRENCY_EQTY_200012577_PRI">#REF!</definedName>
    <definedName name="V_CURRENCY_EQTY_200012577_PUB">#REF!</definedName>
    <definedName name="V_CURRENCY_EQTY_200012577_REP">#REF!</definedName>
    <definedName name="V_CURRENCY_EQTY_200015373_PRI">#REF!</definedName>
    <definedName name="V_CURRENCY_EQTY_200015373_PUB">#REF!</definedName>
    <definedName name="V_CURRENCY_EQTY_200015373_REP">#REF!</definedName>
    <definedName name="V_CURRENCY_EQTY_200015981_PRI">#REF!</definedName>
    <definedName name="V_CURRENCY_EQTY_200015981_PUB">#REF!</definedName>
    <definedName name="V_CURRENCY_EQTY_200015981_REP">#REF!</definedName>
    <definedName name="V_CURRENCY_ISSR_208006264_REP" localSheetId="1">#REF!</definedName>
    <definedName name="V_CURRENCY_ISSR_208006264_REP">#REF!</definedName>
    <definedName name="V_CURRENCY_ISSR_208009569_REP" localSheetId="1">#REF!</definedName>
    <definedName name="V_CURRENCY_ISSR_208009569_REP">#REF!</definedName>
    <definedName name="V_CURRENCY_ISSR_208012915_REP" localSheetId="1">#REF!</definedName>
    <definedName name="V_CURRENCY_ISSR_208012915_REP">#REF!</definedName>
    <definedName name="V_ENTITY_DATA_EQTY_200008062" localSheetId="1">#REF!</definedName>
    <definedName name="V_ENTITY_DATA_EQTY_200008062">#REF!</definedName>
    <definedName name="V_ENTITY_DATA_EQTY_200012577" localSheetId="1">#REF!</definedName>
    <definedName name="V_ENTITY_DATA_EQTY_200012577">#REF!</definedName>
    <definedName name="V_ENTITY_DATA_EQTY_200015373" localSheetId="1">#REF!</definedName>
    <definedName name="V_ENTITY_DATA_EQTY_200015373">#REF!</definedName>
    <definedName name="V_ENTITY_DATA_EQTY_200015981">#REF!</definedName>
    <definedName name="V_ENTITY_DATA_ISSR_208006264" localSheetId="1">#REF!</definedName>
    <definedName name="V_ENTITY_DATA_ISSR_208006264">#REF!</definedName>
    <definedName name="V_ENTITY_DATA_ISSR_208009569" localSheetId="1">#REF!</definedName>
    <definedName name="V_ENTITY_DATA_ISSR_208009569">#REF!</definedName>
    <definedName name="V_ENTITY_DATA_ISSR_208012915" localSheetId="1">#REF!</definedName>
    <definedName name="V_ENTITY_DATA_ISSR_208012915">#REF!</definedName>
    <definedName name="V_KEYWORD_EQTY_200008062_ACT1" localSheetId="1">#REF!</definedName>
    <definedName name="V_KEYWORD_EQTY_200008062_ACT1">#REF!</definedName>
    <definedName name="V_KEYWORD_EQTY_200008062_ACT2" localSheetId="1">#REF!</definedName>
    <definedName name="V_KEYWORD_EQTY_200008062_ACT2">#REF!</definedName>
    <definedName name="V_KEYWORD_EQTY_200008062_AEJ_CONVICTION" localSheetId="1">#REF!</definedName>
    <definedName name="V_KEYWORD_EQTY_200008062_AEJ_CONVICTION">#REF!</definedName>
    <definedName name="V_KEYWORD_EQTY_200008062_AEJ_LIST">#REF!</definedName>
    <definedName name="V_KEYWORD_EQTY_200008062_BETA_ANALYST">#REF!</definedName>
    <definedName name="V_KEYWORD_EQTY_200008062_BVPS">#REF!</definedName>
    <definedName name="V_KEYWORD_EQTY_200008062_BVPS_PUB">#REF!</definedName>
    <definedName name="V_KEYWORD_EQTY_200008062_CATALYST1_DATE">#REF!</definedName>
    <definedName name="V_KEYWORD_EQTY_200008062_CATALYST1_EVENT">#REF!</definedName>
    <definedName name="V_KEYWORD_EQTY_200008062_CATALYST2_DATE">#REF!</definedName>
    <definedName name="V_KEYWORD_EQTY_200008062_CATALYST2_EVENT">#REF!</definedName>
    <definedName name="V_KEYWORD_EQTY_200008062_CATALYST3_DATE">#REF!</definedName>
    <definedName name="V_KEYWORD_EQTY_200008062_CATALYST3_EVENT">#REF!</definedName>
    <definedName name="V_KEYWORD_EQTY_200008062_CATALYST4_DATE">#REF!</definedName>
    <definedName name="V_KEYWORD_EQTY_200008062_CATALYST4_EVENT">#REF!</definedName>
    <definedName name="V_KEYWORD_EQTY_200008062_CATALYST5_DATE">#REF!</definedName>
    <definedName name="V_KEYWORD_EQTY_200008062_CATALYST5_EVENT">#REF!</definedName>
    <definedName name="V_KEYWORD_EQTY_200008062_CF_NI_PRE_PREF">#REF!</definedName>
    <definedName name="V_KEYWORD_EQTY_200008062_COMMON_DIV_PAID">#REF!</definedName>
    <definedName name="V_KEYWORD_EQTY_200008062_CURRENCY_ISO">#REF!</definedName>
    <definedName name="V_KEYWORD_EQTY_200008062_DILUTE_SHARES">#REF!</definedName>
    <definedName name="V_KEYWORD_EQTY_200008062_DPS">#REF!</definedName>
    <definedName name="V_KEYWORD_EQTY_200008062_DPS_PUB">#REF!</definedName>
    <definedName name="V_KEYWORD_EQTY_200008062_EBIT_PUB">#REF!</definedName>
    <definedName name="V_KEYWORD_EQTY_200008062_EBITDA_PUB">#REF!</definedName>
    <definedName name="V_KEYWORD_EQTY_200008062_EPS">#REF!</definedName>
    <definedName name="V_KEYWORD_EQTY_200008062_EPS_CONS_PUB">#REF!</definedName>
    <definedName name="V_KEYWORD_EQTY_200008062_EPS_FUL_DIL">#REF!</definedName>
    <definedName name="V_KEYWORD_EQTY_200008062_EPS_POST_BASIC">#REF!</definedName>
    <definedName name="V_KEYWORD_EQTY_200008062_EPS_PUB">#REF!</definedName>
    <definedName name="V_KEYWORD_EQTY_200008062_EQ_PUB">#REF!</definedName>
    <definedName name="V_KEYWORD_EQTY_200008062_EV_ADJ_PUB">#REF!</definedName>
    <definedName name="V_KEYWORD_EQTY_200008062_FOREIGN_HOLDNG">#REF!</definedName>
    <definedName name="V_KEYWORD_EQTY_200008062_FREE_FLOAT">#REF!</definedName>
    <definedName name="V_KEYWORD_EQTY_200008062_FULLY_DIL_EPS">#REF!</definedName>
    <definedName name="V_KEYWORD_EQTY_200008062_INC_MINORITY">#REF!</definedName>
    <definedName name="V_KEYWORD_EQTY_200008062_Interim_Type">#REF!</definedName>
    <definedName name="V_KEYWORD_EQTY_200008062_LEGAL_RATING">#REF!</definedName>
    <definedName name="V_KEYWORD_EQTY_200008062_MARGIN_TAX_RATE">#REF!</definedName>
    <definedName name="V_KEYWORD_EQTY_200008062_MKT_EQ_RISK_PREM">#REF!</definedName>
    <definedName name="V_KEYWORD_EQTY_200008062_NET_DEBT_PUB">#REF!</definedName>
    <definedName name="V_KEYWORD_EQTY_200008062_NET_EARNING">#REF!</definedName>
    <definedName name="V_KEYWORD_EQTY_200008062_NET_INC">#REF!</definedName>
    <definedName name="V_KEYWORD_EQTY_200008062_NI_CONS">#REF!</definedName>
    <definedName name="V_KEYWORD_EQTY_200008062_NI_PRE_PREF">#REF!</definedName>
    <definedName name="V_KEYWORD_EQTY_200008062_NI_PUB">#REF!</definedName>
    <definedName name="V_KEYWORD_EQTY_200008062_NON_OP_ADD">#REF!</definedName>
    <definedName name="V_KEYWORD_EQTY_200008062_NUM_SH">#REF!</definedName>
    <definedName name="V_KEYWORD_EQTY_200008062_PREF_DIV">#REF!</definedName>
    <definedName name="V_KEYWORD_EQTY_200008062_PRI_TARG_METH">#REF!</definedName>
    <definedName name="V_KEYWORD_EQTY_200008062_PRI_TARG_MULT">#REF!</definedName>
    <definedName name="V_KEYWORD_EQTY_200008062_PRICE_CURRENCY_ISO">#REF!</definedName>
    <definedName name="V_KEYWORD_EQTY_200008062_PROV_INC_TAX">#REF!</definedName>
    <definedName name="V_KEYWORD_EQTY_200008062_PTP_PUB">#REF!</definedName>
    <definedName name="V_KEYWORD_EQTY_200008062_PUB_CURRENCY_ISO">#REF!</definedName>
    <definedName name="V_KEYWORD_EQTY_200008062_REVS_PUB">#REF!</definedName>
    <definedName name="V_KEYWORD_EQTY_200008062_RISK_FR_RATE">#REF!</definedName>
    <definedName name="V_KEYWORD_EQTY_200008062_Security_Name">#REF!</definedName>
    <definedName name="V_KEYWORD_EQTY_200008062_SH">#REF!</definedName>
    <definedName name="V_KEYWORD_EQTY_200008062_TARGET_PRICE">#REF!</definedName>
    <definedName name="V_KEYWORD_EQTY_200008062_TAX_EXC">#REF!</definedName>
    <definedName name="V_KEYWORD_EQTY_200008062_Ticker">#REF!</definedName>
    <definedName name="V_KEYWORD_EQTY_200008062_TP_PERIOD">#REF!</definedName>
    <definedName name="V_KEYWORD_EQTY_200012577_ACT1">#REF!</definedName>
    <definedName name="V_KEYWORD_EQTY_200012577_AEJ_CONVICTION">#REF!</definedName>
    <definedName name="V_KEYWORD_EQTY_200012577_AEJ_LIST">#REF!</definedName>
    <definedName name="V_KEYWORD_EQTY_200012577_BETA_ANALYST">#REF!</definedName>
    <definedName name="V_KEYWORD_EQTY_200012577_BVPS">#REF!</definedName>
    <definedName name="V_KEYWORD_EQTY_200012577_BVPS_PUB">#REF!</definedName>
    <definedName name="V_KEYWORD_EQTY_200012577_CATALYST1_DATE">#REF!</definedName>
    <definedName name="V_KEYWORD_EQTY_200012577_CATALYST1_EVENT">#REF!</definedName>
    <definedName name="V_KEYWORD_EQTY_200012577_CATALYST2_DATE">#REF!</definedName>
    <definedName name="V_KEYWORD_EQTY_200012577_CATALYST2_EVENT">#REF!</definedName>
    <definedName name="V_KEYWORD_EQTY_200012577_CATALYST3_DATE">#REF!</definedName>
    <definedName name="V_KEYWORD_EQTY_200012577_CATALYST3_EVENT">#REF!</definedName>
    <definedName name="V_KEYWORD_EQTY_200012577_CATALYST4_DATE">#REF!</definedName>
    <definedName name="V_KEYWORD_EQTY_200012577_CATALYST4_EVENT">#REF!</definedName>
    <definedName name="V_KEYWORD_EQTY_200012577_CATALYST5_DATE">#REF!</definedName>
    <definedName name="V_KEYWORD_EQTY_200012577_CATALYST5_EVENT">#REF!</definedName>
    <definedName name="V_KEYWORD_EQTY_200012577_CF_NI_PRE_PREF">#REF!</definedName>
    <definedName name="V_KEYWORD_EQTY_200012577_COMMON_DIV_PAID">#REF!</definedName>
    <definedName name="V_KEYWORD_EQTY_200012577_CURRENCY_ISO">#REF!</definedName>
    <definedName name="V_KEYWORD_EQTY_200012577_DILUTE_SHARES">#REF!</definedName>
    <definedName name="V_KEYWORD_EQTY_200012577_DPS">#REF!</definedName>
    <definedName name="V_KEYWORD_EQTY_200012577_DPS_PUB">#REF!</definedName>
    <definedName name="V_KEYWORD_EQTY_200012577_EBIT_PUB">#REF!</definedName>
    <definedName name="V_KEYWORD_EQTY_200012577_EBITDA_PUB">#REF!</definedName>
    <definedName name="V_KEYWORD_EQTY_200012577_EPS">#REF!</definedName>
    <definedName name="V_KEYWORD_EQTY_200012577_EPS_CONS_PUB">#REF!</definedName>
    <definedName name="V_KEYWORD_EQTY_200012577_EPS_FUL_DIL">#REF!</definedName>
    <definedName name="V_KEYWORD_EQTY_200012577_EPS_POST_BASIC">#REF!</definedName>
    <definedName name="V_KEYWORD_EQTY_200012577_EPS_PUB">#REF!</definedName>
    <definedName name="V_KEYWORD_EQTY_200012577_EQ_PUB">#REF!</definedName>
    <definedName name="V_KEYWORD_EQTY_200012577_EV_ADJ_PUB">#REF!</definedName>
    <definedName name="V_KEYWORD_EQTY_200012577_FOREIGN_HOLDNG">#REF!</definedName>
    <definedName name="V_KEYWORD_EQTY_200012577_FREE_FLOAT">#REF!</definedName>
    <definedName name="V_KEYWORD_EQTY_200012577_FULLY_DIL_EPS">#REF!</definedName>
    <definedName name="V_KEYWORD_EQTY_200012577_INC_MINORITY">#REF!</definedName>
    <definedName name="V_KEYWORD_EQTY_200012577_Interim_Type">#REF!</definedName>
    <definedName name="V_KEYWORD_EQTY_200012577_LEGAL_RATING">#REF!</definedName>
    <definedName name="V_KEYWORD_EQTY_200012577_MARGIN_TAX_RATE">#REF!</definedName>
    <definedName name="V_KEYWORD_EQTY_200012577_MKT_EQ_RISK_PREM">#REF!</definedName>
    <definedName name="V_KEYWORD_EQTY_200012577_NET_DEBT_PUB">#REF!</definedName>
    <definedName name="V_KEYWORD_EQTY_200012577_NET_EARNING">#REF!</definedName>
    <definedName name="V_KEYWORD_EQTY_200012577_NET_INC">#REF!</definedName>
    <definedName name="V_KEYWORD_EQTY_200012577_NI_CONS">#REF!</definedName>
    <definedName name="V_KEYWORD_EQTY_200012577_NI_PRE_PREF">#REF!</definedName>
    <definedName name="V_KEYWORD_EQTY_200012577_NI_PUB">#REF!</definedName>
    <definedName name="V_KEYWORD_EQTY_200012577_NON_OP_ADD">#REF!</definedName>
    <definedName name="V_KEYWORD_EQTY_200012577_NUM_SH">#REF!</definedName>
    <definedName name="V_KEYWORD_EQTY_200012577_PREF_DIV">#REF!</definedName>
    <definedName name="V_KEYWORD_EQTY_200012577_PRI_TARG_METH">#REF!</definedName>
    <definedName name="V_KEYWORD_EQTY_200012577_PRI_TARG_MULT">#REF!</definedName>
    <definedName name="V_KEYWORD_EQTY_200012577_PRICE_CURRENCY_ISO">#REF!</definedName>
    <definedName name="V_KEYWORD_EQTY_200012577_PROV_INC_TAX">#REF!</definedName>
    <definedName name="V_KEYWORD_EQTY_200012577_PTP_PUB">#REF!</definedName>
    <definedName name="V_KEYWORD_EQTY_200012577_PUB_CURRENCY_ISO">#REF!</definedName>
    <definedName name="V_KEYWORD_EQTY_200012577_REVS_PUB">#REF!</definedName>
    <definedName name="V_KEYWORD_EQTY_200012577_RISK_FR_RATE">#REF!</definedName>
    <definedName name="V_KEYWORD_EQTY_200012577_Security_Name">#REF!</definedName>
    <definedName name="V_KEYWORD_EQTY_200012577_SH">#REF!</definedName>
    <definedName name="V_KEYWORD_EQTY_200012577_TARGET_PRICE">#REF!</definedName>
    <definedName name="V_KEYWORD_EQTY_200012577_TAX_EXC">#REF!</definedName>
    <definedName name="V_KEYWORD_EQTY_200012577_Ticker">#REF!</definedName>
    <definedName name="V_KEYWORD_EQTY_200012577_TP_PERIOD">#REF!</definedName>
    <definedName name="V_KEYWORD_EQTY_200015373_ACT1">#REF!</definedName>
    <definedName name="V_KEYWORD_EQTY_200015373_AEJ_CONVICTION">#REF!</definedName>
    <definedName name="V_KEYWORD_EQTY_200015373_AEJ_LIST">#REF!</definedName>
    <definedName name="V_KEYWORD_EQTY_200015373_BETA_ANALYST">#REF!</definedName>
    <definedName name="V_KEYWORD_EQTY_200015373_BVPS">#REF!</definedName>
    <definedName name="V_KEYWORD_EQTY_200015373_BVPS_PUB">#REF!</definedName>
    <definedName name="V_KEYWORD_EQTY_200015373_CATALYST1_DATE">#REF!</definedName>
    <definedName name="V_KEYWORD_EQTY_200015373_CATALYST1_EVENT">#REF!</definedName>
    <definedName name="V_KEYWORD_EQTY_200015373_CATALYST2_DATE">#REF!</definedName>
    <definedName name="V_KEYWORD_EQTY_200015373_CATALYST2_EVENT">#REF!</definedName>
    <definedName name="V_KEYWORD_EQTY_200015373_CATALYST3_DATE">#REF!</definedName>
    <definedName name="V_KEYWORD_EQTY_200015373_CATALYST3_EVENT">#REF!</definedName>
    <definedName name="V_KEYWORD_EQTY_200015373_CATALYST4_DATE">#REF!</definedName>
    <definedName name="V_KEYWORD_EQTY_200015373_CATALYST4_EVENT">#REF!</definedName>
    <definedName name="V_KEYWORD_EQTY_200015373_CATALYST5_DATE">#REF!</definedName>
    <definedName name="V_KEYWORD_EQTY_200015373_CATALYST5_EVENT">#REF!</definedName>
    <definedName name="V_KEYWORD_EQTY_200015373_CF_NI_PRE_PREF">#REF!</definedName>
    <definedName name="V_KEYWORD_EQTY_200015373_COMMON_DIV_PAID">#REF!</definedName>
    <definedName name="V_KEYWORD_EQTY_200015373_CURRENCY_ISO">#REF!</definedName>
    <definedName name="V_KEYWORD_EQTY_200015373_DILUTE_SHARES">#REF!</definedName>
    <definedName name="V_KEYWORD_EQTY_200015373_DPS">#REF!</definedName>
    <definedName name="V_KEYWORD_EQTY_200015373_DPS_PUB">#REF!</definedName>
    <definedName name="V_KEYWORD_EQTY_200015373_EBIT_PUB">#REF!</definedName>
    <definedName name="V_KEYWORD_EQTY_200015373_EBITDA_PUB">#REF!</definedName>
    <definedName name="V_KEYWORD_EQTY_200015373_EPS">#REF!</definedName>
    <definedName name="V_KEYWORD_EQTY_200015373_EPS_CONS_PUB">#REF!</definedName>
    <definedName name="V_KEYWORD_EQTY_200015373_EPS_FUL_DIL">#REF!</definedName>
    <definedName name="V_KEYWORD_EQTY_200015373_EPS_POST_BASIC">#REF!</definedName>
    <definedName name="V_KEYWORD_EQTY_200015373_EPS_PUB">#REF!</definedName>
    <definedName name="V_KEYWORD_EQTY_200015373_EQ_PUB">#REF!</definedName>
    <definedName name="V_KEYWORD_EQTY_200015373_EV_ADJ_PUB">#REF!</definedName>
    <definedName name="V_KEYWORD_EQTY_200015373_FOREIGN_HOLDNG">#REF!</definedName>
    <definedName name="V_KEYWORD_EQTY_200015373_FREE_FLOAT">#REF!</definedName>
    <definedName name="V_KEYWORD_EQTY_200015373_FULLY_DIL_EPS">#REF!</definedName>
    <definedName name="V_KEYWORD_EQTY_200015373_INC_MINORITY">#REF!</definedName>
    <definedName name="V_KEYWORD_EQTY_200015373_Interim_Type">#REF!</definedName>
    <definedName name="V_KEYWORD_EQTY_200015373_LEGAL_RATING">#REF!</definedName>
    <definedName name="V_KEYWORD_EQTY_200015373_MARGIN_TAX_RATE">#REF!</definedName>
    <definedName name="V_KEYWORD_EQTY_200015373_MKT_EQ_RISK_PREM">#REF!</definedName>
    <definedName name="V_KEYWORD_EQTY_200015373_NET_DEBT_PUB">#REF!</definedName>
    <definedName name="V_KEYWORD_EQTY_200015373_NET_EARNING">#REF!</definedName>
    <definedName name="V_KEYWORD_EQTY_200015373_NET_INC">#REF!</definedName>
    <definedName name="V_KEYWORD_EQTY_200015373_NI_CONS">#REF!</definedName>
    <definedName name="V_KEYWORD_EQTY_200015373_NI_PRE_PREF">#REF!</definedName>
    <definedName name="V_KEYWORD_EQTY_200015373_NI_PUB">#REF!</definedName>
    <definedName name="V_KEYWORD_EQTY_200015373_NON_OP_ADD">#REF!</definedName>
    <definedName name="V_KEYWORD_EQTY_200015373_NUM_SH">#REF!</definedName>
    <definedName name="V_KEYWORD_EQTY_200015373_PREF_DIV">#REF!</definedName>
    <definedName name="V_KEYWORD_EQTY_200015373_PRI_TARG_METH">#REF!</definedName>
    <definedName name="V_KEYWORD_EQTY_200015373_PRI_TARG_MULT">#REF!</definedName>
    <definedName name="V_KEYWORD_EQTY_200015373_PRICE_CURRENCY_ISO">#REF!</definedName>
    <definedName name="V_KEYWORD_EQTY_200015373_PROV_INC_TAX">#REF!</definedName>
    <definedName name="V_KEYWORD_EQTY_200015373_PTP_PUB">#REF!</definedName>
    <definedName name="V_KEYWORD_EQTY_200015373_PUB_CURRENCY_ISO">#REF!</definedName>
    <definedName name="V_KEYWORD_EQTY_200015373_REVS_PUB">#REF!</definedName>
    <definedName name="V_KEYWORD_EQTY_200015373_RISK_FR_RATE">#REF!</definedName>
    <definedName name="V_KEYWORD_EQTY_200015373_Security_Name">#REF!</definedName>
    <definedName name="V_KEYWORD_EQTY_200015373_SH">#REF!</definedName>
    <definedName name="V_KEYWORD_EQTY_200015373_TARGET_PRICE">#REF!</definedName>
    <definedName name="V_KEYWORD_EQTY_200015373_TAX_EXC">#REF!</definedName>
    <definedName name="V_KEYWORD_EQTY_200015373_Ticker">#REF!</definedName>
    <definedName name="V_KEYWORD_EQTY_200015373_TP_PERIOD">#REF!</definedName>
    <definedName name="V_KEYWORD_EQTY_200015981_AEJ_CONVICTION">#REF!</definedName>
    <definedName name="V_KEYWORD_EQTY_200015981_AEJ_LIST">#REF!</definedName>
    <definedName name="V_KEYWORD_EQTY_200015981_BETA_ANALYST">#REF!</definedName>
    <definedName name="V_KEYWORD_EQTY_200015981_BVPS">#REF!</definedName>
    <definedName name="V_KEYWORD_EQTY_200015981_BVPS_PUB">#REF!</definedName>
    <definedName name="V_KEYWORD_EQTY_200015981_CATALYST1_DATE">#REF!</definedName>
    <definedName name="V_KEYWORD_EQTY_200015981_CATALYST1_EVENT">#REF!</definedName>
    <definedName name="V_KEYWORD_EQTY_200015981_CATALYST2_DATE">#REF!</definedName>
    <definedName name="V_KEYWORD_EQTY_200015981_CATALYST2_EVENT">#REF!</definedName>
    <definedName name="V_KEYWORD_EQTY_200015981_CATALYST3_DATE">#REF!</definedName>
    <definedName name="V_KEYWORD_EQTY_200015981_CATALYST3_EVENT">#REF!</definedName>
    <definedName name="V_KEYWORD_EQTY_200015981_CATALYST4_DATE">#REF!</definedName>
    <definedName name="V_KEYWORD_EQTY_200015981_CATALYST4_EVENT">#REF!</definedName>
    <definedName name="V_KEYWORD_EQTY_200015981_CATALYST5_DATE">#REF!</definedName>
    <definedName name="V_KEYWORD_EQTY_200015981_CATALYST5_EVENT">#REF!</definedName>
    <definedName name="V_KEYWORD_EQTY_200015981_CF_NI_PRE_PREF">#REF!</definedName>
    <definedName name="V_KEYWORD_EQTY_200015981_COMMON_DIV_PAID">#REF!</definedName>
    <definedName name="V_KEYWORD_EQTY_200015981_CURRENCY_ISO">#REF!</definedName>
    <definedName name="V_KEYWORD_EQTY_200015981_DILUTE_SHARES">#REF!</definedName>
    <definedName name="V_KEYWORD_EQTY_200015981_DPS">#REF!</definedName>
    <definedName name="V_KEYWORD_EQTY_200015981_DPS_PUB">#REF!</definedName>
    <definedName name="V_KEYWORD_EQTY_200015981_EBIT_PUB">#REF!</definedName>
    <definedName name="V_KEYWORD_EQTY_200015981_EBITDA_PUB">#REF!</definedName>
    <definedName name="V_KEYWORD_EQTY_200015981_EPS">#REF!</definedName>
    <definedName name="V_KEYWORD_EQTY_200015981_EPS_CONS_PUB">#REF!</definedName>
    <definedName name="V_KEYWORD_EQTY_200015981_EPS_FUL_DIL">#REF!</definedName>
    <definedName name="V_KEYWORD_EQTY_200015981_EPS_POST_BASIC">#REF!</definedName>
    <definedName name="V_KEYWORD_EQTY_200015981_EPS_PUB">#REF!</definedName>
    <definedName name="V_KEYWORD_EQTY_200015981_EQ_PUB">#REF!</definedName>
    <definedName name="V_KEYWORD_EQTY_200015981_EV_ADJ_PUB">#REF!</definedName>
    <definedName name="V_KEYWORD_EQTY_200015981_FOREIGN_HOLDNG">#REF!</definedName>
    <definedName name="V_KEYWORD_EQTY_200015981_FREE_FLOAT">#REF!</definedName>
    <definedName name="V_KEYWORD_EQTY_200015981_FULLY_DIL_EPS">#REF!</definedName>
    <definedName name="V_KEYWORD_EQTY_200015981_INC_MINORITY">#REF!</definedName>
    <definedName name="V_KEYWORD_EQTY_200015981_Interim_Type">#REF!</definedName>
    <definedName name="V_KEYWORD_EQTY_200015981_LEGAL_RATING">#REF!</definedName>
    <definedName name="V_KEYWORD_EQTY_200015981_MARGIN_TAX_RATE">#REF!</definedName>
    <definedName name="V_KEYWORD_EQTY_200015981_MKT_EQ_RISK_PREM">#REF!</definedName>
    <definedName name="V_KEYWORD_EQTY_200015981_NET_DEBT_PUB">#REF!</definedName>
    <definedName name="V_KEYWORD_EQTY_200015981_NET_EARNING">#REF!</definedName>
    <definedName name="V_KEYWORD_EQTY_200015981_NET_INC">#REF!</definedName>
    <definedName name="V_KEYWORD_EQTY_200015981_NI_CONS">#REF!</definedName>
    <definedName name="V_KEYWORD_EQTY_200015981_NI_PRE_PREF">#REF!</definedName>
    <definedName name="V_KEYWORD_EQTY_200015981_NI_PUB">#REF!</definedName>
    <definedName name="V_KEYWORD_EQTY_200015981_NON_OP_ADD">#REF!</definedName>
    <definedName name="V_KEYWORD_EQTY_200015981_NUM_SH">#REF!</definedName>
    <definedName name="V_KEYWORD_EQTY_200015981_PREF_DIV">#REF!</definedName>
    <definedName name="V_KEYWORD_EQTY_200015981_PRI_TARG_METH">#REF!</definedName>
    <definedName name="V_KEYWORD_EQTY_200015981_PRI_TARG_MULT">#REF!</definedName>
    <definedName name="V_KEYWORD_EQTY_200015981_PRICE_CURRENCY_ISO">#REF!</definedName>
    <definedName name="V_KEYWORD_EQTY_200015981_PROV_INC_TAX">#REF!</definedName>
    <definedName name="V_KEYWORD_EQTY_200015981_PTP_PUB">#REF!</definedName>
    <definedName name="V_KEYWORD_EQTY_200015981_PUB_CURRENCY_ISO">#REF!</definedName>
    <definedName name="V_KEYWORD_EQTY_200015981_REVS_PUB">#REF!</definedName>
    <definedName name="V_KEYWORD_EQTY_200015981_RISK_FR_RATE">#REF!</definedName>
    <definedName name="V_KEYWORD_EQTY_200015981_Security_Name">#REF!</definedName>
    <definedName name="V_KEYWORD_EQTY_200015981_SH">#REF!</definedName>
    <definedName name="V_KEYWORD_EQTY_200015981_TARGET_PRICE">#REF!</definedName>
    <definedName name="V_KEYWORD_EQTY_200015981_TAX_EXC">#REF!</definedName>
    <definedName name="V_KEYWORD_EQTY_200015981_Ticker">#REF!</definedName>
    <definedName name="V_KEYWORD_EQTY_200015981_TP_PERIOD">#REF!</definedName>
    <definedName name="V_KEYWORD_ISSR_208006264_ACC_AMORT" localSheetId="1">#REF!</definedName>
    <definedName name="V_KEYWORD_ISSR_208006264_ACC_AMORT">#REF!</definedName>
    <definedName name="V_KEYWORD_ISSR_208006264_ACC_DDA" localSheetId="1">#REF!</definedName>
    <definedName name="V_KEYWORD_ISSR_208006264_ACC_DDA">#REF!</definedName>
    <definedName name="V_KEYWORD_ISSR_208006264_ACC_END_DATE" localSheetId="1">#REF!</definedName>
    <definedName name="V_KEYWORD_ISSR_208006264_ACC_END_DATE">#REF!</definedName>
    <definedName name="V_KEYWORD_ISSR_208006264_ACC_PAY_GQ">#REF!</definedName>
    <definedName name="V_KEYWORD_ISSR_208006264_ACQ">#REF!</definedName>
    <definedName name="V_KEYWORD_ISSR_208006264_ADJ_UNF_PENS_GOOD">#REF!</definedName>
    <definedName name="V_KEYWORD_ISSR_208006264_ASIA_SALES_GROWTH">#REF!</definedName>
    <definedName name="V_KEYWORD_ISSR_208006264_ASSOC_JV_ADDBK">#REF!</definedName>
    <definedName name="V_KEYWORD_ISSR_208006264_ASSOCIATE">#REF!</definedName>
    <definedName name="V_KEYWORD_ISSR_208006264_ASSOCIATE_OP">#REF!</definedName>
    <definedName name="V_KEYWORD_ISSR_208006264_BAL_MINO_INT">#REF!</definedName>
    <definedName name="V_KEYWORD_ISSR_208006264_CAP_LEASES">#REF!</definedName>
    <definedName name="V_KEYWORD_ISSR_208006264_CAPEX">#REF!</definedName>
    <definedName name="V_KEYWORD_ISSR_208006264_CAPEX_EXPANSION">#REF!</definedName>
    <definedName name="V_KEYWORD_ISSR_208006264_CAPEX_MAINTENANCE">#REF!</definedName>
    <definedName name="V_KEYWORD_ISSR_208006264_CASH_EQ">#REF!</definedName>
    <definedName name="V_KEYWORD_ISSR_208006264_CASH_INT_EXP">#REF!</definedName>
    <definedName name="V_KEYWORD_ISSR_208006264_CASH_TAX_EXP">#REF!</definedName>
    <definedName name="V_KEYWORD_ISSR_208006264_CF_FIN">#REF!</definedName>
    <definedName name="V_KEYWORD_ISSR_208006264_CF_INC_MINORITY">#REF!</definedName>
    <definedName name="V_KEYWORD_ISSR_208006264_CF_INV">#REF!</definedName>
    <definedName name="V_KEYWORD_ISSR_208006264_CF_OPS">#REF!</definedName>
    <definedName name="V_KEYWORD_ISSR_208006264_CHG_LT_DEBT">#REF!</definedName>
    <definedName name="V_KEYWORD_ISSR_208006264_CO_BOR_MARGIN">#REF!</definedName>
    <definedName name="V_KEYWORD_ISSR_208006264_COGS_BEEF">#REF!</definedName>
    <definedName name="V_KEYWORD_ISSR_208006264_COGS_COFFEE">#REF!</definedName>
    <definedName name="V_KEYWORD_ISSR_208006264_COGS_CORN">#REF!</definedName>
    <definedName name="V_KEYWORD_ISSR_208006264_COGS_DAIRY">#REF!</definedName>
    <definedName name="V_KEYWORD_ISSR_208006264_COGS_ENERGY">#REF!</definedName>
    <definedName name="V_KEYWORD_ISSR_208006264_COGS_NUTS">#REF!</definedName>
    <definedName name="V_KEYWORD_ISSR_208006264_COGS_OH_WAGES">#REF!</definedName>
    <definedName name="V_KEYWORD_ISSR_208006264_COGS_OTH_AGRI">#REF!</definedName>
    <definedName name="V_KEYWORD_ISSR_208006264_COGS_OTH_EDIBLE_OIL">#REF!</definedName>
    <definedName name="V_KEYWORD_ISSR_208006264_COGS_PACK_ALUM">#REF!</definedName>
    <definedName name="V_KEYWORD_ISSR_208006264_COGS_PACK_GLASS">#REF!</definedName>
    <definedName name="V_KEYWORD_ISSR_208006264_COGS_PACK_OIL_DERIV">#REF!</definedName>
    <definedName name="V_KEYWORD_ISSR_208006264_COGS_PACK_PAPER">#REF!</definedName>
    <definedName name="V_KEYWORD_ISSR_208006264_COGS_PACK_TIN">#REF!</definedName>
    <definedName name="V_KEYWORD_ISSR_208006264_COGS_PALM_OIL">#REF!</definedName>
    <definedName name="V_KEYWORD_ISSR_208006264_COGS_RAW_OIL_DERIV">#REF!</definedName>
    <definedName name="V_KEYWORD_ISSR_208006264_COGS_RAW_OTH">#REF!</definedName>
    <definedName name="V_KEYWORD_ISSR_208006264_COGS_RAW_PULP">#REF!</definedName>
    <definedName name="V_KEYWORD_ISSR_208006264_COGS_SOYBEAN">#REF!</definedName>
    <definedName name="V_KEYWORD_ISSR_208006264_COGS_TOBACCO">#REF!</definedName>
    <definedName name="V_KEYWORD_ISSR_208006264_COGS_WHEAT">#REF!</definedName>
    <definedName name="V_KEYWORD_ISSR_208006264_CONTRIB_MARGIN_RATIO">#REF!</definedName>
    <definedName name="V_KEYWORD_ISSR_208006264_COST_GD_SD">#REF!</definedName>
    <definedName name="V_KEYWORD_ISSR_208006264_CUR_ASS">#REF!</definedName>
    <definedName name="V_KEYWORD_ISSR_208006264_CURRENCY_ISO">#REF!</definedName>
    <definedName name="V_KEYWORD_ISSR_208006264_DEBTORS">#REF!</definedName>
    <definedName name="V_KEYWORD_ISSR_208006264_DEF_INC_TAX">#REF!</definedName>
    <definedName name="V_KEYWORD_ISSR_208006264_DEPR_AMORT">#REF!</definedName>
    <definedName name="V_KEYWORD_ISSR_208006264_DEPREC">#REF!</definedName>
    <definedName name="V_KEYWORD_ISSR_208006264_DIV_PAID">#REF!</definedName>
    <definedName name="V_KEYWORD_ISSR_208006264_DIVDS_ASSOC_JV">#REF!</definedName>
    <definedName name="V_KEYWORD_ISSR_208006264_DIVDS_PD_MINORITIES">#REF!</definedName>
    <definedName name="V_KEYWORD_ISSR_208006264_DIVEST">#REF!</definedName>
    <definedName name="V_KEYWORD_ISSR_208006264_EBIT">#REF!</definedName>
    <definedName name="V_KEYWORD_ISSR_208006264_EBITDA_CALC">#REF!</definedName>
    <definedName name="V_KEYWORD_ISSR_208006264_EEMEA_SALES_GROWTH">#REF!</definedName>
    <definedName name="V_KEYWORD_ISSR_208006264_EMPLOYEES">#REF!</definedName>
    <definedName name="V_KEYWORD_ISSR_208006264_EQ">#REF!</definedName>
    <definedName name="V_KEYWORD_ISSR_208006264_EUROPE_SALES_GROWTH">#REF!</definedName>
    <definedName name="V_KEYWORD_ISSR_208006264_EXP_ALUMINIUM">#REF!</definedName>
    <definedName name="V_KEYWORD_ISSR_208006264_EXP_COCOA">#REF!</definedName>
    <definedName name="V_KEYWORD_ISSR_208006264_EXP_COFFEE">#REF!</definedName>
    <definedName name="V_KEYWORD_ISSR_208006264_EXP_CORN">#REF!</definedName>
    <definedName name="V_KEYWORD_ISSR_208006264_EXP_DAIRY">#REF!</definedName>
    <definedName name="V_KEYWORD_ISSR_208006264_EXP_GLASS">#REF!</definedName>
    <definedName name="V_KEYWORD_ISSR_208006264_EXP_OIL_DERIV_NGLS_PLASTICS">#REF!</definedName>
    <definedName name="V_KEYWORD_ISSR_208006264_EXP_OIL_PETRO_FUEL">#REF!</definedName>
    <definedName name="V_KEYWORD_ISSR_208006264_EXP_OTH_COMMODITY">#REF!</definedName>
    <definedName name="V_KEYWORD_ISSR_208006264_EXP_OTH_COST">#REF!</definedName>
    <definedName name="V_KEYWORD_ISSR_208006264_EXP_PAPER_PULP">#REF!</definedName>
    <definedName name="V_KEYWORD_ISSR_208006264_EXP_SOYBEAN">#REF!</definedName>
    <definedName name="V_KEYWORD_ISSR_208006264_EXP_STEEL">#REF!</definedName>
    <definedName name="V_KEYWORD_ISSR_208006264_EXP_SUGAR">#REF!</definedName>
    <definedName name="V_KEYWORD_ISSR_208006264_EXP_TIN">#REF!</definedName>
    <definedName name="V_KEYWORD_ISSR_208006264_EXP_WATER">#REF!</definedName>
    <definedName name="V_KEYWORD_ISSR_208006264_EXP_WHEAT">#REF!</definedName>
    <definedName name="V_KEYWORD_ISSR_208006264_FIX_ASS_INV">#REF!</definedName>
    <definedName name="V_KEYWORD_ISSR_208006264_GCI_INFL">#REF!</definedName>
    <definedName name="V_KEYWORD_ISSR_208006264_GOODWILL_AMORT">#REF!</definedName>
    <definedName name="V_KEYWORD_ISSR_208006264_GR_FIX_ASS">#REF!</definedName>
    <definedName name="V_KEYWORD_ISSR_208006264_GR_INTANG">#REF!</definedName>
    <definedName name="V_KEYWORD_ISSR_208006264_INT_EXP_IND">#REF!</definedName>
    <definedName name="V_KEYWORD_ISSR_208006264_INT_INC_IND">#REF!</definedName>
    <definedName name="V_KEYWORD_ISSR_208006264_INV_SECUR">#REF!</definedName>
    <definedName name="V_KEYWORD_ISSR_208006264_Issuer_Name">#REF!</definedName>
    <definedName name="V_KEYWORD_ISSR_208006264_LATAM_SALES_GROWTH">#REF!</definedName>
    <definedName name="V_KEYWORD_ISSR_208006264_LEASE_DEEM_DEPR">#REF!</definedName>
    <definedName name="V_KEYWORD_ISSR_208006264_LEASE_DEEM_INT">#REF!</definedName>
    <definedName name="V_KEYWORD_ISSR_208006264_LEASE_PAY">#REF!</definedName>
    <definedName name="V_KEYWORD_ISSR_208006264_LT_DEBT">#REF!</definedName>
    <definedName name="V_KEYWORD_ISSR_208006264_MEDIA_ADVERTISING">#REF!</definedName>
    <definedName name="V_KEYWORD_ISSR_208006264_MINORITIES">#REF!</definedName>
    <definedName name="V_KEYWORD_ISSR_208006264_MV_ASSOCIATES">#REF!</definedName>
    <definedName name="V_KEYWORD_ISSR_208006264_NAMERICA_SALES_GROWTH">#REF!</definedName>
    <definedName name="V_KEYWORD_ISSR_208006264_NET_DEBT">#REF!</definedName>
    <definedName name="V_KEYWORD_ISSR_208006264_NET_DEBT_ADJ">#REF!</definedName>
    <definedName name="V_KEYWORD_ISSR_208006264_NET_FIX_ASS">#REF!</definedName>
    <definedName name="V_KEYWORD_ISSR_208006264_NET_INT_CH">#REF!</definedName>
    <definedName name="V_KEYWORD_ISSR_208006264_NET_INT_EXP">#REF!</definedName>
    <definedName name="V_KEYWORD_ISSR_208006264_NET_INTANG">#REF!</definedName>
    <definedName name="V_KEYWORD_ISSR_208006264_NONPPE_CAPEX">#REF!</definedName>
    <definedName name="V_KEYWORD_ISSR_208006264_OP_COST">#REF!</definedName>
    <definedName name="V_KEYWORD_ISSR_208006264_ORD_SH_FUND">#REF!</definedName>
    <definedName name="V_KEYWORD_ISSR_208006264_ORG_REV_GRTH">#REF!</definedName>
    <definedName name="V_KEYWORD_ISSR_208006264_OTH_COST_INC">#REF!</definedName>
    <definedName name="V_KEYWORD_ISSR_208006264_OTH_CUR_ASS">#REF!</definedName>
    <definedName name="V_KEYWORD_ISSR_208006264_OTH_CUR_LIABS">#REF!</definedName>
    <definedName name="V_KEYWORD_ISSR_208006264_OTH_DACF_ADJ">#REF!</definedName>
    <definedName name="V_KEYWORD_ISSR_208006264_OTH_FIN_CF">#REF!</definedName>
    <definedName name="V_KEYWORD_ISSR_208006264_OTH_GCI_ADJ">#REF!</definedName>
    <definedName name="V_KEYWORD_ISSR_208006264_OTH_INV_CF">#REF!</definedName>
    <definedName name="V_KEYWORD_ISSR_208006264_OTH_LT_ASS">#REF!</definedName>
    <definedName name="V_KEYWORD_ISSR_208006264_OTH_LT_CRED_GQ">#REF!</definedName>
    <definedName name="V_KEYWORD_ISSR_208006264_OTH_NONCASH_ADJ">#REF!</definedName>
    <definedName name="V_KEYWORD_ISSR_208006264_OTH_OP_CF">#REF!</definedName>
    <definedName name="V_KEYWORD_ISSR_208006264_OTH_OP_INC_EXP">#REF!</definedName>
    <definedName name="V_KEYWORD_ISSR_208006264_PERIOD_MILESTONE">#REF!</definedName>
    <definedName name="V_KEYWORD_ISSR_208006264_PERSONNEL">#REF!</definedName>
    <definedName name="V_KEYWORD_ISSR_208006264_PL_SALE_ASSETS">#REF!</definedName>
    <definedName name="V_KEYWORD_ISSR_208006264_PREF_SH">#REF!</definedName>
    <definedName name="V_KEYWORD_ISSR_208006264_PROFIT_ON_DISP">#REF!</definedName>
    <definedName name="V_KEYWORD_ISSR_208006264_PT_PROF">#REF!</definedName>
    <definedName name="V_KEYWORD_ISSR_208006264_RD_EXP">#REF!</definedName>
    <definedName name="V_KEYWORD_ISSR_208006264_SALES">#REF!</definedName>
    <definedName name="V_KEYWORD_ISSR_208006264_SALES_BRAZIL">#REF!</definedName>
    <definedName name="V_KEYWORD_ISSR_208006264_SALES_CEE">#REF!</definedName>
    <definedName name="V_KEYWORD_ISSR_208006264_SALES_CHINA">#REF!</definedName>
    <definedName name="V_KEYWORD_ISSR_208006264_SALES_COCOA">#REF!</definedName>
    <definedName name="V_KEYWORD_ISSR_208006264_SALES_COFFEE">#REF!</definedName>
    <definedName name="V_KEYWORD_ISSR_208006264_SALES_CONS">#REF!</definedName>
    <definedName name="V_KEYWORD_ISSR_208006264_SALES_DAIRY">#REF!</definedName>
    <definedName name="V_KEYWORD_ISSR_208006264_SALES_EU_EX_UK">#REF!</definedName>
    <definedName name="V_KEYWORD_ISSR_208006264_SALES_FINAN">#REF!</definedName>
    <definedName name="V_KEYWORD_ISSR_208006264_SALES_FX_BRL">#REF!</definedName>
    <definedName name="V_KEYWORD_ISSR_208006264_SALES_FX_CNY">#REF!</definedName>
    <definedName name="V_KEYWORD_ISSR_208006264_SALES_FX_EUR">#REF!</definedName>
    <definedName name="V_KEYWORD_ISSR_208006264_SALES_FX_GPB">#REF!</definedName>
    <definedName name="V_KEYWORD_ISSR_208006264_SALES_FX_INR">#REF!</definedName>
    <definedName name="V_KEYWORD_ISSR_208006264_SALES_FX_KRW">#REF!</definedName>
    <definedName name="V_KEYWORD_ISSR_208006264_SALES_FX_OTH">#REF!</definedName>
    <definedName name="V_KEYWORD_ISSR_208006264_SALES_FX_RUB">#REF!</definedName>
    <definedName name="V_KEYWORD_ISSR_208006264_SALES_FX_TWD">#REF!</definedName>
    <definedName name="V_KEYWORD_ISSR_208006264_SALES_FX_USD">#REF!</definedName>
    <definedName name="V_KEYWORD_ISSR_208006264_SALES_FX_YEN">#REF!</definedName>
    <definedName name="V_KEYWORD_ISSR_208006264_SALES_GOV">#REF!</definedName>
    <definedName name="V_KEYWORD_ISSR_208006264_SALES_IND">#REF!</definedName>
    <definedName name="V_KEYWORD_ISSR_208006264_SALES_INDIA">#REF!</definedName>
    <definedName name="V_KEYWORD_ISSR_208006264_SALES_JAPAN">#REF!</definedName>
    <definedName name="V_KEYWORD_ISSR_208006264_SALES_ME">#REF!</definedName>
    <definedName name="V_KEYWORD_ISSR_208006264_SALES_OTH_AEJ">#REF!</definedName>
    <definedName name="V_KEYWORD_ISSR_208006264_SALES_OTH_AM">#REF!</definedName>
    <definedName name="V_KEYWORD_ISSR_208006264_SALES_OTH_EMEA">#REF!</definedName>
    <definedName name="V_KEYWORD_ISSR_208006264_SALES_OTH_SALES_SOURCES">#REF!</definedName>
    <definedName name="V_KEYWORD_ISSR_208006264_SALES_OTHER">#REF!</definedName>
    <definedName name="V_KEYWORD_ISSR_208006264_SALES_RUSSIA">#REF!</definedName>
    <definedName name="V_KEYWORD_ISSR_208006264_SALES_SK">#REF!</definedName>
    <definedName name="V_KEYWORD_ISSR_208006264_SALES_TAIWAN">#REF!</definedName>
    <definedName name="V_KEYWORD_ISSR_208006264_SALES_TOT_AFRICA">#REF!</definedName>
    <definedName name="V_KEYWORD_ISSR_208006264_SALES_TOT_AM">#REF!</definedName>
    <definedName name="V_KEYWORD_ISSR_208006264_SALES_TOT_ASIA">#REF!</definedName>
    <definedName name="V_KEYWORD_ISSR_208006264_SALES_TOT_EMEA">#REF!</definedName>
    <definedName name="V_KEYWORD_ISSR_208006264_SALES_UK">#REF!</definedName>
    <definedName name="V_KEYWORD_ISSR_208006264_SALES_US">#REF!</definedName>
    <definedName name="V_KEYWORD_ISSR_208006264_SALES_WATER">#REF!</definedName>
    <definedName name="V_KEYWORD_ISSR_208006264_SEL_GL_AD">#REF!</definedName>
    <definedName name="V_KEYWORD_ISSR_208006264_SH_REPUR">#REF!</definedName>
    <definedName name="V_KEYWORD_ISSR_208006264_SHORT_T_DEBT">#REF!</definedName>
    <definedName name="V_KEYWORD_ISSR_208006264_SHORT_TERM_LIABS">#REF!</definedName>
    <definedName name="V_KEYWORD_ISSR_208006264_STOCKS">#REF!</definedName>
    <definedName name="V_KEYWORD_ISSR_208006264_TOT_ASSET">#REF!</definedName>
    <definedName name="V_KEYWORD_ISSR_208006264_TOT_CF">#REF!</definedName>
    <definedName name="V_KEYWORD_ISSR_208006264_TOT_LIAB">#REF!</definedName>
    <definedName name="V_KEYWORD_ISSR_208006264_TOT_LIAB_EQ">#REF!</definedName>
    <definedName name="V_KEYWORD_ISSR_208006264_TOT_LT_LIAB">#REF!</definedName>
    <definedName name="V_KEYWORD_ISSR_208006264_TOT_OPS_EXP">#REF!</definedName>
    <definedName name="V_KEYWORD_ISSR_208006264_TOT_OPS_EXP_DDA">#REF!</definedName>
    <definedName name="V_KEYWORD_ISSR_208006264_UNF_PENS">#REF!</definedName>
    <definedName name="V_KEYWORD_ISSR_208006264_UNF_PENS_LIAB_OTH">#REF!</definedName>
    <definedName name="V_KEYWORD_ISSR_208006264_UNF_PENS_OFF">#REF!</definedName>
    <definedName name="V_KEYWORD_ISSR_208006264_WORK_CAP">#REF!</definedName>
    <definedName name="V_KEYWORD_ISSR_208009569_ACC_AMORT">#REF!</definedName>
    <definedName name="V_KEYWORD_ISSR_208009569_ACC_DDA">#REF!</definedName>
    <definedName name="V_KEYWORD_ISSR_208009569_ACC_END_DATE">#REF!</definedName>
    <definedName name="V_KEYWORD_ISSR_208009569_ACC_PAY_GQ">#REF!</definedName>
    <definedName name="V_KEYWORD_ISSR_208009569_ACQ">#REF!</definedName>
    <definedName name="V_KEYWORD_ISSR_208009569_ADJ_UNF_PENS_GOOD">#REF!</definedName>
    <definedName name="V_KEYWORD_ISSR_208009569_ASSOC_JV_ADDBK">#REF!</definedName>
    <definedName name="V_KEYWORD_ISSR_208009569_ASSOCIATE">#REF!</definedName>
    <definedName name="V_KEYWORD_ISSR_208009569_ASSOCIATE_OP">#REF!</definedName>
    <definedName name="V_KEYWORD_ISSR_208009569_BAL_MINO_INT">#REF!</definedName>
    <definedName name="V_KEYWORD_ISSR_208009569_CAP_LEASES">#REF!</definedName>
    <definedName name="V_KEYWORD_ISSR_208009569_CAPEX">#REF!</definedName>
    <definedName name="V_KEYWORD_ISSR_208009569_CAPEX_EXPANSION">#REF!</definedName>
    <definedName name="V_KEYWORD_ISSR_208009569_CAPEX_MAINTENANCE">#REF!</definedName>
    <definedName name="V_KEYWORD_ISSR_208009569_CASH_EQ">#REF!</definedName>
    <definedName name="V_KEYWORD_ISSR_208009569_CASH_INT_EXP">#REF!</definedName>
    <definedName name="V_KEYWORD_ISSR_208009569_CASH_TAX_EXP">#REF!</definedName>
    <definedName name="V_KEYWORD_ISSR_208009569_CF_FIN">#REF!</definedName>
    <definedName name="V_KEYWORD_ISSR_208009569_CF_INC_MINORITY">#REF!</definedName>
    <definedName name="V_KEYWORD_ISSR_208009569_CF_INV">#REF!</definedName>
    <definedName name="V_KEYWORD_ISSR_208009569_CF_OPS">#REF!</definedName>
    <definedName name="V_KEYWORD_ISSR_208009569_CHG_LT_DEBT">#REF!</definedName>
    <definedName name="V_KEYWORD_ISSR_208009569_CO_BOR_MARGIN">#REF!</definedName>
    <definedName name="V_KEYWORD_ISSR_208009569_CONTRIB_MARGIN_RATIO">#REF!</definedName>
    <definedName name="V_KEYWORD_ISSR_208009569_COST_GD_SD">#REF!</definedName>
    <definedName name="V_KEYWORD_ISSR_208009569_CUR_ASS">#REF!</definedName>
    <definedName name="V_KEYWORD_ISSR_208009569_CURRENCY_ISO">#REF!</definedName>
    <definedName name="V_KEYWORD_ISSR_208009569_DEBTORS">#REF!</definedName>
    <definedName name="V_KEYWORD_ISSR_208009569_DEF_INC_TAX">#REF!</definedName>
    <definedName name="V_KEYWORD_ISSR_208009569_DEPR_AMORT">#REF!</definedName>
    <definedName name="V_KEYWORD_ISSR_208009569_DEPREC">#REF!</definedName>
    <definedName name="V_KEYWORD_ISSR_208009569_DIV_PAID">#REF!</definedName>
    <definedName name="V_KEYWORD_ISSR_208009569_DIVDS_ASSOC_JV">#REF!</definedName>
    <definedName name="V_KEYWORD_ISSR_208009569_DIVDS_PD_MINORITIES">#REF!</definedName>
    <definedName name="V_KEYWORD_ISSR_208009569_DIVEST">#REF!</definedName>
    <definedName name="V_KEYWORD_ISSR_208009569_EBIT">#REF!</definedName>
    <definedName name="V_KEYWORD_ISSR_208009569_EBITDA_CALC">#REF!</definedName>
    <definedName name="V_KEYWORD_ISSR_208009569_EMPLOYEES">#REF!</definedName>
    <definedName name="V_KEYWORD_ISSR_208009569_EQ">#REF!</definedName>
    <definedName name="V_KEYWORD_ISSR_208009569_FIX_ASS_INV">#REF!</definedName>
    <definedName name="V_KEYWORD_ISSR_208009569_GCI_INFL">#REF!</definedName>
    <definedName name="V_KEYWORD_ISSR_208009569_GOODWILL_AMORT">#REF!</definedName>
    <definedName name="V_KEYWORD_ISSR_208009569_GR_FIX_ASS">#REF!</definedName>
    <definedName name="V_KEYWORD_ISSR_208009569_GR_INTANG">#REF!</definedName>
    <definedName name="V_KEYWORD_ISSR_208009569_INT_EXP_IND">#REF!</definedName>
    <definedName name="V_KEYWORD_ISSR_208009569_INT_INC_IND">#REF!</definedName>
    <definedName name="V_KEYWORD_ISSR_208009569_INV_SECUR">#REF!</definedName>
    <definedName name="V_KEYWORD_ISSR_208009569_Issuer_Name">#REF!</definedName>
    <definedName name="V_KEYWORD_ISSR_208009569_LEASE_DEEM_DEPR">#REF!</definedName>
    <definedName name="V_KEYWORD_ISSR_208009569_LEASE_DEEM_INT">#REF!</definedName>
    <definedName name="V_KEYWORD_ISSR_208009569_LEASE_PAY">#REF!</definedName>
    <definedName name="V_KEYWORD_ISSR_208009569_LT_DEBT">#REF!</definedName>
    <definedName name="V_KEYWORD_ISSR_208009569_MINORITIES">#REF!</definedName>
    <definedName name="V_KEYWORD_ISSR_208009569_MV_ASSOCIATES">#REF!</definedName>
    <definedName name="V_KEYWORD_ISSR_208009569_NET_DEBT">#REF!</definedName>
    <definedName name="V_KEYWORD_ISSR_208009569_NET_DEBT_ADJ">#REF!</definedName>
    <definedName name="V_KEYWORD_ISSR_208009569_NET_FIX_ASS">#REF!</definedName>
    <definedName name="V_KEYWORD_ISSR_208009569_NET_INT_CH">#REF!</definedName>
    <definedName name="V_KEYWORD_ISSR_208009569_NET_INT_EXP">#REF!</definedName>
    <definedName name="V_KEYWORD_ISSR_208009569_NET_INTANG">#REF!</definedName>
    <definedName name="V_KEYWORD_ISSR_208009569_NONPPE_CAPEX">#REF!</definedName>
    <definedName name="V_KEYWORD_ISSR_208009569_OP_COST">#REF!</definedName>
    <definedName name="V_KEYWORD_ISSR_208009569_ORD_SH_FUND">#REF!</definedName>
    <definedName name="V_KEYWORD_ISSR_208009569_OTH_COST_INC">#REF!</definedName>
    <definedName name="V_KEYWORD_ISSR_208009569_OTH_CUR_ASS">#REF!</definedName>
    <definedName name="V_KEYWORD_ISSR_208009569_OTH_CUR_LIABS">#REF!</definedName>
    <definedName name="V_KEYWORD_ISSR_208009569_OTH_DACF_ADJ">#REF!</definedName>
    <definedName name="V_KEYWORD_ISSR_208009569_OTH_FIN_CF">#REF!</definedName>
    <definedName name="V_KEYWORD_ISSR_208009569_OTH_GCI_ADJ">#REF!</definedName>
    <definedName name="V_KEYWORD_ISSR_208009569_OTH_INV_CF">#REF!</definedName>
    <definedName name="V_KEYWORD_ISSR_208009569_OTH_LT_ASS">#REF!</definedName>
    <definedName name="V_KEYWORD_ISSR_208009569_OTH_LT_CRED_GQ">#REF!</definedName>
    <definedName name="V_KEYWORD_ISSR_208009569_OTH_NONCASH_ADJ">#REF!</definedName>
    <definedName name="V_KEYWORD_ISSR_208009569_OTH_OP_CF">#REF!</definedName>
    <definedName name="V_KEYWORD_ISSR_208009569_OTH_OP_INC_EXP">#REF!</definedName>
    <definedName name="V_KEYWORD_ISSR_208009569_PERIOD_MILESTONE">#REF!</definedName>
    <definedName name="V_KEYWORD_ISSR_208009569_PERSONNEL">#REF!</definedName>
    <definedName name="V_KEYWORD_ISSR_208009569_PL_SALE_ASSETS">#REF!</definedName>
    <definedName name="V_KEYWORD_ISSR_208009569_PREF_SH">#REF!</definedName>
    <definedName name="V_KEYWORD_ISSR_208009569_PROFIT_ON_DISP">#REF!</definedName>
    <definedName name="V_KEYWORD_ISSR_208009569_PT_PROF">#REF!</definedName>
    <definedName name="V_KEYWORD_ISSR_208009569_RD_EXP">#REF!</definedName>
    <definedName name="V_KEYWORD_ISSR_208009569_SALES">#REF!</definedName>
    <definedName name="V_KEYWORD_ISSR_208009569_SALES_BRAZIL">#REF!</definedName>
    <definedName name="V_KEYWORD_ISSR_208009569_SALES_CEE">#REF!</definedName>
    <definedName name="V_KEYWORD_ISSR_208009569_SALES_CHINA">#REF!</definedName>
    <definedName name="V_KEYWORD_ISSR_208009569_SALES_CONS">#REF!</definedName>
    <definedName name="V_KEYWORD_ISSR_208009569_SALES_EU_EX_UK">#REF!</definedName>
    <definedName name="V_KEYWORD_ISSR_208009569_SALES_FINAN">#REF!</definedName>
    <definedName name="V_KEYWORD_ISSR_208009569_SALES_FX_BRL">#REF!</definedName>
    <definedName name="V_KEYWORD_ISSR_208009569_SALES_FX_CNY">#REF!</definedName>
    <definedName name="V_KEYWORD_ISSR_208009569_SALES_FX_EUR">#REF!</definedName>
    <definedName name="V_KEYWORD_ISSR_208009569_SALES_FX_GPB">#REF!</definedName>
    <definedName name="V_KEYWORD_ISSR_208009569_SALES_FX_INR">#REF!</definedName>
    <definedName name="V_KEYWORD_ISSR_208009569_SALES_FX_KRW">#REF!</definedName>
    <definedName name="V_KEYWORD_ISSR_208009569_SALES_FX_OTH">#REF!</definedName>
    <definedName name="V_KEYWORD_ISSR_208009569_SALES_FX_RUB">#REF!</definedName>
    <definedName name="V_KEYWORD_ISSR_208009569_SALES_FX_TWD">#REF!</definedName>
    <definedName name="V_KEYWORD_ISSR_208009569_SALES_FX_USD">#REF!</definedName>
    <definedName name="V_KEYWORD_ISSR_208009569_SALES_FX_YEN">#REF!</definedName>
    <definedName name="V_KEYWORD_ISSR_208009569_SALES_GOV">#REF!</definedName>
    <definedName name="V_KEYWORD_ISSR_208009569_SALES_IND">#REF!</definedName>
    <definedName name="V_KEYWORD_ISSR_208009569_SALES_INDIA">#REF!</definedName>
    <definedName name="V_KEYWORD_ISSR_208009569_SALES_JAPAN">#REF!</definedName>
    <definedName name="V_KEYWORD_ISSR_208009569_SALES_ME">#REF!</definedName>
    <definedName name="V_KEYWORD_ISSR_208009569_SALES_OTH_AEJ">#REF!</definedName>
    <definedName name="V_KEYWORD_ISSR_208009569_SALES_OTH_AM">#REF!</definedName>
    <definedName name="V_KEYWORD_ISSR_208009569_SALES_OTH_EMEA">#REF!</definedName>
    <definedName name="V_KEYWORD_ISSR_208009569_SALES_OTHER">#REF!</definedName>
    <definedName name="V_KEYWORD_ISSR_208009569_SALES_RUSSIA">#REF!</definedName>
    <definedName name="V_KEYWORD_ISSR_208009569_SALES_SK">#REF!</definedName>
    <definedName name="V_KEYWORD_ISSR_208009569_SALES_TAIWAN">#REF!</definedName>
    <definedName name="V_KEYWORD_ISSR_208009569_SALES_TOT_AFRICA">#REF!</definedName>
    <definedName name="V_KEYWORD_ISSR_208009569_SALES_TOT_AM">#REF!</definedName>
    <definedName name="V_KEYWORD_ISSR_208009569_SALES_TOT_ASIA">#REF!</definedName>
    <definedName name="V_KEYWORD_ISSR_208009569_SALES_TOT_EMEA">#REF!</definedName>
    <definedName name="V_KEYWORD_ISSR_208009569_SALES_UK">#REF!</definedName>
    <definedName name="V_KEYWORD_ISSR_208009569_SALES_US">#REF!</definedName>
    <definedName name="V_KEYWORD_ISSR_208009569_SEL_GL_AD">#REF!</definedName>
    <definedName name="V_KEYWORD_ISSR_208009569_SH_REPUR">#REF!</definedName>
    <definedName name="V_KEYWORD_ISSR_208009569_SHORT_T_DEBT">#REF!</definedName>
    <definedName name="V_KEYWORD_ISSR_208009569_SHORT_TERM_LIABS">#REF!</definedName>
    <definedName name="V_KEYWORD_ISSR_208009569_STOCKS">#REF!</definedName>
    <definedName name="V_KEYWORD_ISSR_208009569_TOT_ASSET">#REF!</definedName>
    <definedName name="V_KEYWORD_ISSR_208009569_TOT_CF">#REF!</definedName>
    <definedName name="V_KEYWORD_ISSR_208009569_TOT_LIAB">#REF!</definedName>
    <definedName name="V_KEYWORD_ISSR_208009569_TOT_LIAB_EQ">#REF!</definedName>
    <definedName name="V_KEYWORD_ISSR_208009569_TOT_LT_LIAB">#REF!</definedName>
    <definedName name="V_KEYWORD_ISSR_208009569_TOT_OPS_EXP">#REF!</definedName>
    <definedName name="V_KEYWORD_ISSR_208009569_TOT_OPS_EXP_DDA">#REF!</definedName>
    <definedName name="V_KEYWORD_ISSR_208009569_UNF_PENS">#REF!</definedName>
    <definedName name="V_KEYWORD_ISSR_208009569_UNF_PENS_LIAB_OTH">#REF!</definedName>
    <definedName name="V_KEYWORD_ISSR_208009569_UNF_PENS_OFF">#REF!</definedName>
    <definedName name="V_KEYWORD_ISSR_208009569_WORK_CAP">#REF!</definedName>
    <definedName name="V_KEYWORD_ISSR_208012915_ACC_AMORT">#REF!</definedName>
    <definedName name="V_KEYWORD_ISSR_208012915_ACC_DDA">#REF!</definedName>
    <definedName name="V_KEYWORD_ISSR_208012915_ACC_END_DATE">#REF!</definedName>
    <definedName name="V_KEYWORD_ISSR_208012915_ACC_PAY_GQ">#REF!</definedName>
    <definedName name="V_KEYWORD_ISSR_208012915_ACQ">#REF!</definedName>
    <definedName name="V_KEYWORD_ISSR_208012915_ADJ_UNF_PENS_GOOD">#REF!</definedName>
    <definedName name="V_KEYWORD_ISSR_208012915_ASIA_SALES_GROWTH">#REF!</definedName>
    <definedName name="V_KEYWORD_ISSR_208012915_ASSOC_JV_ADDBK">#REF!</definedName>
    <definedName name="V_KEYWORD_ISSR_208012915_ASSOCIATE">#REF!</definedName>
    <definedName name="V_KEYWORD_ISSR_208012915_ASSOCIATE_OP">#REF!</definedName>
    <definedName name="V_KEYWORD_ISSR_208012915_BAL_MINO_INT">#REF!</definedName>
    <definedName name="V_KEYWORD_ISSR_208012915_CAP_LEASES">#REF!</definedName>
    <definedName name="V_KEYWORD_ISSR_208012915_CAPEX">#REF!</definedName>
    <definedName name="V_KEYWORD_ISSR_208012915_CAPEX_EXPANSION">#REF!</definedName>
    <definedName name="V_KEYWORD_ISSR_208012915_CAPEX_MAINTENANCE">#REF!</definedName>
    <definedName name="V_KEYWORD_ISSR_208012915_CASH_EQ">#REF!</definedName>
    <definedName name="V_KEYWORD_ISSR_208012915_CASH_INT_EXP">#REF!</definedName>
    <definedName name="V_KEYWORD_ISSR_208012915_CASH_TAX_EXP">#REF!</definedName>
    <definedName name="V_KEYWORD_ISSR_208012915_CF_FIN">#REF!</definedName>
    <definedName name="V_KEYWORD_ISSR_208012915_CF_INC_MINORITY">#REF!</definedName>
    <definedName name="V_KEYWORD_ISSR_208012915_CF_INV">#REF!</definedName>
    <definedName name="V_KEYWORD_ISSR_208012915_CF_OPS">#REF!</definedName>
    <definedName name="V_KEYWORD_ISSR_208012915_CHG_LT_DEBT">#REF!</definedName>
    <definedName name="V_KEYWORD_ISSR_208012915_CO_BOR_MARGIN">#REF!</definedName>
    <definedName name="V_KEYWORD_ISSR_208012915_COGS_BEEF">#REF!</definedName>
    <definedName name="V_KEYWORD_ISSR_208012915_COGS_CHICKEN">#REF!</definedName>
    <definedName name="V_KEYWORD_ISSR_208012915_COGS_COFFEE">#REF!</definedName>
    <definedName name="V_KEYWORD_ISSR_208012915_COGS_CORN">#REF!</definedName>
    <definedName name="V_KEYWORD_ISSR_208012915_COGS_DAIRY">#REF!</definedName>
    <definedName name="V_KEYWORD_ISSR_208012915_COGS_ENERGY">#REF!</definedName>
    <definedName name="V_KEYWORD_ISSR_208012915_COGS_NUTS">#REF!</definedName>
    <definedName name="V_KEYWORD_ISSR_208012915_COGS_OH_WAGES">#REF!</definedName>
    <definedName name="V_KEYWORD_ISSR_208012915_COGS_OTH_AGRI">#REF!</definedName>
    <definedName name="V_KEYWORD_ISSR_208012915_COGS_OTH_EDIBLE_OIL">#REF!</definedName>
    <definedName name="V_KEYWORD_ISSR_208012915_COGS_PACK_ALUM">#REF!</definedName>
    <definedName name="V_KEYWORD_ISSR_208012915_COGS_PACK_GLASS">#REF!</definedName>
    <definedName name="V_KEYWORD_ISSR_208012915_COGS_PACK_OIL_DERIV">#REF!</definedName>
    <definedName name="V_KEYWORD_ISSR_208012915_COGS_PACK_PAPER">#REF!</definedName>
    <definedName name="V_KEYWORD_ISSR_208012915_COGS_PACK_TIN">#REF!</definedName>
    <definedName name="V_KEYWORD_ISSR_208012915_COGS_PALM_OIL">#REF!</definedName>
    <definedName name="V_KEYWORD_ISSR_208012915_COGS_PORK">#REF!</definedName>
    <definedName name="V_KEYWORD_ISSR_208012915_COGS_RAW_OIL_DERIV">#REF!</definedName>
    <definedName name="V_KEYWORD_ISSR_208012915_COGS_RAW_OTH">#REF!</definedName>
    <definedName name="V_KEYWORD_ISSR_208012915_COGS_RAW_PULP">#REF!</definedName>
    <definedName name="V_KEYWORD_ISSR_208012915_COGS_SOYBEAN">#REF!</definedName>
    <definedName name="V_KEYWORD_ISSR_208012915_COGS_SUGAR">#REF!</definedName>
    <definedName name="V_KEYWORD_ISSR_208012915_COGS_TOBACCO">#REF!</definedName>
    <definedName name="V_KEYWORD_ISSR_208012915_COGS_WHEAT">#REF!</definedName>
    <definedName name="V_KEYWORD_ISSR_208012915_CONTRIB_MARGIN_RATIO">#REF!</definedName>
    <definedName name="V_KEYWORD_ISSR_208012915_COST_GD_SD">#REF!</definedName>
    <definedName name="V_KEYWORD_ISSR_208012915_CUR_ASS">#REF!</definedName>
    <definedName name="V_KEYWORD_ISSR_208012915_CURRENCY_ISO">#REF!</definedName>
    <definedName name="V_KEYWORD_ISSR_208012915_DEBTORS">#REF!</definedName>
    <definedName name="V_KEYWORD_ISSR_208012915_DEF_INC_TAX">#REF!</definedName>
    <definedName name="V_KEYWORD_ISSR_208012915_DEPR_AMORT">#REF!</definedName>
    <definedName name="V_KEYWORD_ISSR_208012915_DEPREC">#REF!</definedName>
    <definedName name="V_KEYWORD_ISSR_208012915_DIV_PAID">#REF!</definedName>
    <definedName name="V_KEYWORD_ISSR_208012915_DIVDS_ASSOC_JV">#REF!</definedName>
    <definedName name="V_KEYWORD_ISSR_208012915_DIVDS_PD_MINORITIES">#REF!</definedName>
    <definedName name="V_KEYWORD_ISSR_208012915_DIVEST">#REF!</definedName>
    <definedName name="V_KEYWORD_ISSR_208012915_EBIT">#REF!</definedName>
    <definedName name="V_KEYWORD_ISSR_208012915_EBITDA_CALC">#REF!</definedName>
    <definedName name="V_KEYWORD_ISSR_208012915_EEMEA_SALES_GROWTH">#REF!</definedName>
    <definedName name="V_KEYWORD_ISSR_208012915_EMPLOYEES">#REF!</definedName>
    <definedName name="V_KEYWORD_ISSR_208012915_EQ">#REF!</definedName>
    <definedName name="V_KEYWORD_ISSR_208012915_EUROPE_SALES_GROWTH">#REF!</definedName>
    <definedName name="V_KEYWORD_ISSR_208012915_EXP_ALUMINIUM">#REF!</definedName>
    <definedName name="V_KEYWORD_ISSR_208012915_EXP_BEEF">#REF!</definedName>
    <definedName name="V_KEYWORD_ISSR_208012915_EXP_CHICKEN">#REF!</definedName>
    <definedName name="V_KEYWORD_ISSR_208012915_EXP_COCOA">#REF!</definedName>
    <definedName name="V_KEYWORD_ISSR_208012915_EXP_COFFEE">#REF!</definedName>
    <definedName name="V_KEYWORD_ISSR_208012915_EXP_CORN">#REF!</definedName>
    <definedName name="V_KEYWORD_ISSR_208012915_EXP_DAIRY">#REF!</definedName>
    <definedName name="V_KEYWORD_ISSR_208012915_EXP_GLASS">#REF!</definedName>
    <definedName name="V_KEYWORD_ISSR_208012915_EXP_NUTS">#REF!</definedName>
    <definedName name="V_KEYWORD_ISSR_208012915_EXP_OIL_DERIV_NGLS_PLASTICS">#REF!</definedName>
    <definedName name="V_KEYWORD_ISSR_208012915_EXP_OIL_PETRO_FUEL">#REF!</definedName>
    <definedName name="V_KEYWORD_ISSR_208012915_EXP_OTH_COMMODITY">#REF!</definedName>
    <definedName name="V_KEYWORD_ISSR_208012915_EXP_OTH_COST">#REF!</definedName>
    <definedName name="V_KEYWORD_ISSR_208012915_EXP_OTH_EDIBLE_OIL">#REF!</definedName>
    <definedName name="V_KEYWORD_ISSR_208012915_EXP_PALM_OIL">#REF!</definedName>
    <definedName name="V_KEYWORD_ISSR_208012915_EXP_PAPER_PULP">#REF!</definedName>
    <definedName name="V_KEYWORD_ISSR_208012915_EXP_PORK">#REF!</definedName>
    <definedName name="V_KEYWORD_ISSR_208012915_EXP_SOYBEAN">#REF!</definedName>
    <definedName name="V_KEYWORD_ISSR_208012915_EXP_STEEL">#REF!</definedName>
    <definedName name="V_KEYWORD_ISSR_208012915_EXP_SUGAR">#REF!</definedName>
    <definedName name="V_KEYWORD_ISSR_208012915_EXP_TIN">#REF!</definedName>
    <definedName name="V_KEYWORD_ISSR_208012915_EXP_WATER">#REF!</definedName>
    <definedName name="V_KEYWORD_ISSR_208012915_EXP_WHEAT">#REF!</definedName>
    <definedName name="V_KEYWORD_ISSR_208012915_FIX_ASS_INV">#REF!</definedName>
    <definedName name="V_KEYWORD_ISSR_208012915_GCI_INFL">#REF!</definedName>
    <definedName name="V_KEYWORD_ISSR_208012915_GOODWILL_AMORT">#REF!</definedName>
    <definedName name="V_KEYWORD_ISSR_208012915_GR_FIX_ASS">#REF!</definedName>
    <definedName name="V_KEYWORD_ISSR_208012915_GR_INTANG">#REF!</definedName>
    <definedName name="V_KEYWORD_ISSR_208012915_INT_EXP_IND">#REF!</definedName>
    <definedName name="V_KEYWORD_ISSR_208012915_INT_INC_IND">#REF!</definedName>
    <definedName name="V_KEYWORD_ISSR_208012915_INV_SECUR">#REF!</definedName>
    <definedName name="V_KEYWORD_ISSR_208012915_Issuer_Name">#REF!</definedName>
    <definedName name="V_KEYWORD_ISSR_208012915_LATAM_SALES_GROWTH">#REF!</definedName>
    <definedName name="V_KEYWORD_ISSR_208012915_LEASE_DEEM_DEPR">#REF!</definedName>
    <definedName name="V_KEYWORD_ISSR_208012915_LEASE_DEEM_INT">#REF!</definedName>
    <definedName name="V_KEYWORD_ISSR_208012915_LEASE_PAY">#REF!</definedName>
    <definedName name="V_KEYWORD_ISSR_208012915_LT_DEBT">#REF!</definedName>
    <definedName name="V_KEYWORD_ISSR_208012915_MEDIA_ADVERTISING">#REF!</definedName>
    <definedName name="V_KEYWORD_ISSR_208012915_MINORITIES">#REF!</definedName>
    <definedName name="V_KEYWORD_ISSR_208012915_MV_ASSOCIATES">#REF!</definedName>
    <definedName name="V_KEYWORD_ISSR_208012915_NAMERICA_SALES_GROWTH">#REF!</definedName>
    <definedName name="V_KEYWORD_ISSR_208012915_NET_DEBT">#REF!</definedName>
    <definedName name="V_KEYWORD_ISSR_208012915_NET_DEBT_ADJ">#REF!</definedName>
    <definedName name="V_KEYWORD_ISSR_208012915_NET_FIX_ASS">#REF!</definedName>
    <definedName name="V_KEYWORD_ISSR_208012915_NET_INT_CH">#REF!</definedName>
    <definedName name="V_KEYWORD_ISSR_208012915_NET_INT_EXP">#REF!</definedName>
    <definedName name="V_KEYWORD_ISSR_208012915_NET_INTANG">#REF!</definedName>
    <definedName name="V_KEYWORD_ISSR_208012915_NONPPE_CAPEX">#REF!</definedName>
    <definedName name="V_KEYWORD_ISSR_208012915_OP_COST">#REF!</definedName>
    <definedName name="V_KEYWORD_ISSR_208012915_ORD_SH_FUND">#REF!</definedName>
    <definedName name="V_KEYWORD_ISSR_208012915_ORG_REV_GRTH">#REF!</definedName>
    <definedName name="V_KEYWORD_ISSR_208012915_OTH_COST_INC">#REF!</definedName>
    <definedName name="V_KEYWORD_ISSR_208012915_OTH_CUR_ASS">#REF!</definedName>
    <definedName name="V_KEYWORD_ISSR_208012915_OTH_CUR_LIABS">#REF!</definedName>
    <definedName name="V_KEYWORD_ISSR_208012915_OTH_DACF_ADJ">#REF!</definedName>
    <definedName name="V_KEYWORD_ISSR_208012915_OTH_FIN_CF">#REF!</definedName>
    <definedName name="V_KEYWORD_ISSR_208012915_OTH_GCI_ADJ">#REF!</definedName>
    <definedName name="V_KEYWORD_ISSR_208012915_OTH_INV_CF">#REF!</definedName>
    <definedName name="V_KEYWORD_ISSR_208012915_OTH_LT_ASS">#REF!</definedName>
    <definedName name="V_KEYWORD_ISSR_208012915_OTH_LT_CRED_GQ">#REF!</definedName>
    <definedName name="V_KEYWORD_ISSR_208012915_OTH_NONCASH_ADJ">#REF!</definedName>
    <definedName name="V_KEYWORD_ISSR_208012915_OTH_OP_CF">#REF!</definedName>
    <definedName name="V_KEYWORD_ISSR_208012915_OTH_OP_INC_EXP">#REF!</definedName>
    <definedName name="V_KEYWORD_ISSR_208012915_PERIOD_MILESTONE">#REF!</definedName>
    <definedName name="V_KEYWORD_ISSR_208012915_PERSONNEL">#REF!</definedName>
    <definedName name="V_KEYWORD_ISSR_208012915_PL_SALE_ASSETS">#REF!</definedName>
    <definedName name="V_KEYWORD_ISSR_208012915_PREF_SH">#REF!</definedName>
    <definedName name="V_KEYWORD_ISSR_208012915_PROFIT_ON_DISP">#REF!</definedName>
    <definedName name="V_KEYWORD_ISSR_208012915_PT_PROF">#REF!</definedName>
    <definedName name="V_KEYWORD_ISSR_208012915_RD_EXP">#REF!</definedName>
    <definedName name="V_KEYWORD_ISSR_208012915_SALES">#REF!</definedName>
    <definedName name="V_KEYWORD_ISSR_208012915_SALES_BEEF">#REF!</definedName>
    <definedName name="V_KEYWORD_ISSR_208012915_SALES_BRAZIL">#REF!</definedName>
    <definedName name="V_KEYWORD_ISSR_208012915_SALES_CEE">#REF!</definedName>
    <definedName name="V_KEYWORD_ISSR_208012915_SALES_CHICKEN">#REF!</definedName>
    <definedName name="V_KEYWORD_ISSR_208012915_SALES_CHINA">#REF!</definedName>
    <definedName name="V_KEYWORD_ISSR_208012915_SALES_COCOA">#REF!</definedName>
    <definedName name="V_KEYWORD_ISSR_208012915_SALES_COFFEE">#REF!</definedName>
    <definedName name="V_KEYWORD_ISSR_208012915_SALES_CONS">#REF!</definedName>
    <definedName name="V_KEYWORD_ISSR_208012915_SALES_CORN">#REF!</definedName>
    <definedName name="V_KEYWORD_ISSR_208012915_SALES_DAIRY">#REF!</definedName>
    <definedName name="V_KEYWORD_ISSR_208012915_SALES_EU_EX_UK">#REF!</definedName>
    <definedName name="V_KEYWORD_ISSR_208012915_SALES_FINAN">#REF!</definedName>
    <definedName name="V_KEYWORD_ISSR_208012915_SALES_FX_BRL">#REF!</definedName>
    <definedName name="V_KEYWORD_ISSR_208012915_SALES_FX_CNY">#REF!</definedName>
    <definedName name="V_KEYWORD_ISSR_208012915_SALES_FX_EUR">#REF!</definedName>
    <definedName name="V_KEYWORD_ISSR_208012915_SALES_FX_GPB">#REF!</definedName>
    <definedName name="V_KEYWORD_ISSR_208012915_SALES_FX_INR">#REF!</definedName>
    <definedName name="V_KEYWORD_ISSR_208012915_SALES_FX_KRW">#REF!</definedName>
    <definedName name="V_KEYWORD_ISSR_208012915_SALES_FX_OTH">#REF!</definedName>
    <definedName name="V_KEYWORD_ISSR_208012915_SALES_FX_RUB">#REF!</definedName>
    <definedName name="V_KEYWORD_ISSR_208012915_SALES_FX_TWD">#REF!</definedName>
    <definedName name="V_KEYWORD_ISSR_208012915_SALES_FX_USD">#REF!</definedName>
    <definedName name="V_KEYWORD_ISSR_208012915_SALES_FX_YEN">#REF!</definedName>
    <definedName name="V_KEYWORD_ISSR_208012915_SALES_GOV">#REF!</definedName>
    <definedName name="V_KEYWORD_ISSR_208012915_SALES_IND">#REF!</definedName>
    <definedName name="V_KEYWORD_ISSR_208012915_SALES_INDIA">#REF!</definedName>
    <definedName name="V_KEYWORD_ISSR_208012915_SALES_JAPAN">#REF!</definedName>
    <definedName name="V_KEYWORD_ISSR_208012915_SALES_ME">#REF!</definedName>
    <definedName name="V_KEYWORD_ISSR_208012915_SALES_NUTS">#REF!</definedName>
    <definedName name="V_KEYWORD_ISSR_208012915_SALES_OTH_AEJ">#REF!</definedName>
    <definedName name="V_KEYWORD_ISSR_208012915_SALES_OTH_AM">#REF!</definedName>
    <definedName name="V_KEYWORD_ISSR_208012915_SALES_OTH_COMMODITY">#REF!</definedName>
    <definedName name="V_KEYWORD_ISSR_208012915_SALES_OTH_EMEA">#REF!</definedName>
    <definedName name="V_KEYWORD_ISSR_208012915_SALES_OTH_SALES_SOURCES">#REF!</definedName>
    <definedName name="V_KEYWORD_ISSR_208012915_SALES_OTHER">#REF!</definedName>
    <definedName name="V_KEYWORD_ISSR_208012915_SALES_PORK">#REF!</definedName>
    <definedName name="V_KEYWORD_ISSR_208012915_SALES_RUSSIA">#REF!</definedName>
    <definedName name="V_KEYWORD_ISSR_208012915_SALES_SK">#REF!</definedName>
    <definedName name="V_KEYWORD_ISSR_208012915_SALES_SOYBEAN">#REF!</definedName>
    <definedName name="V_KEYWORD_ISSR_208012915_SALES_SUGAR">#REF!</definedName>
    <definedName name="V_KEYWORD_ISSR_208012915_SALES_TAIWAN">#REF!</definedName>
    <definedName name="V_KEYWORD_ISSR_208012915_SALES_TOT_AFRICA">#REF!</definedName>
    <definedName name="V_KEYWORD_ISSR_208012915_SALES_TOT_AM">#REF!</definedName>
    <definedName name="V_KEYWORD_ISSR_208012915_SALES_TOT_ASIA">#REF!</definedName>
    <definedName name="V_KEYWORD_ISSR_208012915_SALES_TOT_EMEA">#REF!</definedName>
    <definedName name="V_KEYWORD_ISSR_208012915_SALES_UK">#REF!</definedName>
    <definedName name="V_KEYWORD_ISSR_208012915_SALES_US">#REF!</definedName>
    <definedName name="V_KEYWORD_ISSR_208012915_SALES_WATER">#REF!</definedName>
    <definedName name="V_KEYWORD_ISSR_208012915_SALES_WHEAT">#REF!</definedName>
    <definedName name="V_KEYWORD_ISSR_208012915_SEL_GL_AD">#REF!</definedName>
    <definedName name="V_KEYWORD_ISSR_208012915_SH_REPUR">#REF!</definedName>
    <definedName name="V_KEYWORD_ISSR_208012915_SHORT_T_DEBT">#REF!</definedName>
    <definedName name="V_KEYWORD_ISSR_208012915_SHORT_TERM_LIABS">#REF!</definedName>
    <definedName name="V_KEYWORD_ISSR_208012915_STOCKS">#REF!</definedName>
    <definedName name="V_KEYWORD_ISSR_208012915_TOT_ASSET">#REF!</definedName>
    <definedName name="V_KEYWORD_ISSR_208012915_TOT_CF">#REF!</definedName>
    <definedName name="V_KEYWORD_ISSR_208012915_TOT_LIAB">#REF!</definedName>
    <definedName name="V_KEYWORD_ISSR_208012915_TOT_LIAB_EQ">#REF!</definedName>
    <definedName name="V_KEYWORD_ISSR_208012915_TOT_LT_LIAB">#REF!</definedName>
    <definedName name="V_KEYWORD_ISSR_208012915_TOT_OPS_EXP">#REF!</definedName>
    <definedName name="V_KEYWORD_ISSR_208012915_TOT_OPS_EXP_DDA">#REF!</definedName>
    <definedName name="V_KEYWORD_ISSR_208012915_UNF_PENS">#REF!</definedName>
    <definedName name="V_KEYWORD_ISSR_208012915_UNF_PENS_LIAB_OTH">#REF!</definedName>
    <definedName name="V_KEYWORD_ISSR_208012915_UNF_PENS_OFF">#REF!</definedName>
    <definedName name="V_KEYWORD_ISSR_208012915_WORK_CAP">#REF!</definedName>
    <definedName name="V_LIVEDATA_EQTY_200008062" localSheetId="1">#REF!</definedName>
    <definedName name="V_LIVEDATA_EQTY_200008062">#REF!</definedName>
    <definedName name="V_LIVEDATA_EQTY_200012577" localSheetId="1">#REF!</definedName>
    <definedName name="V_LIVEDATA_EQTY_200012577">#REF!</definedName>
    <definedName name="V_LIVEDATA_EQTY_200015373" localSheetId="1">#REF!</definedName>
    <definedName name="V_LIVEDATA_EQTY_200015373">#REF!</definedName>
    <definedName name="V_LIVEDATA_EQTY_200015981">#REF!</definedName>
    <definedName name="V_LIVEDATA_ISSR_208006264" localSheetId="1">#REF!</definedName>
    <definedName name="V_LIVEDATA_ISSR_208006264">#REF!</definedName>
    <definedName name="V_LIVEDATA_ISSR_208009569" localSheetId="1">#REF!</definedName>
    <definedName name="V_LIVEDATA_ISSR_208009569">#REF!</definedName>
    <definedName name="V_LIVEDATA_ISSR_208012915" localSheetId="1">#REF!</definedName>
    <definedName name="V_LIVEDATA_ISSR_208012915">#REF!</definedName>
    <definedName name="V_PERIOD_1994" localSheetId="1">#REF!</definedName>
    <definedName name="V_PERIOD_1994">#REF!</definedName>
    <definedName name="V_PERIOD_1995" localSheetId="1">#REF!</definedName>
    <definedName name="V_PERIOD_1995">#REF!</definedName>
    <definedName name="V_PERIOD_1996" localSheetId="1">#REF!</definedName>
    <definedName name="V_PERIOD_1996">#REF!</definedName>
    <definedName name="V_PERIOD_1997">#REF!</definedName>
    <definedName name="V_PERIOD_1998">#REF!</definedName>
    <definedName name="V_PERIOD_1999" localSheetId="9">#REF!</definedName>
    <definedName name="V_PERIOD_1999" localSheetId="1">#REF!</definedName>
    <definedName name="V_PERIOD_1999">#REF!</definedName>
    <definedName name="V_PERIOD_2000" localSheetId="9">#REF!</definedName>
    <definedName name="V_PERIOD_2000" localSheetId="1">#REF!</definedName>
    <definedName name="V_PERIOD_2000">#REF!</definedName>
    <definedName name="V_PERIOD_2001" localSheetId="9">#REF!</definedName>
    <definedName name="V_PERIOD_2001" localSheetId="1">#REF!</definedName>
    <definedName name="V_PERIOD_2001">#REF!</definedName>
    <definedName name="V_PERIOD_2002" localSheetId="9">#REF!</definedName>
    <definedName name="V_PERIOD_2002" localSheetId="1">#REF!</definedName>
    <definedName name="V_PERIOD_2002">#REF!</definedName>
    <definedName name="V_PERIOD_2003" localSheetId="9">#REF!</definedName>
    <definedName name="V_PERIOD_2003" localSheetId="1">#REF!</definedName>
    <definedName name="V_PERIOD_2003">#REF!</definedName>
    <definedName name="V_PERIOD_2004" localSheetId="9">#REF!</definedName>
    <definedName name="V_PERIOD_2004" localSheetId="1">#REF!</definedName>
    <definedName name="V_PERIOD_2004">#REF!</definedName>
    <definedName name="V_PERIOD_2005" localSheetId="9">#REF!</definedName>
    <definedName name="V_PERIOD_2005" localSheetId="1">#REF!</definedName>
    <definedName name="V_PERIOD_2005">#REF!</definedName>
    <definedName name="V_PERIOD_2006" localSheetId="9">#REF!</definedName>
    <definedName name="V_PERIOD_2006" localSheetId="1">#REF!</definedName>
    <definedName name="V_PERIOD_2006">#REF!</definedName>
    <definedName name="V_PERIOD_2007" localSheetId="9">#REF!</definedName>
    <definedName name="V_PERIOD_2007" localSheetId="1">#REF!</definedName>
    <definedName name="V_PERIOD_2007">#REF!</definedName>
    <definedName name="V_PERIOD_2008" localSheetId="9">#REF!</definedName>
    <definedName name="V_PERIOD_2008" localSheetId="1">#REF!</definedName>
    <definedName name="V_PERIOD_2008">#REF!</definedName>
    <definedName name="V_PERIOD_2009" localSheetId="9">#REF!</definedName>
    <definedName name="V_PERIOD_2009" localSheetId="1">#REF!</definedName>
    <definedName name="V_PERIOD_2009_Q1" localSheetId="1">#REF!</definedName>
    <definedName name="V_PERIOD_2009_Q1">#REF!</definedName>
    <definedName name="V_PERIOD_2009_Q2" localSheetId="1">#REF!</definedName>
    <definedName name="V_PERIOD_2009_Q2">#REF!</definedName>
    <definedName name="V_PERIOD_2009_Q3" localSheetId="1">#REF!</definedName>
    <definedName name="V_PERIOD_2009_Q3">#REF!</definedName>
    <definedName name="V_PERIOD_2009_Q4" localSheetId="1">#REF!</definedName>
    <definedName name="V_PERIOD_2009_Q4">#REF!</definedName>
    <definedName name="V_PERIOD_2010" localSheetId="9">#REF!</definedName>
    <definedName name="V_PERIOD_2010" localSheetId="1">#REF!</definedName>
    <definedName name="V_PERIOD_2010_H1" localSheetId="1">#REF!</definedName>
    <definedName name="V_PERIOD_2010_H1">#REF!</definedName>
    <definedName name="V_PERIOD_2010_H2" localSheetId="1">#REF!</definedName>
    <definedName name="V_PERIOD_2010_H2">#REF!</definedName>
    <definedName name="V_PERIOD_2010_Q1" localSheetId="1">#REF!</definedName>
    <definedName name="V_PERIOD_2010_Q1">#REF!</definedName>
    <definedName name="V_PERIOD_2010_Q2" localSheetId="1">#REF!</definedName>
    <definedName name="V_PERIOD_2010_Q2">#REF!</definedName>
    <definedName name="V_PERIOD_2010_Q3" localSheetId="1">#REF!</definedName>
    <definedName name="V_PERIOD_2010_Q3">#REF!</definedName>
    <definedName name="V_PERIOD_2010_Q4" localSheetId="1">#REF!</definedName>
    <definedName name="V_PERIOD_2010_Q4">#REF!</definedName>
    <definedName name="V_PERIOD_2011" localSheetId="9">#REF!</definedName>
    <definedName name="V_PERIOD_2011" localSheetId="1">#REF!</definedName>
    <definedName name="V_PERIOD_2011_H1" localSheetId="1">#REF!</definedName>
    <definedName name="V_PERIOD_2011_H1">#REF!</definedName>
    <definedName name="V_PERIOD_2011_H2" localSheetId="1">#REF!</definedName>
    <definedName name="V_PERIOD_2011_H2">#REF!</definedName>
    <definedName name="V_PERIOD_2011_Q1" localSheetId="1">#REF!</definedName>
    <definedName name="V_PERIOD_2011_Q1">#REF!</definedName>
    <definedName name="V_PERIOD_2011_Q2" localSheetId="1">#REF!</definedName>
    <definedName name="V_PERIOD_2011_Q2">#REF!</definedName>
    <definedName name="V_PERIOD_2011_Q3" localSheetId="1">#REF!</definedName>
    <definedName name="V_PERIOD_2011_Q3">#REF!</definedName>
    <definedName name="V_PERIOD_2011_Q4" localSheetId="1">#REF!</definedName>
    <definedName name="V_PERIOD_2011_Q4">#REF!</definedName>
    <definedName name="V_PERIOD_2012" localSheetId="1">#REF!</definedName>
    <definedName name="V_PERIOD_2012_H1" localSheetId="1">#REF!</definedName>
    <definedName name="V_PERIOD_2012_H1">#REF!</definedName>
    <definedName name="V_PERIOD_2012_H2" localSheetId="1">#REF!</definedName>
    <definedName name="V_PERIOD_2012_H2">#REF!</definedName>
    <definedName name="V_PERIOD_2012_Q1" localSheetId="1">#REF!</definedName>
    <definedName name="V_PERIOD_2012_Q1">#REF!</definedName>
    <definedName name="V_PERIOD_2012_Q2" localSheetId="1">#REF!</definedName>
    <definedName name="V_PERIOD_2012_Q2">#REF!</definedName>
    <definedName name="V_PERIOD_2012_Q3" localSheetId="1">#REF!</definedName>
    <definedName name="V_PERIOD_2012_Q3">#REF!</definedName>
    <definedName name="V_PERIOD_2012_Q4" localSheetId="1">#REF!</definedName>
    <definedName name="V_PERIOD_2012_Q4">#REF!</definedName>
    <definedName name="V_PERIOD_2013" localSheetId="1">#REF!</definedName>
    <definedName name="V_PERIOD_2013_Q1" localSheetId="1">#REF!</definedName>
    <definedName name="V_PERIOD_2013_Q1">#REF!</definedName>
    <definedName name="V_PERIOD_2013_Q2" localSheetId="1">#REF!</definedName>
    <definedName name="V_PERIOD_2013_Q2">#REF!</definedName>
    <definedName name="V_PERIOD_2013_Q3" localSheetId="1">#REF!</definedName>
    <definedName name="V_PERIOD_2013_Q3">#REF!</definedName>
    <definedName name="V_PERIOD_2013_Q4" localSheetId="1">#REF!</definedName>
    <definedName name="V_PERIOD_2013_Q4">#REF!</definedName>
    <definedName name="V_PERIOD_2014" localSheetId="1">#REF!</definedName>
    <definedName name="V_PERIOD_2015" localSheetId="1">#REF!</definedName>
    <definedName name="V_SECTION_EQTY_200008062_1314" localSheetId="1">#REF!</definedName>
    <definedName name="V_SECTION_EQTY_200008062_1314">#REF!</definedName>
    <definedName name="V_SECTION_EQTY_200008062_131E" localSheetId="1">#REF!</definedName>
    <definedName name="V_SECTION_EQTY_200008062_131E">#REF!</definedName>
    <definedName name="V_SECTION_EQTY_200008062_131O" localSheetId="1">#REF!</definedName>
    <definedName name="V_SECTION_EQTY_200008062_131O">#REF!</definedName>
    <definedName name="V_SECTION_EQTY_200008062_13A">#REF!</definedName>
    <definedName name="V_SECTION_EQTY_200008062_13K">#REF!</definedName>
    <definedName name="V_SECTION_EQTY_200008062_13U">#REF!</definedName>
    <definedName name="V_SECTION_EQTY_200008062_13V">#REF!</definedName>
    <definedName name="V_SECTION_EQTY_200008062_Reference_Data">#REF!</definedName>
    <definedName name="V_SECTION_EQTY_200012577_1314">#REF!</definedName>
    <definedName name="V_SECTION_EQTY_200012577_131E">#REF!</definedName>
    <definedName name="V_SECTION_EQTY_200012577_131O">#REF!</definedName>
    <definedName name="V_SECTION_EQTY_200012577_13A">#REF!</definedName>
    <definedName name="V_SECTION_EQTY_200012577_13K">#REF!</definedName>
    <definedName name="V_SECTION_EQTY_200012577_13U">#REF!</definedName>
    <definedName name="V_SECTION_EQTY_200012577_13V">#REF!</definedName>
    <definedName name="V_SECTION_EQTY_200012577_Reference_Data">#REF!</definedName>
    <definedName name="V_SECTION_EQTY_200015373_1314">#REF!</definedName>
    <definedName name="V_SECTION_EQTY_200015373_131E">#REF!</definedName>
    <definedName name="V_SECTION_EQTY_200015373_131O">#REF!</definedName>
    <definedName name="V_SECTION_EQTY_200015373_13A">#REF!</definedName>
    <definedName name="V_SECTION_EQTY_200015373_13K">#REF!</definedName>
    <definedName name="V_SECTION_EQTY_200015373_13U">#REF!</definedName>
    <definedName name="V_SECTION_EQTY_200015373_13V">#REF!</definedName>
    <definedName name="V_SECTION_EQTY_200015373_Reference_Data">#REF!</definedName>
    <definedName name="V_SECTION_EQTY_200015981_1314">#REF!</definedName>
    <definedName name="V_SECTION_EQTY_200015981_131E">#REF!</definedName>
    <definedName name="V_SECTION_EQTY_200015981_131O">#REF!</definedName>
    <definedName name="V_SECTION_EQTY_200015981_13A">#REF!</definedName>
    <definedName name="V_SECTION_EQTY_200015981_13K">#REF!</definedName>
    <definedName name="V_SECTION_EQTY_200015981_13U">#REF!</definedName>
    <definedName name="V_SECTION_EQTY_200015981_13V">#REF!</definedName>
    <definedName name="V_SECTION_EQTY_200015981_Reference_Data">#REF!</definedName>
    <definedName name="V_SECTION_ISSR_208006264_1314" localSheetId="1">#REF!</definedName>
    <definedName name="V_SECTION_ISSR_208006264_1314">#REF!</definedName>
    <definedName name="V_SECTION_ISSR_208006264_13168" localSheetId="1">#REF!</definedName>
    <definedName name="V_SECTION_ISSR_208006264_13168">#REF!</definedName>
    <definedName name="V_SECTION_ISSR_208006264_1316S" localSheetId="1">#REF!</definedName>
    <definedName name="V_SECTION_ISSR_208006264_1316S">#REF!</definedName>
    <definedName name="V_SECTION_ISSR_208006264_1316T">#REF!</definedName>
    <definedName name="V_SECTION_ISSR_208006264_1316U">#REF!</definedName>
    <definedName name="V_SECTION_ISSR_208006264_13171">#REF!</definedName>
    <definedName name="V_SECTION_ISSR_208006264_13172">#REF!</definedName>
    <definedName name="V_SECTION_ISSR_208006264_1319">#REF!</definedName>
    <definedName name="V_SECTION_ISSR_208006264_131E">#REF!</definedName>
    <definedName name="V_SECTION_ISSR_208006264_131J">#REF!</definedName>
    <definedName name="V_SECTION_ISSR_208006264_131O">#REF!</definedName>
    <definedName name="V_SECTION_ISSR_208006264_13U">#REF!</definedName>
    <definedName name="V_SECTION_ISSR_208006264_13V">#REF!</definedName>
    <definedName name="V_SECTION_ISSR_208006264_Reference_Data">#REF!</definedName>
    <definedName name="V_SECTION_ISSR_208009569_1314">#REF!</definedName>
    <definedName name="V_SECTION_ISSR_208009569_13168">#REF!</definedName>
    <definedName name="V_SECTION_ISSR_208009569_1316U">#REF!</definedName>
    <definedName name="V_SECTION_ISSR_208009569_1319">#REF!</definedName>
    <definedName name="V_SECTION_ISSR_208009569_131E">#REF!</definedName>
    <definedName name="V_SECTION_ISSR_208009569_131J">#REF!</definedName>
    <definedName name="V_SECTION_ISSR_208009569_131O">#REF!</definedName>
    <definedName name="V_SECTION_ISSR_208009569_13U">#REF!</definedName>
    <definedName name="V_SECTION_ISSR_208009569_13V">#REF!</definedName>
    <definedName name="V_SECTION_ISSR_208009569_Reference_Data">#REF!</definedName>
    <definedName name="V_SECTION_ISSR_208012915_1314">#REF!</definedName>
    <definedName name="V_SECTION_ISSR_208012915_13168">#REF!</definedName>
    <definedName name="V_SECTION_ISSR_208012915_1316S">#REF!</definedName>
    <definedName name="V_SECTION_ISSR_208012915_1316T">#REF!</definedName>
    <definedName name="V_SECTION_ISSR_208012915_1316U">#REF!</definedName>
    <definedName name="V_SECTION_ISSR_208012915_13171">#REF!</definedName>
    <definedName name="V_SECTION_ISSR_208012915_13172">#REF!</definedName>
    <definedName name="V_SECTION_ISSR_208012915_1319">#REF!</definedName>
    <definedName name="V_SECTION_ISSR_208012915_131E">#REF!</definedName>
    <definedName name="V_SECTION_ISSR_208012915_131J">#REF!</definedName>
    <definedName name="V_SECTION_ISSR_208012915_131O">#REF!</definedName>
    <definedName name="V_SECTION_ISSR_208012915_13U">#REF!</definedName>
    <definedName name="V_SECTION_ISSR_208012915_13V">#REF!</definedName>
    <definedName name="V_SECTION_ISSR_208012915_Reference_Data">#REF!</definedName>
    <definedName name="vae" localSheetId="1">#REF!</definedName>
    <definedName name="vae">#REF!</definedName>
    <definedName name="VAL" localSheetId="1">#REF!</definedName>
    <definedName name="VAL">#REF!</definedName>
    <definedName name="VAL_Q">#REF!</definedName>
    <definedName name="val_UD_index">#REF!</definedName>
    <definedName name="valn">#REF!</definedName>
    <definedName name="valu" localSheetId="1">#REF!</definedName>
    <definedName name="valu">#REF!</definedName>
    <definedName name="Valuation" localSheetId="1">#REF!</definedName>
    <definedName name="Valuation">#REF!</definedName>
    <definedName name="Valuation_date">#REF!</definedName>
    <definedName name="ValuationPE_Yield" localSheetId="1">#REF!,#REF!,#REF!,#REF!,#REF!,#REF!</definedName>
    <definedName name="ValuationPE_Yield" localSheetId="14">#REF!,#REF!,#REF!,#REF!,#REF!,#REF!</definedName>
    <definedName name="ValuationPE_Yield">#REF!,#REF!,#REF!,#REF!,#REF!,#REF!</definedName>
    <definedName name="Value" localSheetId="1">#REF!</definedName>
    <definedName name="Value">#REF!</definedName>
    <definedName name="Value_date" localSheetId="5">#REF!</definedName>
    <definedName name="Value_date" localSheetId="1">#REF!</definedName>
    <definedName name="Value_date">#REF!</definedName>
    <definedName name="Value_of_Core_Operations">#REF!</definedName>
    <definedName name="Value_RNK_index">#REF!</definedName>
    <definedName name="Value_Score">#REF!</definedName>
    <definedName name="VarCost" localSheetId="1">#REF!</definedName>
    <definedName name="VarCost">#REF!</definedName>
    <definedName name="vay" localSheetId="1">#REF!</definedName>
    <definedName name="vay">#REF!</definedName>
    <definedName name="vbv" localSheetId="1">#REF!</definedName>
    <definedName name="vbv">#REF!</definedName>
    <definedName name="vcf">#REF!</definedName>
    <definedName name="vdp">#REF!</definedName>
    <definedName name="veb">#REF!</definedName>
    <definedName name="veg">#REF!</definedName>
    <definedName name="vep">#REF!</definedName>
    <definedName name="Version.WIRE">1</definedName>
    <definedName name="vev">#REF!</definedName>
    <definedName name="vey">#REF!</definedName>
    <definedName name="vfa">#REF!</definedName>
    <definedName name="vgd">#REF!</definedName>
    <definedName name="via">#REF!</definedName>
    <definedName name="vio">#REF!</definedName>
    <definedName name="vital_stat">#REF!</definedName>
    <definedName name="vmv" localSheetId="1">#REF!</definedName>
    <definedName name="vmv">#REF!</definedName>
    <definedName name="vnd" localSheetId="1">#REF!</definedName>
    <definedName name="vnd">#REF!</definedName>
    <definedName name="VOL" localSheetId="1">#REF!</definedName>
    <definedName name="VOL">#REF!</definedName>
    <definedName name="vpx" localSheetId="1">#REF!</definedName>
    <definedName name="vpx">#REF!</definedName>
    <definedName name="vrn" localSheetId="1">#REF!</definedName>
    <definedName name="vrn">#REF!</definedName>
    <definedName name="vsp">#REF!</definedName>
    <definedName name="vva">#REF!</definedName>
    <definedName name="w" localSheetId="9">#REF!</definedName>
    <definedName name="W" localSheetId="1">#REF!</definedName>
    <definedName name="w" localSheetId="14">#REF!</definedName>
    <definedName name="W">#REF!</definedName>
    <definedName name="wac">#REF!</definedName>
    <definedName name="WACC" localSheetId="9">#REF!</definedName>
    <definedName name="wacc" localSheetId="5">#REF!</definedName>
    <definedName name="WACC" localSheetId="14">#REF!</definedName>
    <definedName name="wacc">#REF!</definedName>
    <definedName name="WACC_2" localSheetId="1">#REF!</definedName>
    <definedName name="WACC_2">#REF!</definedName>
    <definedName name="WACC_fore">#REF!</definedName>
    <definedName name="WACC_P">#REF!</definedName>
    <definedName name="WACC_P_1">#REF!</definedName>
    <definedName name="WACC_P_8">#REF!</definedName>
    <definedName name="Wages_incl_soc.costs">#REF!</definedName>
    <definedName name="Warrants" localSheetId="1">#REF!</definedName>
    <definedName name="Warrants">#REF!</definedName>
    <definedName name="watch_delta">#REF!</definedName>
    <definedName name="watch_delta_sd">#REF!</definedName>
    <definedName name="watch_name">#REF!</definedName>
    <definedName name="watch_sd">#REF!</definedName>
    <definedName name="watch_sign">#REF!</definedName>
    <definedName name="Wcapchgoth">#REF!</definedName>
    <definedName name="Wcapchng">#REF!</definedName>
    <definedName name="WDR" localSheetId="1">#REF!</definedName>
    <definedName name="WDR">#REF!</definedName>
    <definedName name="website" localSheetId="1">#REF!</definedName>
    <definedName name="website">#REF!</definedName>
    <definedName name="wei_beta">#REF!</definedName>
    <definedName name="wei_div">#REF!</definedName>
    <definedName name="wei_evebitda">#REF!</definedName>
    <definedName name="wei_evsales">#REF!</definedName>
    <definedName name="wei_gear">#REF!</definedName>
    <definedName name="wei_mv">#REF!</definedName>
    <definedName name="wei_pb">#REF!</definedName>
    <definedName name="wei_pcf">#REF!</definedName>
    <definedName name="wei_pe">#REF!</definedName>
    <definedName name="wei_peg">#REF!</definedName>
    <definedName name="wei_roa">#REF!</definedName>
    <definedName name="wei_roce">#REF!</definedName>
    <definedName name="wei_roe">#REF!</definedName>
    <definedName name="wei_vfo">#REF!</definedName>
    <definedName name="west" localSheetId="1">#REF!</definedName>
    <definedName name="west">#REF!</definedName>
    <definedName name="WEuropeSales" localSheetId="1">#REF!</definedName>
    <definedName name="WEuropeSales">#REF!</definedName>
    <definedName name="WGT_PD1">#REF!</definedName>
    <definedName name="WGT_PD2">#REF!</definedName>
    <definedName name="WGT_PD3">#REF!</definedName>
    <definedName name="wk">#REF!</definedName>
    <definedName name="wkgcap">#REF!</definedName>
    <definedName name="wl_p1">#REF!</definedName>
    <definedName name="wl_p3">#REF!</definedName>
    <definedName name="word_model" localSheetId="1">#REF!</definedName>
    <definedName name="word_model">#REF!</definedName>
    <definedName name="workcap">#REF!</definedName>
    <definedName name="WorkingCapitalChg" localSheetId="1">#REF!</definedName>
    <definedName name="WorkingCapitalChg">#REF!</definedName>
    <definedName name="WPI">#REF!</definedName>
    <definedName name="WPL">#REF!</definedName>
    <definedName name="Wrapper" localSheetId="14">#N/A</definedName>
    <definedName name="Wrapper">#REF!</definedName>
    <definedName name="wrn.2._.pagers." localSheetId="1" hidden="1">{"Cover",#N/A,FALSE,"Cover";"Summary",#N/A,FALSE,"Summarpage"}</definedName>
    <definedName name="wrn.2._.pagers." localSheetId="14" hidden="1">{"Cover",#N/A,FALSE,"Cover";"Summary",#N/A,FALSE,"Summarpage"}</definedName>
    <definedName name="wrn.2._.pagers." hidden="1">{"Cover",#N/A,FALSE,"Cover";"Summary",#N/A,FALSE,"Summarpage"}</definedName>
    <definedName name="wrn.All.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pages." localSheetId="1" hidden="1">{#N/A,#N/A,TRUE,"Historicals";#N/A,#N/A,TRUE,"Charts";#N/A,#N/A,TRUE,"Forecasts"}</definedName>
    <definedName name="wrn.allpages." localSheetId="14" hidden="1">{#N/A,#N/A,TRUE,"Historicals";#N/A,#N/A,TRUE,"Charts";#N/A,#N/A,TRUE,"Forecasts"}</definedName>
    <definedName name="wrn.allpages." hidden="1">{#N/A,#N/A,TRUE,"Historicals";#N/A,#N/A,TRUE,"Charts";#N/A,#N/A,TRUE,"Forecasts"}</definedName>
    <definedName name="wrn.Annual._.Operating._.Earnings." localSheetId="1" hidden="1">{"Annual 1996",#N/A,FALSE,"Ann-Op (Mng)";"Annual 1996",#N/A,FALSE,"Ann-Op (Rep)";"Operating Vs. Reported Earnings",#N/A,FALSE,"Rpt-Op Inc"}</definedName>
    <definedName name="wrn.Annual._.Operating._.Earnings." localSheetId="14" hidden="1">{"Annual 1996",#N/A,FALSE,"Ann-Op (Mng)";"Annual 1996",#N/A,FALSE,"Ann-Op (Rep)";"Operating Vs. Reported Earnings",#N/A,FALSE,"Rpt-Op Inc"}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1." localSheetId="1" hidden="1">{"Annual 1996",#N/A,FALSE,"Ann-Op (Mng)";"Annual 1996",#N/A,FALSE,"Ann-Op (Rep)";"Operating Vs. Reported Earnings",#N/A,FALSE,"Rpt-Op Inc"}</definedName>
    <definedName name="wrn.Annual._.Operating._.Earnings1." localSheetId="14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BalShtSum." localSheetId="1" hidden="1">{"balshtsum",#N/A,FALSE,"BalSht"}</definedName>
    <definedName name="wrn.BalShtSum." localSheetId="14" hidden="1">{"balshtsum",#N/A,FALSE,"BalSht"}</definedName>
    <definedName name="wrn.BalShtSum." hidden="1">{"balshtsum",#N/A,FALSE,"BalSht"}</definedName>
    <definedName name="wrn.CFSum." localSheetId="1" hidden="1">{"cfsum",#N/A,FALSE,"CashFlow"}</definedName>
    <definedName name="wrn.CFSum." localSheetId="14" hidden="1">{"cfsum",#N/A,FALSE,"CashFlow"}</definedName>
    <definedName name="wrn.CFSum." hidden="1">{"cfsum",#N/A,FALSE,"CashFlow"}</definedName>
    <definedName name="wrn.Client._.cfbs." localSheetId="1" hidden="1">{"client cfbs",#N/A,FALSE,"Client"}</definedName>
    <definedName name="wrn.Client._.cfbs." localSheetId="14" hidden="1">{"client cfbs",#N/A,FALSE,"Client"}</definedName>
    <definedName name="wrn.Client._.cfbs." hidden="1">{"client cfbs",#N/A,FALSE,"Client"}</definedName>
    <definedName name="wrn.Client._.is." localSheetId="1" hidden="1">{"Client is",#N/A,FALSE,"Client"}</definedName>
    <definedName name="wrn.Client._.is." localSheetId="14" hidden="1">{"Client is",#N/A,FALSE,"Client"}</definedName>
    <definedName name="wrn.Client._.is." hidden="1">{"Client is",#N/A,FALSE,"Client"}</definedName>
    <definedName name="wrn.Client._.stats." localSheetId="1" hidden="1">{"Client stats",#N/A,FALSE,"Client"}</definedName>
    <definedName name="wrn.Client._.stats." localSheetId="14" hidden="1">{"Client stats",#N/A,FALSE,"Client"}</definedName>
    <definedName name="wrn.Client._.stats." hidden="1">{"Client stats",#N/A,FALSE,"Client"}</definedName>
    <definedName name="wrn.Complete.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1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localSheetId="1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1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Financial." localSheetId="1" hidden="1">{"IncStmt",#N/A,FALSE,"IncStmt";"BalSht",#N/A,FALSE,"BalSht";"IncStmtDet",#N/A,FALSE,"IncStmt";"CashFlow",#N/A,FALSE,"CashFlow";"Ratio",#N/A,FALSE,"Ratio Analysis";"GrMarg",#N/A,FALSE,"IncStmt"}</definedName>
    <definedName name="wrn.Financial." localSheetId="14" hidden="1">{"IncStmt",#N/A,FALSE,"IncStmt";"BalSht",#N/A,FALSE,"BalSht";"IncStmtDet",#N/A,FALSE,"IncStmt";"CashFlow",#N/A,FALSE,"CashFlow";"Ratio",#N/A,FALSE,"Ratio Analysis";"GrMarg",#N/A,FALSE,"IncStmt"}</definedName>
    <definedName name="wrn.Financial." hidden="1">{"IncStmt",#N/A,FALSE,"IncStmt";"BalSht",#N/A,FALSE,"BalSht";"IncStmtDet",#N/A,FALSE,"IncStmt";"CashFlow",#N/A,FALSE,"CashFlow";"Ratio",#N/A,FALSE,"Ratio Analysis";"GrMarg",#N/A,FALSE,"IncStmt"}</definedName>
    <definedName name="wrn.Forecast._.Q1." localSheetId="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" localSheetId="1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localSheetId="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localSheetId="1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localSheetId="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localSheetId="1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localSheetId="1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localSheetId="14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localSheetId="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localSheetId="1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localSheetId="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localSheetId="1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ull._.Financials." localSheetId="1" hidden="1">{#N/A,#N/A,TRUE,"Financials";#N/A,#N/A,TRUE,"Operating Statistics";#N/A,#N/A,TRUE,"Capex &amp; Depreciation";#N/A,#N/A,TRUE,"Debt"}</definedName>
    <definedName name="wrn.Full._.Financials." localSheetId="14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Full._.Report." localSheetId="1" hidden="1">{#N/A,#N/A,FALSE,"COVER";#N/A,#N/A,FALSE,"VALUATION";#N/A,#N/A,FALSE,"FORECAST";#N/A,#N/A,FALSE,"FY ANALYSIS ";#N/A,#N/A,FALSE," HY ANALYSIS"}</definedName>
    <definedName name="wrn.Full._.Report." localSheetId="14" hidden="1">{#N/A,#N/A,FALSE,"COVER";#N/A,#N/A,FALSE,"VALUATION";#N/A,#N/A,FALSE,"FORECAST";#N/A,#N/A,FALSE,"FY ANALYSIS ";#N/A,#N/A,FALSE," HY ANALYSIS"}</definedName>
    <definedName name="wrn.Full._.Report." hidden="1">{#N/A,#N/A,FALSE,"COVER";#N/A,#N/A,FALSE,"VALUATION";#N/A,#N/A,FALSE,"FORECAST";#N/A,#N/A,FALSE,"FY ANALYSIS ";#N/A,#N/A,FALSE," HY ANALYSIS"}</definedName>
    <definedName name="wrn.Income._.Stmt." localSheetId="1" hidden="1">{"Income Stmt",#N/A,FALSE,"Model"}</definedName>
    <definedName name="wrn.Income._.Stmt." localSheetId="14" hidden="1">{"Income Stmt",#N/A,FALSE,"Model"}</definedName>
    <definedName name="wrn.Income._.Stmt." hidden="1">{"Income Stmt",#N/A,FALSE,"Model"}</definedName>
    <definedName name="wrn.IncStmt." localSheetId="1" hidden="1">{"gr_margin",#N/A,FALSE,"IncStmt";"incstmt",#N/A,FALSE,"IncStmt";"incstmtdet",#N/A,FALSE,"IncStmt"}</definedName>
    <definedName name="wrn.IncStmt." localSheetId="14" hidden="1">{"gr_margin",#N/A,FALSE,"IncStmt";"incstmt",#N/A,FALSE,"IncStmt";"incstmtdet",#N/A,FALSE,"IncStmt"}</definedName>
    <definedName name="wrn.IncStmt." hidden="1">{"gr_margin",#N/A,FALSE,"IncStmt";"incstmt",#N/A,FALSE,"IncStmt";"incstmtdet",#N/A,FALSE,"IncStmt"}</definedName>
    <definedName name="wrn.Industry.xls." localSheetId="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localSheetId="1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ternal._.is." localSheetId="1" hidden="1">{"Internal is",#N/A,FALSE,"Model"}</definedName>
    <definedName name="wrn.Internal._.is." localSheetId="14" hidden="1">{"Internal is",#N/A,FALSE,"Model"}</definedName>
    <definedName name="wrn.Internal._.is." hidden="1">{"Internal is",#N/A,FALSE,"Model"}</definedName>
    <definedName name="wrn.Leases.xls." localSheetId="1" hidden="1">{#N/A,#N/A,FALSE,"Initial Year";#N/A,#N/A,FALSE,"Historical";#N/A,#N/A,FALSE,"balsheet";#N/A,#N/A,FALSE,"incstate";#N/A,#N/A,FALSE,"Fleet"}</definedName>
    <definedName name="wrn.Leases.xls." localSheetId="14" hidden="1">{#N/A,#N/A,FALSE,"Initial Year";#N/A,#N/A,FALSE,"Historical";#N/A,#N/A,FALSE,"balsheet";#N/A,#N/A,FALSE,"incstate";#N/A,#N/A,FALSE,"Fleet"}</definedName>
    <definedName name="wrn.Leases.xls." hidden="1">{#N/A,#N/A,FALSE,"Initial Year";#N/A,#N/A,FALSE,"Historical";#N/A,#N/A,FALSE,"balsheet";#N/A,#N/A,FALSE,"incstate";#N/A,#N/A,FALSE,"Fleet"}</definedName>
    <definedName name="wrn.Monthly._.Report." localSheetId="1" hidden="1">{#N/A,#N/A,FALSE,"Monthly";#N/A,#N/A,FALSE,"Hong Kong";#N/A,#N/A,FALSE,"New York";#N/A,#N/A,FALSE,"London";#N/A,#N/A,FALSE,"Singapore";#N/A,#N/A,FALSE,"Australia";#N/A,#N/A,FALSE,"Korea"}</definedName>
    <definedName name="wrn.Monthly._.Report." localSheetId="14" hidden="1">{#N/A,#N/A,FALSE,"Monthly";#N/A,#N/A,FALSE,"Hong Kong";#N/A,#N/A,FALSE,"New York";#N/A,#N/A,FALSE,"London";#N/A,#N/A,FALSE,"Singapore";#N/A,#N/A,FALSE,"Australia";#N/A,#N/A,FALSE,"Korea"}</definedName>
    <definedName name="wrn.Monthly._.Report." hidden="1">{#N/A,#N/A,FALSE,"Monthly";#N/A,#N/A,FALSE,"Hong Kong";#N/A,#N/A,FALSE,"New York";#N/A,#N/A,FALSE,"London";#N/A,#N/A,FALSE,"Singapore";#N/A,#N/A,FALSE,"Australia";#N/A,#N/A,FALSE,"Korea"}</definedName>
    <definedName name="wrn.One._.Pager._.plus._.Technicals." localSheetId="1" hidden="1">{#N/A,#N/A,FALSE,"One Pager";#N/A,#N/A,FALSE,"Technical"}</definedName>
    <definedName name="wrn.One._.Pager._.plus._.Technicals." localSheetId="14" hidden="1">{#N/A,#N/A,FALSE,"One Pager";#N/A,#N/A,FALSE,"Technical"}</definedName>
    <definedName name="wrn.One._.Pager._.plus._.Technicals." hidden="1">{#N/A,#N/A,FALSE,"One Pager";#N/A,#N/A,FALSE,"Technical"}</definedName>
    <definedName name="wrn.Portrait._.IS." localSheetId="1" hidden="1">{"Portrait letter is",#N/A,FALSE,"Model"}</definedName>
    <definedName name="wrn.Portrait._.IS." localSheetId="14" hidden="1">{"Portrait letter is",#N/A,FALSE,"Model"}</definedName>
    <definedName name="wrn.Portrait._.IS." hidden="1">{"Portrait letter is",#N/A,FALSE,"Model"}</definedName>
    <definedName name="wrn.Portrait._.letter._.is." localSheetId="1" hidden="1">{"Portrait letter is",#N/A,FALSE,"Model"}</definedName>
    <definedName name="wrn.Portrait._.letter._.is." localSheetId="14" hidden="1">{"Portrait letter is",#N/A,FALSE,"Model"}</definedName>
    <definedName name="wrn.Portrait._.letter._.is." hidden="1">{"Portrait letter is",#N/A,FALSE,"Model"}</definedName>
    <definedName name="wrn.Pulp." localSheetId="1" hidden="1">{"Pulp Production",#N/A,FALSE,"Pulp";"Pulp Earnings",#N/A,FALSE,"Pulp"}</definedName>
    <definedName name="wrn.Pulp." localSheetId="14" hidden="1">{"Pulp Production",#N/A,FALSE,"Pulp";"Pulp Earnings",#N/A,FALSE,"Pulp"}</definedName>
    <definedName name="wrn.Pulp." hidden="1">{"Pulp Production",#N/A,FALSE,"Pulp";"Pulp Earnings",#N/A,FALSE,"Pulp"}</definedName>
    <definedName name="wrn.Qtr._.Op._.Q1." localSheetId="1" hidden="1">{"Qtr Op Mgd Q1",#N/A,FALSE,"Qtr-Op (Mng)";"Qtr Op Rpt Q1",#N/A,FALSE,"Qtr-Op (Rpt)";"Operating Vs Reported",#N/A,FALSE,"Rpt-Op Inc"}</definedName>
    <definedName name="wrn.Qtr._.Op._.Q1." localSheetId="14" hidden="1">{"Qtr Op Mgd Q1",#N/A,FALSE,"Qtr-Op (Mng)";"Qtr Op Rpt Q1",#N/A,FALSE,"Qtr-Op (Rpt)";"Operating Vs Reported",#N/A,FALSE,"Rpt-Op Inc"}</definedName>
    <definedName name="wrn.Qtr._.Op._.Q1." hidden="1">{"Qtr Op Mgd Q1",#N/A,FALSE,"Qtr-Op (Mng)";"Qtr Op Rpt Q1",#N/A,FALSE,"Qtr-Op (Rpt)";"Operating Vs Reported",#N/A,FALSE,"Rpt-Op Inc"}</definedName>
    <definedName name="wrn.Qtr._.Op._.Q2." localSheetId="1" hidden="1">{"Qtr Op Mgd Q2",#N/A,FALSE,"Qtr-Op (Mng)";"Qtr Op Rpt Q2",#N/A,FALSE,"Qtr-Op (Rpt)";"Operating Vs Reported",#N/A,FALSE,"Rpt-Op Inc"}</definedName>
    <definedName name="wrn.Qtr._.Op._.Q2." localSheetId="14" hidden="1">{"Qtr Op Mgd Q2",#N/A,FALSE,"Qtr-Op (Mng)";"Qtr Op Rpt Q2",#N/A,FALSE,"Qtr-Op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3." localSheetId="1" hidden="1">{"Qtr Op Mgd Q3",#N/A,FALSE,"Qtr-Op (Mng)";"Qtr Op Rpt Q3",#N/A,FALSE,"Qtr-Op (Rpt)";"Operating Vs Reported",#N/A,FALSE,"Rpt-Op Inc"}</definedName>
    <definedName name="wrn.Qtr._.Op._.Q3." localSheetId="14" hidden="1">{"Qtr Op Mgd Q3",#N/A,FALSE,"Qtr-Op (Mng)";"Qtr Op Rpt Q3",#N/A,FALSE,"Qtr-Op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4." localSheetId="1" hidden="1">{"Qtr Op Mgd Q3",#N/A,FALSE,"Qtr-Op (Mng)";"Qtr Op Rpt Q4",#N/A,FALSE,"Qtr-Op (Rpt)";"Operating Vs Reported",#N/A,FALSE,"Rpt-Op Inc"}</definedName>
    <definedName name="wrn.Qtr._.Op._.Q4." localSheetId="14" hidden="1">{"Qtr Op Mgd Q3",#N/A,FALSE,"Qtr-Op (Mng)";"Qtr Op Rpt Q4",#N/A,FALSE,"Qtr-Op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Q2a." localSheetId="1" hidden="1">{"Qtr Op Mgd Q2",#N/A,FALSE,"Qtr-Op (Mng)";"Qtr Op Rpt Q2",#N/A,FALSE,"Qtr-Op (Rpt)";"Operating Vs Reported",#N/A,FALSE,"Rpt-Op Inc"}</definedName>
    <definedName name="wrn.Qtr._.Op._Q2a." localSheetId="14" hidden="1">{"Qtr Op Mgd Q2",#N/A,FALSE,"Qtr-Op (Mng)";"Qtr Op Rpt Q2",#N/A,FALSE,"Qtr-Op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_.Op._.Q4." localSheetId="1" hidden="1">{"Qtr Op Mgd Q3",#N/A,FALSE,"Qtr-Op (Mng)";"Qtr Op Rpt Q4",#N/A,FALSE,"Qtr-Op (Rpt)";"Operating Vs Reported",#N/A,FALSE,"Rpt-Op Inc"}</definedName>
    <definedName name="wrn.Qtr_.Op._.Q4." localSheetId="14" hidden="1">{"Qtr Op Mgd Q3",#N/A,FALSE,"Qtr-Op (Mng)";"Qtr Op Rpt Q4",#N/A,FALSE,"Qtr-Op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Report." localSheetId="1" hidden="1">{#N/A,#N/A,FALSE,"COVER";#N/A,#N/A,FALSE,"FORECAST";#N/A,#N/A,FALSE,"VALUATION";#N/A,#N/A,FALSE,"FY ANALYSIS ";#N/A,#N/A,FALSE," HY ANALYSIS"}</definedName>
    <definedName name="wrn.Report." localSheetId="14" hidden="1">{#N/A,#N/A,FALSE,"COVER";#N/A,#N/A,FALSE,"FORECAST";#N/A,#N/A,FALSE,"VALUATION";#N/A,#N/A,FALSE,"FY ANALYSIS ";#N/A,#N/A,FALSE," HY ANALYSIS"}</definedName>
    <definedName name="wrn.Report." hidden="1">{#N/A,#N/A,FALSE,"COVER";#N/A,#N/A,FALSE,"FORECAST";#N/A,#N/A,FALSE,"VALUATION";#N/A,#N/A,FALSE,"FY ANALYSIS ";#N/A,#N/A,FALSE," HY ANALYSIS"}</definedName>
    <definedName name="wrn.Variance._.3." localSheetId="1" hidden="1">{"Variance Q3",#N/A,FALSE,"Var"}</definedName>
    <definedName name="wrn.Variance._.3." localSheetId="14" hidden="1">{"Variance Q3",#N/A,FALSE,"Var"}</definedName>
    <definedName name="wrn.Variance._.3." hidden="1">{"Variance Q3",#N/A,FALSE,"Var"}</definedName>
    <definedName name="wrn.Variance._.Q1." localSheetId="1" hidden="1">{"Variance Q1",#N/A,FALSE,"Var"}</definedName>
    <definedName name="wrn.Variance._.Q1." localSheetId="14" hidden="1">{"Variance Q1",#N/A,FALSE,"Var"}</definedName>
    <definedName name="wrn.Variance._.Q1." hidden="1">{"Variance Q1",#N/A,FALSE,"Var"}</definedName>
    <definedName name="wrn.Variance._.Q2." localSheetId="1" hidden="1">{"Variance Q2",#N/A,FALSE,"Var"}</definedName>
    <definedName name="wrn.Variance._.Q2." localSheetId="14" hidden="1">{"Variance Q2",#N/A,FALSE,"Var"}</definedName>
    <definedName name="wrn.Variance._.Q2." hidden="1">{"Variance Q2",#N/A,FALSE,"Var"}</definedName>
    <definedName name="wrn.Variance._.Q3." localSheetId="1" hidden="1">{"Variance Q3",#N/A,FALSE,"Var"}</definedName>
    <definedName name="wrn.Variance._.Q3." localSheetId="14" hidden="1">{"Variance Q3",#N/A,FALSE,"Var"}</definedName>
    <definedName name="wrn.Variance._.Q3." hidden="1">{"Variance Q3",#N/A,FALSE,"Var"}</definedName>
    <definedName name="wrn.Variance._.Q4" localSheetId="1" hidden="1">{"Variance Q4",#N/A,FALSE,"Var"}</definedName>
    <definedName name="wrn.Variance._.Q4" localSheetId="14" hidden="1">{"Variance Q4",#N/A,FALSE,"Var"}</definedName>
    <definedName name="wrn.Variance._.Q4" hidden="1">{"Variance Q4",#N/A,FALSE,"Var"}</definedName>
    <definedName name="wrn.Variance._.Q4." localSheetId="1" hidden="1">{"Variance Q4",#N/A,FALSE,"Var"}</definedName>
    <definedName name="wrn.Variance._.Q4." localSheetId="14" hidden="1">{"Variance Q4",#N/A,FALSE,"Var"}</definedName>
    <definedName name="wrn.Variance._.Q4." hidden="1">{"Variance Q4",#N/A,FALSE,"Var"}</definedName>
    <definedName name="ww">#REF!</definedName>
    <definedName name="x">#REF!</definedName>
    <definedName name="xData1.2">#REF!</definedName>
    <definedName name="xei" localSheetId="1">#REF!</definedName>
    <definedName name="xei">#REF!</definedName>
    <definedName name="xer" localSheetId="1">#REF!</definedName>
    <definedName name="xer">#REF!</definedName>
    <definedName name="xfx" localSheetId="1">#REF!</definedName>
    <definedName name="xfx">#REF!</definedName>
    <definedName name="xitem">#REF!</definedName>
    <definedName name="XL">#REF!</definedName>
    <definedName name="xoe">#REF!</definedName>
    <definedName name="xpr">#REF!</definedName>
    <definedName name="XRATE">#REF!</definedName>
    <definedName name="XRATERMBHKD04" localSheetId="1">#REF!</definedName>
    <definedName name="XRATERMBHKD04" localSheetId="14">#REF!</definedName>
    <definedName name="XRATERMBHKD04">#REF!</definedName>
    <definedName name="xunits" localSheetId="1">#REF!</definedName>
    <definedName name="xunits">#REF!</definedName>
    <definedName name="xz_ED">#REF!</definedName>
    <definedName name="xz_PD">#REF!</definedName>
    <definedName name="y">#REF!</definedName>
    <definedName name="y06_95">#REF!</definedName>
    <definedName name="y06_96">#REF!</definedName>
    <definedName name="y06_97">#REF!</definedName>
    <definedName name="y06_98">#REF!</definedName>
    <definedName name="y06_99">#REF!</definedName>
    <definedName name="y07_00">#REF!</definedName>
    <definedName name="y07_01">#REF!</definedName>
    <definedName name="y07_02">#REF!</definedName>
    <definedName name="y07_03">#REF!</definedName>
    <definedName name="y07_04">#REF!</definedName>
    <definedName name="y07_05">#REF!</definedName>
    <definedName name="y07_06">#REF!</definedName>
    <definedName name="y07_89">#REF!</definedName>
    <definedName name="y07_90">#REF!</definedName>
    <definedName name="y07_91">#REF!</definedName>
    <definedName name="y07_92">#REF!</definedName>
    <definedName name="y07_93">#REF!</definedName>
    <definedName name="y07_94">#REF!</definedName>
    <definedName name="y07_95">#REF!</definedName>
    <definedName name="y07_96">#REF!</definedName>
    <definedName name="y07_97">#REF!</definedName>
    <definedName name="y07_98">#REF!</definedName>
    <definedName name="y07_99">#REF!</definedName>
    <definedName name="YE_00" localSheetId="1">#REF!</definedName>
    <definedName name="YE_00" localSheetId="14">#REF!</definedName>
    <definedName name="YE_00">#REF!</definedName>
    <definedName name="YE_01" localSheetId="1">#REF!</definedName>
    <definedName name="YE_01" localSheetId="14">#REF!</definedName>
    <definedName name="YE_01">#REF!</definedName>
    <definedName name="YE_02" localSheetId="1">#REF!</definedName>
    <definedName name="YE_02" localSheetId="14">#REF!</definedName>
    <definedName name="YE_02">#REF!</definedName>
    <definedName name="YE_03" localSheetId="1">#REF!</definedName>
    <definedName name="YE_03" localSheetId="14">#REF!</definedName>
    <definedName name="YE_03">#REF!</definedName>
    <definedName name="YE_04" localSheetId="1">#REF!</definedName>
    <definedName name="YE_04" localSheetId="14">#REF!</definedName>
    <definedName name="YE_04">#REF!</definedName>
    <definedName name="YE_05" localSheetId="1">#REF!</definedName>
    <definedName name="YE_05" localSheetId="14">#REF!</definedName>
    <definedName name="YE_05">#REF!</definedName>
    <definedName name="YE_06" localSheetId="1">#REF!</definedName>
    <definedName name="YE_06" localSheetId="14">#REF!</definedName>
    <definedName name="YE_06">#REF!</definedName>
    <definedName name="YE_92" localSheetId="1">#REF!</definedName>
    <definedName name="YE_92">#REF!</definedName>
    <definedName name="YE_93" localSheetId="1">#REF!</definedName>
    <definedName name="YE_93">#REF!</definedName>
    <definedName name="YE_94" localSheetId="1">#REF!</definedName>
    <definedName name="YE_94">#REF!</definedName>
    <definedName name="YE_95" localSheetId="1">#REF!</definedName>
    <definedName name="YE_95">#REF!</definedName>
    <definedName name="YE_96" localSheetId="1">#REF!</definedName>
    <definedName name="YE_96">#REF!</definedName>
    <definedName name="YE_97" localSheetId="1">#REF!</definedName>
    <definedName name="YE_97">#REF!</definedName>
    <definedName name="YE_98" localSheetId="1">#REF!</definedName>
    <definedName name="YE_98" localSheetId="14">#REF!</definedName>
    <definedName name="YE_98">#REF!</definedName>
    <definedName name="YE_99" localSheetId="1">#REF!</definedName>
    <definedName name="YE_99" localSheetId="14">#REF!</definedName>
    <definedName name="YE_99">#REF!</definedName>
    <definedName name="Year" localSheetId="1">#REF!</definedName>
    <definedName name="Year">#REF!</definedName>
    <definedName name="YearEnd" localSheetId="14">#REF!</definedName>
    <definedName name="YearEnd">#REF!</definedName>
    <definedName name="YearQtr_title">#N/A</definedName>
    <definedName name="Years" localSheetId="9">"A1:v1"</definedName>
    <definedName name="Years" localSheetId="5">#REF!</definedName>
    <definedName name="Years" localSheetId="14">"A1:v1"</definedName>
    <definedName name="Years">#REF!</definedName>
    <definedName name="YesNo">#REF!</definedName>
    <definedName name="yield" localSheetId="1">#REF!</definedName>
    <definedName name="yield">#REF!</definedName>
    <definedName name="YrEnd" localSheetId="5">#REF!</definedName>
    <definedName name="YrEnd" localSheetId="1">#REF!</definedName>
    <definedName name="YrEnd">#REF!</definedName>
    <definedName name="yrend_dcap">#REF!</definedName>
    <definedName name="Z_24EBD9C0_A7FA_494E_BB5D_83D3E4970BA9_.wvu.Cols" localSheetId="9" hidden="1">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</definedName>
    <definedName name="Z_24EBD9C0_A7FA_494E_BB5D_83D3E4970BA9_.wvu.PrintArea" localSheetId="9" hidden="1">CROCI!$A$11:$B$78</definedName>
    <definedName name="Z_3C44493E_7E8A_494F_AF26_89272328ADDB_.wvu.Cols" localSheetId="9" hidden="1">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,CROCI!#REF!</definedName>
    <definedName name="Z_3C44493E_7E8A_494F_AF26_89272328ADDB_.wvu.PrintArea" localSheetId="9" hidden="1">CROCI!$A$11:$B$78</definedName>
    <definedName name="Zara_Stores_France_as_Percentage_of_Total_Stores">#REF!</definedName>
    <definedName name="Zara_Stores_Germany_as_Percentage_of_Total_Stores">#REF!</definedName>
    <definedName name="Zara_Stores_Spain_as_Percentage_of_Total_Stores">#REF!</definedName>
    <definedName name="Zara_Stores_UK_as_Percentage_of_Total_Stores">#REF!</definedName>
    <definedName name="Zara_Stores_USA_as_Percentage_of_Total_Stores">#REF!</definedName>
    <definedName name="Zone2" localSheetId="1">#REF!</definedName>
    <definedName name="Zone2">#REF!</definedName>
    <definedName name="ZURN" localSheetId="1">#REF!</definedName>
    <definedName name="ZURN">#REF!</definedName>
    <definedName name="本期新增固定资产原值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25" i="11" l="1"/>
  <c r="V179" i="11" s="1"/>
  <c r="U121" i="11"/>
  <c r="U224" i="11"/>
  <c r="O233" i="10"/>
  <c r="Z56" i="4"/>
  <c r="Y56" i="4"/>
  <c r="X56" i="4"/>
  <c r="AA223" i="11"/>
  <c r="AM59" i="18"/>
  <c r="T74" i="11"/>
  <c r="U74" i="11" s="1"/>
  <c r="AH33" i="18" s="1"/>
  <c r="V74" i="11"/>
  <c r="V75" i="11" s="1"/>
  <c r="X74" i="11"/>
  <c r="X75" i="11" s="1"/>
  <c r="Z173" i="11"/>
  <c r="AN21" i="18"/>
  <c r="T216" i="11"/>
  <c r="V177" i="11"/>
  <c r="AM57" i="18"/>
  <c r="AM55" i="18"/>
  <c r="Z205" i="11"/>
  <c r="Z107" i="11" s="1"/>
  <c r="Z74" i="11"/>
  <c r="Z75" i="11" s="1"/>
  <c r="Z259" i="11"/>
  <c r="Z108" i="11"/>
  <c r="Z37" i="11"/>
  <c r="Z36" i="11"/>
  <c r="Z34" i="11"/>
  <c r="Z33" i="11"/>
  <c r="Z31" i="11"/>
  <c r="Z32" i="11" s="1"/>
  <c r="Z30" i="11"/>
  <c r="Z29" i="11"/>
  <c r="Z28" i="11"/>
  <c r="Z27" i="11"/>
  <c r="Z26" i="11"/>
  <c r="Z25" i="11"/>
  <c r="Z24" i="11"/>
  <c r="Z23" i="11"/>
  <c r="Z22" i="11"/>
  <c r="Z20" i="11"/>
  <c r="Z18" i="11"/>
  <c r="Z16" i="11"/>
  <c r="Z17" i="11" s="1"/>
  <c r="Z14" i="11"/>
  <c r="Z15" i="11" s="1"/>
  <c r="Z10" i="11"/>
  <c r="Z6" i="11"/>
  <c r="T75" i="11" l="1"/>
  <c r="AM33" i="18"/>
  <c r="AP33" i="18" s="1"/>
  <c r="Z78" i="11"/>
  <c r="AI33" i="18"/>
  <c r="AQ33" i="18" s="1"/>
  <c r="W74" i="11"/>
  <c r="U75" i="11"/>
  <c r="Z19" i="11"/>
  <c r="X78" i="11"/>
  <c r="AG33" i="18"/>
  <c r="AK33" i="18"/>
  <c r="Y74" i="11"/>
  <c r="Z11" i="11"/>
  <c r="AJ33" i="18" l="1"/>
  <c r="W75" i="11"/>
  <c r="AL33" i="18"/>
  <c r="Y75" i="11"/>
  <c r="Y78" i="11"/>
  <c r="Z21" i="11"/>
  <c r="Z13" i="11"/>
  <c r="AT10" i="18" l="1"/>
  <c r="D6" i="16"/>
  <c r="C6" i="16"/>
  <c r="AA202" i="11"/>
  <c r="Y202" i="11"/>
  <c r="S23" i="82" l="1"/>
  <c r="N375" i="10"/>
  <c r="O375" i="10" s="1"/>
  <c r="L371" i="10"/>
  <c r="L372" i="10" s="1"/>
  <c r="L376" i="10"/>
  <c r="M376" i="10"/>
  <c r="AA152" i="11"/>
  <c r="AA163" i="11"/>
  <c r="AA131" i="11" s="1"/>
  <c r="AA142" i="11" s="1"/>
  <c r="Y158" i="12"/>
  <c r="AL57" i="18"/>
  <c r="AL59" i="18"/>
  <c r="Y128" i="12"/>
  <c r="Y75" i="12"/>
  <c r="Y54" i="12"/>
  <c r="Y155" i="11"/>
  <c r="AL167" i="11"/>
  <c r="AQ169" i="11"/>
  <c r="AP169" i="11"/>
  <c r="AL169" i="11"/>
  <c r="AK169" i="11"/>
  <c r="AV168" i="11"/>
  <c r="AV169" i="11" s="1"/>
  <c r="AU168" i="11"/>
  <c r="AU169" i="11" s="1"/>
  <c r="AT168" i="11"/>
  <c r="AT169" i="11" s="1"/>
  <c r="AS168" i="11"/>
  <c r="AS169" i="11" s="1"/>
  <c r="AQ168" i="11"/>
  <c r="AP168" i="11"/>
  <c r="AL168" i="11"/>
  <c r="AK168" i="11"/>
  <c r="O168" i="11"/>
  <c r="AJ169" i="11" s="1"/>
  <c r="M168" i="11"/>
  <c r="AI169" i="11" s="1"/>
  <c r="AK167" i="11"/>
  <c r="O164" i="11"/>
  <c r="M164" i="11"/>
  <c r="K164" i="11"/>
  <c r="I164" i="11"/>
  <c r="Y157" i="11"/>
  <c r="Y153" i="11"/>
  <c r="U160" i="11"/>
  <c r="W160" i="11" s="1"/>
  <c r="U153" i="11"/>
  <c r="W153" i="11" s="1"/>
  <c r="AN156" i="11" s="1"/>
  <c r="AQ158" i="11"/>
  <c r="AP158" i="11"/>
  <c r="AK158" i="11"/>
  <c r="AK157" i="11"/>
  <c r="AL158" i="11"/>
  <c r="O157" i="11"/>
  <c r="AJ158" i="11" s="1"/>
  <c r="M157" i="11"/>
  <c r="AI158" i="11" s="1"/>
  <c r="AP156" i="11"/>
  <c r="AK156" i="11"/>
  <c r="AL157" i="11"/>
  <c r="O153" i="11"/>
  <c r="AJ156" i="11" s="1"/>
  <c r="M153" i="11"/>
  <c r="K153" i="11"/>
  <c r="I153" i="11"/>
  <c r="Y142" i="11"/>
  <c r="L377" i="10" l="1"/>
  <c r="P375" i="10"/>
  <c r="Y160" i="11"/>
  <c r="Y161" i="11" s="1"/>
  <c r="AM156" i="11"/>
  <c r="U164" i="11"/>
  <c r="AM167" i="11" s="1"/>
  <c r="M165" i="11"/>
  <c r="O165" i="11"/>
  <c r="AI167" i="11"/>
  <c r="M154" i="11"/>
  <c r="AJ167" i="11"/>
  <c r="Y154" i="11"/>
  <c r="AL156" i="11"/>
  <c r="O154" i="11"/>
  <c r="AI156" i="11"/>
  <c r="V224" i="11" l="1"/>
  <c r="U222" i="11"/>
  <c r="V222" i="11" s="1"/>
  <c r="U221" i="11"/>
  <c r="V221" i="11" s="1"/>
  <c r="U220" i="11"/>
  <c r="V220" i="11" s="1"/>
  <c r="U218" i="11"/>
  <c r="V218" i="11" s="1"/>
  <c r="U217" i="11"/>
  <c r="Y276" i="11"/>
  <c r="Y289" i="11" s="1"/>
  <c r="Y225" i="11"/>
  <c r="Z225" i="11" s="1"/>
  <c r="Y259" i="11"/>
  <c r="Y245" i="11"/>
  <c r="Y258" i="11" s="1"/>
  <c r="Y222" i="11"/>
  <c r="Z222" i="11" s="1"/>
  <c r="Y221" i="11"/>
  <c r="Z221" i="11" s="1"/>
  <c r="Y220" i="11"/>
  <c r="Z220" i="11" s="1"/>
  <c r="Y218" i="11"/>
  <c r="Z218" i="11" s="1"/>
  <c r="Y217" i="11"/>
  <c r="Y219" i="11"/>
  <c r="Z219" i="11" s="1"/>
  <c r="Y108" i="11"/>
  <c r="Y107" i="11"/>
  <c r="U107" i="11"/>
  <c r="X107" i="11"/>
  <c r="T96" i="11"/>
  <c r="U96" i="11" s="1"/>
  <c r="U143" i="11"/>
  <c r="Y135" i="11"/>
  <c r="Y139" i="11"/>
  <c r="Y137" i="11"/>
  <c r="Y132" i="11"/>
  <c r="Y133" i="11" s="1"/>
  <c r="Y125" i="11"/>
  <c r="Z179" i="11" s="1"/>
  <c r="Y123" i="11"/>
  <c r="Y121" i="11"/>
  <c r="Y164" i="11" s="1"/>
  <c r="AL55" i="18"/>
  <c r="Y37" i="11"/>
  <c r="Z77" i="11" s="1"/>
  <c r="Y36" i="11"/>
  <c r="Z76" i="11" s="1"/>
  <c r="Y34" i="11"/>
  <c r="Z70" i="11" s="1"/>
  <c r="Z73" i="11" s="1"/>
  <c r="Y33" i="11"/>
  <c r="Z69" i="11" s="1"/>
  <c r="Y31" i="11"/>
  <c r="Z67" i="11" s="1"/>
  <c r="Y30" i="11"/>
  <c r="Z66" i="11" s="1"/>
  <c r="Y29" i="11"/>
  <c r="Z65" i="11" s="1"/>
  <c r="Y28" i="11"/>
  <c r="Z64" i="11" s="1"/>
  <c r="Y27" i="11"/>
  <c r="Z63" i="11" s="1"/>
  <c r="Y26" i="11"/>
  <c r="Z61" i="11" s="1"/>
  <c r="Y25" i="11"/>
  <c r="Z62" i="11" s="1"/>
  <c r="Y24" i="11"/>
  <c r="Z60" i="11" s="1"/>
  <c r="Y23" i="11"/>
  <c r="Z59" i="11" s="1"/>
  <c r="Y22" i="11"/>
  <c r="Z58" i="11" s="1"/>
  <c r="Y20" i="11"/>
  <c r="Z56" i="11" s="1"/>
  <c r="BX55" i="10" s="1"/>
  <c r="Y18" i="11"/>
  <c r="Z54" i="11" s="1"/>
  <c r="Y16" i="11"/>
  <c r="Z52" i="11" s="1"/>
  <c r="Y14" i="11"/>
  <c r="Z50" i="11" s="1"/>
  <c r="Y10" i="11"/>
  <c r="Z46" i="11" s="1"/>
  <c r="Y6" i="11"/>
  <c r="Z43" i="11" s="1"/>
  <c r="AG6" i="24"/>
  <c r="AG8" i="24"/>
  <c r="AG15" i="24"/>
  <c r="AG20" i="24"/>
  <c r="AG21" i="24"/>
  <c r="AG22" i="24"/>
  <c r="AG25" i="24"/>
  <c r="AG26" i="24"/>
  <c r="AG38" i="24"/>
  <c r="AG39" i="24"/>
  <c r="AG40" i="24"/>
  <c r="AG41" i="24"/>
  <c r="AG44" i="24"/>
  <c r="AG45" i="24"/>
  <c r="AG47" i="24"/>
  <c r="AG48" i="24"/>
  <c r="AG51" i="24"/>
  <c r="AG222" i="24" s="1"/>
  <c r="AG54" i="24"/>
  <c r="AG55" i="24"/>
  <c r="AG60" i="24"/>
  <c r="AG62" i="24"/>
  <c r="AG66" i="24"/>
  <c r="AG67" i="24"/>
  <c r="AG75" i="24"/>
  <c r="AG76" i="24"/>
  <c r="AG71" i="24" s="1"/>
  <c r="AG85" i="24"/>
  <c r="AG93" i="24"/>
  <c r="AG96" i="24"/>
  <c r="AG99" i="24"/>
  <c r="Y136" i="12" s="1"/>
  <c r="AG100" i="24"/>
  <c r="AG101" i="24"/>
  <c r="AG102" i="24"/>
  <c r="Y137" i="12" s="1"/>
  <c r="AG103" i="24"/>
  <c r="Y138" i="12" s="1"/>
  <c r="AG104" i="24"/>
  <c r="Y139" i="12" s="1"/>
  <c r="AG110" i="24"/>
  <c r="AG111" i="24"/>
  <c r="AG113" i="24"/>
  <c r="AG114" i="24"/>
  <c r="AG117" i="24"/>
  <c r="AG121" i="24"/>
  <c r="AG123" i="24"/>
  <c r="AG124" i="24"/>
  <c r="AG130" i="24"/>
  <c r="AG133" i="24" s="1"/>
  <c r="Y130" i="12" s="1"/>
  <c r="AG139" i="24"/>
  <c r="Y132" i="12" s="1"/>
  <c r="AG141" i="24"/>
  <c r="AG142" i="24"/>
  <c r="AG143" i="24"/>
  <c r="AG145" i="24"/>
  <c r="AG150" i="24"/>
  <c r="AG151" i="24"/>
  <c r="AG153" i="24"/>
  <c r="AG154" i="24"/>
  <c r="AG166" i="24"/>
  <c r="AG167" i="24"/>
  <c r="AG168" i="24"/>
  <c r="AG172" i="24"/>
  <c r="AG173" i="24"/>
  <c r="AG178" i="24"/>
  <c r="AG179" i="24"/>
  <c r="AG181" i="24"/>
  <c r="Y149" i="12" s="1"/>
  <c r="AG182" i="24"/>
  <c r="AG187" i="24"/>
  <c r="AG189" i="24"/>
  <c r="AG192" i="24"/>
  <c r="AG198" i="24"/>
  <c r="Y159" i="12" s="1"/>
  <c r="AG201" i="24"/>
  <c r="Y161" i="12" s="1"/>
  <c r="AG203" i="24"/>
  <c r="Y160" i="12" s="1"/>
  <c r="AG205" i="24"/>
  <c r="Y164" i="12" s="1"/>
  <c r="AG217" i="24"/>
  <c r="AG220" i="24"/>
  <c r="AG226" i="24"/>
  <c r="AG227" i="24"/>
  <c r="AG228" i="24"/>
  <c r="AG31" i="24" s="1"/>
  <c r="AG236" i="24"/>
  <c r="AG239" i="24" s="1"/>
  <c r="AG237" i="24"/>
  <c r="AG243" i="24"/>
  <c r="AG260" i="24"/>
  <c r="AG268" i="24"/>
  <c r="AG274" i="24"/>
  <c r="AG289" i="24"/>
  <c r="AG292" i="24"/>
  <c r="AG295" i="24"/>
  <c r="AG297" i="24"/>
  <c r="AG307" i="24"/>
  <c r="AG309" i="24"/>
  <c r="AG316" i="24"/>
  <c r="AG327" i="24"/>
  <c r="AG330" i="24"/>
  <c r="AG332" i="24"/>
  <c r="AG334" i="24"/>
  <c r="AG337" i="24" s="1"/>
  <c r="AG339" i="24"/>
  <c r="AG340" i="24"/>
  <c r="AG341" i="24"/>
  <c r="AG347" i="24"/>
  <c r="AG351" i="24"/>
  <c r="AG359" i="24"/>
  <c r="Z53" i="11" l="1"/>
  <c r="Z68" i="11"/>
  <c r="AG23" i="24"/>
  <c r="V217" i="11"/>
  <c r="U104" i="11"/>
  <c r="Z47" i="11"/>
  <c r="Z55" i="11"/>
  <c r="Y101" i="11"/>
  <c r="Z217" i="11"/>
  <c r="Z239" i="11"/>
  <c r="Z235" i="11"/>
  <c r="Z102" i="11"/>
  <c r="Z188" i="11"/>
  <c r="Z180" i="11"/>
  <c r="Z238" i="11"/>
  <c r="BX45" i="10"/>
  <c r="Z51" i="11"/>
  <c r="Z84" i="11"/>
  <c r="Y166" i="11"/>
  <c r="Z177" i="11"/>
  <c r="Z182" i="11" s="1"/>
  <c r="Z237" i="11"/>
  <c r="AG27" i="24"/>
  <c r="AG46" i="24"/>
  <c r="AG300" i="24"/>
  <c r="AG18" i="24"/>
  <c r="AG29" i="24" s="1"/>
  <c r="AG49" i="24"/>
  <c r="AG118" i="24"/>
  <c r="AG127" i="24" s="1"/>
  <c r="Y144" i="12" s="1"/>
  <c r="AG234" i="24"/>
  <c r="AG343" i="24"/>
  <c r="AG354" i="24" s="1"/>
  <c r="AG32" i="24"/>
  <c r="AG170" i="24"/>
  <c r="Y147" i="12" s="1"/>
  <c r="AG148" i="24"/>
  <c r="Y131" i="12" s="1"/>
  <c r="AG106" i="24"/>
  <c r="Y140" i="12" s="1"/>
  <c r="Y141" i="12"/>
  <c r="AG74" i="24"/>
  <c r="AG313" i="24"/>
  <c r="AG320" i="24" s="1"/>
  <c r="AG204" i="24"/>
  <c r="Y162" i="12" s="1"/>
  <c r="Y163" i="12" s="1"/>
  <c r="Y165" i="12" s="1"/>
  <c r="AG190" i="24"/>
  <c r="AG175" i="24"/>
  <c r="Y148" i="12" s="1"/>
  <c r="AG157" i="24"/>
  <c r="Y133" i="12" s="1"/>
  <c r="Y165" i="11"/>
  <c r="Y237" i="11"/>
  <c r="Y238" i="11"/>
  <c r="Y147" i="11"/>
  <c r="Y168" i="11"/>
  <c r="Y239" i="11"/>
  <c r="Y102" i="11"/>
  <c r="Y15" i="11"/>
  <c r="Y145" i="11"/>
  <c r="Y17" i="11"/>
  <c r="Y32" i="11"/>
  <c r="Y235" i="11"/>
  <c r="Y19" i="11"/>
  <c r="Y143" i="11"/>
  <c r="Y144" i="11" s="1"/>
  <c r="Y90" i="11"/>
  <c r="Y234" i="11"/>
  <c r="Y11" i="11"/>
  <c r="Z234" i="11" l="1"/>
  <c r="Z187" i="11"/>
  <c r="Z178" i="11"/>
  <c r="Z186" i="11"/>
  <c r="Z49" i="11"/>
  <c r="Z200" i="11" s="1"/>
  <c r="Y8" i="11"/>
  <c r="Z90" i="11"/>
  <c r="Z174" i="11" s="1"/>
  <c r="Z101" i="11"/>
  <c r="AG35" i="24"/>
  <c r="Y143" i="12"/>
  <c r="AG33" i="24"/>
  <c r="AG323" i="24"/>
  <c r="Y134" i="12"/>
  <c r="AG283" i="24"/>
  <c r="AG285" i="24" s="1"/>
  <c r="AG195" i="24"/>
  <c r="Y154" i="12" s="1"/>
  <c r="Y153" i="12"/>
  <c r="Y142" i="12"/>
  <c r="AG356" i="24"/>
  <c r="AG159" i="24"/>
  <c r="AG184" i="24"/>
  <c r="Y150" i="12" s="1"/>
  <c r="Y151" i="12" s="1"/>
  <c r="Y174" i="11"/>
  <c r="Y193" i="11" s="1"/>
  <c r="X193" i="11" s="1"/>
  <c r="Y21" i="11"/>
  <c r="Z57" i="11" s="1"/>
  <c r="Z81" i="11" s="1"/>
  <c r="Y13" i="11"/>
  <c r="Z8" i="11" l="1"/>
  <c r="AG361" i="24"/>
  <c r="Y145" i="12"/>
  <c r="Y155" i="12"/>
  <c r="Y156" i="12" s="1"/>
  <c r="Y166" i="12" s="1"/>
  <c r="Y170" i="12" s="1"/>
  <c r="AG207" i="24"/>
  <c r="AT8" i="18"/>
  <c r="AF6" i="24"/>
  <c r="AF8" i="24"/>
  <c r="AF15" i="24"/>
  <c r="AF20" i="24"/>
  <c r="AF21" i="24"/>
  <c r="AF22" i="24"/>
  <c r="AF25" i="24"/>
  <c r="AF26" i="24"/>
  <c r="AF38" i="24"/>
  <c r="AF39" i="24"/>
  <c r="AF40" i="24"/>
  <c r="AF41" i="24"/>
  <c r="AF44" i="24"/>
  <c r="AF45" i="24"/>
  <c r="AF47" i="24"/>
  <c r="AF48" i="24"/>
  <c r="AF51" i="24"/>
  <c r="AF222" i="24" s="1"/>
  <c r="AF54" i="24"/>
  <c r="AF55" i="24"/>
  <c r="AF60" i="24"/>
  <c r="AF62" i="24"/>
  <c r="AF66" i="24"/>
  <c r="AF67" i="24"/>
  <c r="AF75" i="24"/>
  <c r="AF76" i="24"/>
  <c r="AF71" i="24" s="1"/>
  <c r="AF85" i="24"/>
  <c r="AF93" i="24"/>
  <c r="AF96" i="24"/>
  <c r="AF99" i="24"/>
  <c r="AF100" i="24"/>
  <c r="AF101" i="24"/>
  <c r="AF102" i="24"/>
  <c r="AF103" i="24"/>
  <c r="AF104" i="24"/>
  <c r="AF110" i="24"/>
  <c r="AF111" i="24"/>
  <c r="AF113" i="24"/>
  <c r="AF114" i="24"/>
  <c r="AF117" i="24"/>
  <c r="AF121" i="24"/>
  <c r="AF123" i="24"/>
  <c r="AF124" i="24"/>
  <c r="AF130" i="24"/>
  <c r="AF133" i="24" s="1"/>
  <c r="AF139" i="24"/>
  <c r="AF141" i="24"/>
  <c r="AF142" i="24"/>
  <c r="AF143" i="24"/>
  <c r="AF145" i="24"/>
  <c r="AF150" i="24"/>
  <c r="AF151" i="24"/>
  <c r="AF153" i="24"/>
  <c r="AF154" i="24"/>
  <c r="AF166" i="24"/>
  <c r="AF167" i="24"/>
  <c r="AF168" i="24"/>
  <c r="AF172" i="24"/>
  <c r="AF173" i="24"/>
  <c r="AF178" i="24"/>
  <c r="AF179" i="24"/>
  <c r="AF181" i="24"/>
  <c r="AF182" i="24"/>
  <c r="AF187" i="24"/>
  <c r="AF189" i="24"/>
  <c r="AF192" i="24"/>
  <c r="AF198" i="24"/>
  <c r="AF201" i="24"/>
  <c r="AF203" i="24"/>
  <c r="AF205" i="24"/>
  <c r="AF217" i="24"/>
  <c r="AF220" i="24"/>
  <c r="AF226" i="24"/>
  <c r="AF227" i="24"/>
  <c r="AF228" i="24"/>
  <c r="AF31" i="24" s="1"/>
  <c r="AF236" i="24"/>
  <c r="AF237" i="24"/>
  <c r="AF243" i="24"/>
  <c r="AF260" i="24"/>
  <c r="AF268" i="24"/>
  <c r="AF274" i="24"/>
  <c r="AF289" i="24"/>
  <c r="AF292" i="24" s="1"/>
  <c r="AF295" i="24"/>
  <c r="AF297" i="24"/>
  <c r="AF307" i="24"/>
  <c r="AF309" i="24"/>
  <c r="AF316" i="24"/>
  <c r="AF327" i="24"/>
  <c r="AF330" i="24" s="1"/>
  <c r="AF332" i="24"/>
  <c r="AF334" i="24"/>
  <c r="AF337" i="24" s="1"/>
  <c r="AF339" i="24"/>
  <c r="AF340" i="24"/>
  <c r="AF341" i="24"/>
  <c r="AF347" i="24"/>
  <c r="AF351" i="24"/>
  <c r="AF359" i="24"/>
  <c r="AF190" i="24" l="1"/>
  <c r="AF195" i="24" s="1"/>
  <c r="Z176" i="11"/>
  <c r="Z185" i="11"/>
  <c r="AF343" i="24"/>
  <c r="AF18" i="24"/>
  <c r="AF118" i="24"/>
  <c r="AF127" i="24" s="1"/>
  <c r="AF300" i="24"/>
  <c r="AF148" i="24"/>
  <c r="AF170" i="24"/>
  <c r="AF32" i="24"/>
  <c r="AF33" i="24" s="1"/>
  <c r="AF46" i="24"/>
  <c r="AF27" i="24"/>
  <c r="AF313" i="24"/>
  <c r="AF234" i="24"/>
  <c r="AF175" i="24"/>
  <c r="AF157" i="24"/>
  <c r="AF106" i="24"/>
  <c r="AF239" i="24"/>
  <c r="AF204" i="24"/>
  <c r="AF49" i="24"/>
  <c r="AF23" i="24"/>
  <c r="AF354" i="24"/>
  <c r="AF356" i="24" s="1"/>
  <c r="AF74" i="24"/>
  <c r="AF184" i="24" l="1"/>
  <c r="AF159" i="24"/>
  <c r="AF320" i="24"/>
  <c r="AF323" i="24" s="1"/>
  <c r="AF29" i="24"/>
  <c r="AF35" i="24" s="1"/>
  <c r="AF207" i="24"/>
  <c r="AF283" i="24"/>
  <c r="AF285" i="24" s="1"/>
  <c r="AF361" i="24" l="1"/>
  <c r="AB33" i="11"/>
  <c r="AC33" i="11" s="1"/>
  <c r="AD33" i="11" s="1"/>
  <c r="AI57" i="10"/>
  <c r="AI14" i="10"/>
  <c r="AH57" i="10"/>
  <c r="AH14" i="10"/>
  <c r="BV74" i="10"/>
  <c r="BV99" i="10" s="1"/>
  <c r="BE39" i="66"/>
  <c r="BE54" i="66" s="1"/>
  <c r="BE62" i="66" s="1"/>
  <c r="BD39" i="66"/>
  <c r="BD54" i="66" s="1"/>
  <c r="BD62" i="66" s="1"/>
  <c r="BC39" i="66"/>
  <c r="BC54" i="66" s="1"/>
  <c r="BC62" i="66" s="1"/>
  <c r="BB39" i="66"/>
  <c r="BB54" i="66" s="1"/>
  <c r="BB62" i="66" s="1"/>
  <c r="BX175" i="10"/>
  <c r="BY175" i="10"/>
  <c r="BZ175" i="10"/>
  <c r="CA175" i="10"/>
  <c r="CB175" i="10"/>
  <c r="CC175" i="10"/>
  <c r="BW72" i="10"/>
  <c r="BX72" i="10"/>
  <c r="BY72" i="10"/>
  <c r="BZ72" i="10"/>
  <c r="CA72" i="10"/>
  <c r="CB72" i="10"/>
  <c r="CC72" i="10"/>
  <c r="BY64" i="10"/>
  <c r="BA80" i="66" s="1"/>
  <c r="BZ64" i="10"/>
  <c r="BB80" i="66" s="1"/>
  <c r="CA64" i="10"/>
  <c r="BC80" i="66" s="1"/>
  <c r="CB64" i="10"/>
  <c r="BD80" i="66" s="1"/>
  <c r="BY16" i="10"/>
  <c r="BZ16" i="10"/>
  <c r="CA16" i="10"/>
  <c r="CB16" i="10"/>
  <c r="CC16" i="10"/>
  <c r="AB90" i="11"/>
  <c r="AB8" i="11" s="1"/>
  <c r="AI16" i="10" l="1"/>
  <c r="AH16" i="10"/>
  <c r="BZ11" i="10"/>
  <c r="BB5" i="66" s="1"/>
  <c r="BZ74" i="10"/>
  <c r="BZ99" i="10" s="1"/>
  <c r="AB174" i="11"/>
  <c r="AA173" i="11" l="1"/>
  <c r="AA203" i="11" s="1"/>
  <c r="AA215" i="11" s="1"/>
  <c r="AB173" i="11"/>
  <c r="AB203" i="11" s="1"/>
  <c r="AB215" i="11" s="1"/>
  <c r="AC173" i="11"/>
  <c r="AC203" i="11" s="1"/>
  <c r="AC215" i="11" s="1"/>
  <c r="AD173" i="11"/>
  <c r="AD203" i="11" s="1"/>
  <c r="AD215" i="11" s="1"/>
  <c r="AE173" i="11"/>
  <c r="AE203" i="11" s="1"/>
  <c r="AE215" i="11" s="1"/>
  <c r="Y173" i="11"/>
  <c r="X11" i="12" l="1"/>
  <c r="AT17" i="18" l="1"/>
  <c r="AT21" i="18"/>
  <c r="AT22" i="18"/>
  <c r="AT23" i="18"/>
  <c r="AT27" i="18"/>
  <c r="AT29" i="18"/>
  <c r="AT31" i="18"/>
  <c r="I143" i="83" l="1"/>
  <c r="K145" i="83"/>
  <c r="J145" i="83"/>
  <c r="L777" i="10" l="1"/>
  <c r="L790" i="10" s="1"/>
  <c r="P196" i="10"/>
  <c r="P650" i="10" l="1"/>
  <c r="O650" i="10"/>
  <c r="N650" i="10"/>
  <c r="P233" i="10" l="1"/>
  <c r="P228" i="10"/>
  <c r="O359" i="10" l="1"/>
  <c r="N361" i="10"/>
  <c r="N360" i="10"/>
  <c r="T174" i="11"/>
  <c r="T90" i="11" s="1"/>
  <c r="U90" i="11" s="1"/>
  <c r="AF59" i="18"/>
  <c r="AE59" i="18"/>
  <c r="AD59" i="18"/>
  <c r="AC59" i="18"/>
  <c r="AF57" i="18"/>
  <c r="AE57" i="18"/>
  <c r="AD57" i="18"/>
  <c r="AC57" i="18"/>
  <c r="AF55" i="18"/>
  <c r="AE55" i="18"/>
  <c r="AD55" i="18"/>
  <c r="AC55" i="18"/>
  <c r="X245" i="11"/>
  <c r="X258" i="11" s="1"/>
  <c r="X262" i="11" s="1"/>
  <c r="X276" i="11" s="1"/>
  <c r="X289" i="11" s="1"/>
  <c r="X273" i="11"/>
  <c r="X272" i="11"/>
  <c r="Y272" i="11" s="1"/>
  <c r="Z272" i="11" s="1"/>
  <c r="X270" i="11"/>
  <c r="Y270" i="11" s="1"/>
  <c r="Z270" i="11" s="1"/>
  <c r="X269" i="11"/>
  <c r="Y269" i="11" s="1"/>
  <c r="Z269" i="11" s="1"/>
  <c r="X268" i="11"/>
  <c r="Y268" i="11" s="1"/>
  <c r="Z268" i="11" s="1"/>
  <c r="X267" i="11"/>
  <c r="Y267" i="11" s="1"/>
  <c r="Z267" i="11" s="1"/>
  <c r="X266" i="11"/>
  <c r="Y266" i="11" s="1"/>
  <c r="Z266" i="11" s="1"/>
  <c r="X265" i="11"/>
  <c r="Y265" i="11" s="1"/>
  <c r="Z265" i="11" s="1"/>
  <c r="X264" i="11"/>
  <c r="Y264" i="11" s="1"/>
  <c r="Z264" i="11" s="1"/>
  <c r="X259" i="11"/>
  <c r="X242" i="11"/>
  <c r="X239" i="11"/>
  <c r="X238" i="11"/>
  <c r="X237" i="11"/>
  <c r="X236" i="11"/>
  <c r="X235" i="11"/>
  <c r="X234" i="11"/>
  <c r="T102" i="11"/>
  <c r="X102" i="11"/>
  <c r="X108" i="11"/>
  <c r="X224" i="11"/>
  <c r="Y224" i="11" s="1"/>
  <c r="T101" i="11"/>
  <c r="T105" i="11" s="1"/>
  <c r="T107" i="11"/>
  <c r="AB59" i="18"/>
  <c r="AA59" i="18"/>
  <c r="Z59" i="18"/>
  <c r="Y59" i="18"/>
  <c r="AB57" i="18"/>
  <c r="AA57" i="18"/>
  <c r="Z57" i="18"/>
  <c r="Y57" i="18"/>
  <c r="AB55" i="18"/>
  <c r="AA55" i="18"/>
  <c r="Z55" i="18"/>
  <c r="Y55" i="18"/>
  <c r="AJ59" i="18"/>
  <c r="AI59" i="18"/>
  <c r="AM60" i="18" s="1"/>
  <c r="AH59" i="18"/>
  <c r="AL60" i="18" s="1"/>
  <c r="AG59" i="18"/>
  <c r="AK57" i="18"/>
  <c r="AJ57" i="18"/>
  <c r="AJ58" i="18" s="1"/>
  <c r="AI57" i="18"/>
  <c r="AM58" i="18" s="1"/>
  <c r="AH57" i="18"/>
  <c r="AL58" i="18" s="1"/>
  <c r="AK59" i="18"/>
  <c r="AG57" i="18"/>
  <c r="AG55" i="18"/>
  <c r="AI55" i="18"/>
  <c r="AM56" i="18" s="1"/>
  <c r="AJ55" i="18"/>
  <c r="AK55" i="18"/>
  <c r="AH55" i="18"/>
  <c r="AL56" i="18" s="1"/>
  <c r="CY176" i="13"/>
  <c r="CY118" i="13"/>
  <c r="Y91" i="11" l="1"/>
  <c r="V90" i="11"/>
  <c r="AI58" i="18"/>
  <c r="X241" i="11"/>
  <c r="Z224" i="11"/>
  <c r="AK56" i="18"/>
  <c r="AC60" i="18"/>
  <c r="AK58" i="18"/>
  <c r="AE56" i="18"/>
  <c r="AH58" i="18"/>
  <c r="X112" i="11"/>
  <c r="AD58" i="18"/>
  <c r="AC56" i="18"/>
  <c r="AE58" i="18"/>
  <c r="AH60" i="18"/>
  <c r="AF58" i="18"/>
  <c r="AG56" i="18"/>
  <c r="AD60" i="18"/>
  <c r="AK60" i="18"/>
  <c r="AJ56" i="18"/>
  <c r="P359" i="10"/>
  <c r="AF60" i="18"/>
  <c r="AF56" i="18"/>
  <c r="X271" i="11"/>
  <c r="X216" i="11"/>
  <c r="X254" i="11" s="1"/>
  <c r="AC58" i="18"/>
  <c r="AD56" i="18"/>
  <c r="AE60" i="18"/>
  <c r="O360" i="10"/>
  <c r="AI60" i="18"/>
  <c r="AJ60" i="18"/>
  <c r="AG58" i="18"/>
  <c r="AH56" i="18"/>
  <c r="AI56" i="18"/>
  <c r="AG60" i="18"/>
  <c r="CZ270" i="13"/>
  <c r="T179" i="11"/>
  <c r="T177" i="11"/>
  <c r="X179" i="11"/>
  <c r="Y179" i="11" s="1"/>
  <c r="X177" i="11"/>
  <c r="Y177" i="11" s="1"/>
  <c r="Y195" i="11" s="1"/>
  <c r="X195" i="11" s="1"/>
  <c r="X196" i="11" s="1"/>
  <c r="X91" i="11"/>
  <c r="X174" i="11"/>
  <c r="X194" i="11" s="1"/>
  <c r="X37" i="11"/>
  <c r="X36" i="11"/>
  <c r="X34" i="11"/>
  <c r="Y70" i="11" s="1"/>
  <c r="X33" i="11"/>
  <c r="X31" i="11"/>
  <c r="X30" i="11"/>
  <c r="X29" i="11"/>
  <c r="Y65" i="11" s="1"/>
  <c r="X28" i="11"/>
  <c r="X27" i="11"/>
  <c r="X26" i="11"/>
  <c r="X25" i="11"/>
  <c r="X24" i="11"/>
  <c r="X23" i="11"/>
  <c r="X22" i="11"/>
  <c r="X20" i="11"/>
  <c r="X18" i="11"/>
  <c r="X16" i="11"/>
  <c r="Y52" i="11" s="1"/>
  <c r="X14" i="11"/>
  <c r="Y50" i="11" s="1"/>
  <c r="X10" i="11"/>
  <c r="X8" i="11"/>
  <c r="X6" i="11"/>
  <c r="Y43" i="11" s="1"/>
  <c r="Z45" i="11" s="1"/>
  <c r="U177" i="11" l="1"/>
  <c r="Z72" i="11"/>
  <c r="Y73" i="11"/>
  <c r="V174" i="11"/>
  <c r="Z175" i="11" s="1"/>
  <c r="Z91" i="11"/>
  <c r="Z112" i="11"/>
  <c r="Z241" i="11"/>
  <c r="Z226" i="11"/>
  <c r="Z104" i="11"/>
  <c r="Z216" i="11"/>
  <c r="Z254" i="11" s="1"/>
  <c r="Y51" i="11"/>
  <c r="X58" i="11"/>
  <c r="AB58" i="11" s="1"/>
  <c r="BZ53" i="10" s="1"/>
  <c r="Y58" i="11"/>
  <c r="Y187" i="11"/>
  <c r="AC177" i="11"/>
  <c r="Y185" i="11"/>
  <c r="Y53" i="11"/>
  <c r="X59" i="11"/>
  <c r="AB59" i="11" s="1"/>
  <c r="BZ54" i="10" s="1"/>
  <c r="Y59" i="11"/>
  <c r="AC59" i="11" s="1"/>
  <c r="CA54" i="10" s="1"/>
  <c r="X63" i="11"/>
  <c r="AB63" i="11" s="1"/>
  <c r="BZ59" i="10" s="1"/>
  <c r="Y63" i="11"/>
  <c r="X67" i="11"/>
  <c r="Y67" i="11"/>
  <c r="Y68" i="11" s="1"/>
  <c r="X77" i="11"/>
  <c r="Y77" i="11"/>
  <c r="Y188" i="11"/>
  <c r="Y182" i="11"/>
  <c r="Y186" i="11" s="1"/>
  <c r="X61" i="11"/>
  <c r="AB61" i="11" s="1"/>
  <c r="AB26" i="11" s="1"/>
  <c r="Y61" i="11"/>
  <c r="X76" i="11"/>
  <c r="Y76" i="11"/>
  <c r="Y271" i="11"/>
  <c r="Z271" i="11" s="1"/>
  <c r="X54" i="11"/>
  <c r="Y54" i="11"/>
  <c r="Y55" i="11" s="1"/>
  <c r="X60" i="11"/>
  <c r="AB60" i="11" s="1"/>
  <c r="AB24" i="11" s="1"/>
  <c r="Y60" i="11"/>
  <c r="X64" i="11"/>
  <c r="AB64" i="11" s="1"/>
  <c r="AB28" i="11" s="1"/>
  <c r="Y64" i="11"/>
  <c r="X69" i="11"/>
  <c r="Y69" i="11"/>
  <c r="X66" i="11"/>
  <c r="Y66" i="11"/>
  <c r="Y84" i="11" s="1"/>
  <c r="Y112" i="11"/>
  <c r="Y104" i="11"/>
  <c r="Y241" i="11"/>
  <c r="Y226" i="11"/>
  <c r="Y216" i="11"/>
  <c r="X46" i="11"/>
  <c r="Y46" i="11"/>
  <c r="Y47" i="11" s="1"/>
  <c r="X56" i="11"/>
  <c r="AB56" i="11" s="1"/>
  <c r="AB20" i="11" s="1"/>
  <c r="Y56" i="11"/>
  <c r="AC56" i="11" s="1"/>
  <c r="CA55" i="10" s="1"/>
  <c r="X62" i="11"/>
  <c r="AB62" i="11" s="1"/>
  <c r="BZ58" i="10" s="1"/>
  <c r="Y62" i="11"/>
  <c r="AB175" i="11"/>
  <c r="Y176" i="11"/>
  <c r="AB177" i="11"/>
  <c r="U195" i="11"/>
  <c r="BR13" i="10"/>
  <c r="AT7" i="66" s="1"/>
  <c r="U179" i="11"/>
  <c r="BR15" i="10"/>
  <c r="AT8" i="66" s="1"/>
  <c r="X19" i="11"/>
  <c r="T182" i="11"/>
  <c r="T92" i="11" s="1"/>
  <c r="U92" i="11" s="1"/>
  <c r="U128" i="11" s="1"/>
  <c r="X256" i="11"/>
  <c r="X250" i="11"/>
  <c r="X111" i="11"/>
  <c r="X255" i="11"/>
  <c r="X249" i="11"/>
  <c r="X248" i="11"/>
  <c r="X252" i="11"/>
  <c r="X251" i="11"/>
  <c r="X253" i="11"/>
  <c r="X247" i="11"/>
  <c r="X263" i="11"/>
  <c r="X246" i="11"/>
  <c r="X15" i="11"/>
  <c r="X43" i="11"/>
  <c r="AB43" i="11" s="1"/>
  <c r="AB6" i="11" s="1"/>
  <c r="X17" i="11"/>
  <c r="X32" i="11"/>
  <c r="X50" i="11"/>
  <c r="X52" i="11"/>
  <c r="X11" i="11"/>
  <c r="X13" i="11" s="1"/>
  <c r="X70" i="11"/>
  <c r="X180" i="11"/>
  <c r="X182" i="11"/>
  <c r="X178" i="11"/>
  <c r="Y72" i="11" l="1"/>
  <c r="X73" i="11"/>
  <c r="Z111" i="11"/>
  <c r="Z246" i="11"/>
  <c r="Z253" i="11"/>
  <c r="Z252" i="11"/>
  <c r="Z248" i="11"/>
  <c r="Z255" i="11"/>
  <c r="Z251" i="11"/>
  <c r="Z250" i="11"/>
  <c r="Z249" i="11"/>
  <c r="Z247" i="11"/>
  <c r="Z256" i="11"/>
  <c r="Y199" i="11"/>
  <c r="Y197" i="11" s="1"/>
  <c r="Y198" i="11" s="1"/>
  <c r="AB22" i="11"/>
  <c r="BZ60" i="10"/>
  <c r="BZ55" i="10"/>
  <c r="AH55" i="10" s="1"/>
  <c r="AB25" i="11"/>
  <c r="AB27" i="11"/>
  <c r="AB23" i="11"/>
  <c r="AC23" i="11" s="1"/>
  <c r="BZ56" i="10"/>
  <c r="BC71" i="66"/>
  <c r="AC20" i="11"/>
  <c r="Y49" i="11"/>
  <c r="Y200" i="11" s="1"/>
  <c r="Y45" i="11"/>
  <c r="Y273" i="11"/>
  <c r="Z273" i="11" s="1"/>
  <c r="Y256" i="11"/>
  <c r="Y251" i="11"/>
  <c r="Y246" i="11"/>
  <c r="Y252" i="11"/>
  <c r="Y250" i="11"/>
  <c r="Y247" i="11"/>
  <c r="Y248" i="11"/>
  <c r="Y111" i="11"/>
  <c r="Y253" i="11"/>
  <c r="Y255" i="11"/>
  <c r="Y249" i="11"/>
  <c r="AC178" i="11"/>
  <c r="CA13" i="10"/>
  <c r="BC7" i="66" s="1"/>
  <c r="Y263" i="11"/>
  <c r="Y254" i="11"/>
  <c r="Y178" i="11"/>
  <c r="BS15" i="10"/>
  <c r="AU8" i="66" s="1"/>
  <c r="Y180" i="11"/>
  <c r="BB76" i="66"/>
  <c r="BZ9" i="10"/>
  <c r="AB47" i="11"/>
  <c r="AB46" i="11" s="1"/>
  <c r="AB10" i="11" s="1"/>
  <c r="AB92" i="11"/>
  <c r="AB52" i="11"/>
  <c r="AB54" i="11"/>
  <c r="AH54" i="10"/>
  <c r="BZ13" i="10"/>
  <c r="BB7" i="66" s="1"/>
  <c r="AB178" i="11"/>
  <c r="AC123" i="11"/>
  <c r="X188" i="11"/>
  <c r="U182" i="11"/>
  <c r="X53" i="11"/>
  <c r="BS13" i="10"/>
  <c r="AU7" i="66" s="1"/>
  <c r="X47" i="11"/>
  <c r="X290" i="11"/>
  <c r="X295" i="11"/>
  <c r="X291" i="11"/>
  <c r="X293" i="11"/>
  <c r="X297" i="11"/>
  <c r="X294" i="11"/>
  <c r="X292" i="11"/>
  <c r="X296" i="11"/>
  <c r="X300" i="11"/>
  <c r="X298" i="11"/>
  <c r="X299" i="11"/>
  <c r="X185" i="11"/>
  <c r="X55" i="11"/>
  <c r="X68" i="11"/>
  <c r="X51" i="11"/>
  <c r="AB51" i="11" s="1"/>
  <c r="AB50" i="11" s="1"/>
  <c r="X186" i="11"/>
  <c r="X187" i="11"/>
  <c r="X92" i="11"/>
  <c r="Y92" i="11" s="1"/>
  <c r="Z92" i="11" s="1"/>
  <c r="X183" i="11"/>
  <c r="X21" i="11"/>
  <c r="Y57" i="11" s="1"/>
  <c r="BV13" i="10"/>
  <c r="AX7" i="66" s="1"/>
  <c r="BW13" i="10"/>
  <c r="AY7" i="66" s="1"/>
  <c r="Z94" i="11" l="1"/>
  <c r="Z100" i="11"/>
  <c r="Y298" i="11"/>
  <c r="Z263" i="11"/>
  <c r="Z300" i="11" s="1"/>
  <c r="BB71" i="66"/>
  <c r="X199" i="11"/>
  <c r="X197" i="11" s="1"/>
  <c r="X198" i="11" s="1"/>
  <c r="Y81" i="11"/>
  <c r="BC43" i="66"/>
  <c r="Y290" i="11"/>
  <c r="Y299" i="11"/>
  <c r="Y291" i="11"/>
  <c r="Y296" i="11"/>
  <c r="Y293" i="11"/>
  <c r="Y297" i="11"/>
  <c r="Y295" i="11"/>
  <c r="Y294" i="11"/>
  <c r="Y292" i="11"/>
  <c r="Y94" i="11"/>
  <c r="Y128" i="11"/>
  <c r="Y100" i="11"/>
  <c r="Y97" i="11" s="1"/>
  <c r="Y300" i="11"/>
  <c r="Y183" i="11"/>
  <c r="AB14" i="11"/>
  <c r="BZ45" i="10"/>
  <c r="AB11" i="11"/>
  <c r="BZ29" i="10"/>
  <c r="BZ23" i="10" s="1"/>
  <c r="AB48" i="11"/>
  <c r="AB57" i="11"/>
  <c r="AB65" i="11" s="1"/>
  <c r="X94" i="11"/>
  <c r="BV177" i="10"/>
  <c r="BV178" i="10" s="1"/>
  <c r="AB7" i="11"/>
  <c r="BB64" i="66"/>
  <c r="BB9" i="66"/>
  <c r="BZ49" i="10"/>
  <c r="AB18" i="11"/>
  <c r="BZ47" i="10"/>
  <c r="AB16" i="11"/>
  <c r="BZ177" i="10"/>
  <c r="BZ12" i="10"/>
  <c r="AB9" i="11"/>
  <c r="AB93" i="11"/>
  <c r="AB182" i="11"/>
  <c r="AB94" i="11"/>
  <c r="AX43" i="66"/>
  <c r="BB43" i="66"/>
  <c r="X57" i="11"/>
  <c r="X49" i="11"/>
  <c r="X200" i="11" s="1"/>
  <c r="X93" i="11"/>
  <c r="AY43" i="66"/>
  <c r="K60" i="82"/>
  <c r="K61" i="82"/>
  <c r="K62" i="82"/>
  <c r="K63" i="82"/>
  <c r="K64" i="82"/>
  <c r="K65" i="82"/>
  <c r="K66" i="82"/>
  <c r="K67" i="82"/>
  <c r="K68" i="82"/>
  <c r="J68" i="82"/>
  <c r="J61" i="82"/>
  <c r="J62" i="82"/>
  <c r="J63" i="82"/>
  <c r="J64" i="82"/>
  <c r="J65" i="82"/>
  <c r="J66" i="82"/>
  <c r="J67" i="82"/>
  <c r="J60" i="82"/>
  <c r="I61" i="82"/>
  <c r="I62" i="82"/>
  <c r="I63" i="82"/>
  <c r="I64" i="82"/>
  <c r="I65" i="82"/>
  <c r="I66" i="82"/>
  <c r="I67" i="82"/>
  <c r="I68" i="82"/>
  <c r="I60" i="82"/>
  <c r="G69" i="82"/>
  <c r="H69" i="82"/>
  <c r="K691" i="10"/>
  <c r="J691" i="10"/>
  <c r="L690" i="10"/>
  <c r="L691" i="10" s="1"/>
  <c r="K592" i="10"/>
  <c r="L592" i="10"/>
  <c r="J592" i="10"/>
  <c r="O195" i="10"/>
  <c r="W8" i="4"/>
  <c r="Z290" i="11" l="1"/>
  <c r="Z297" i="11"/>
  <c r="Z292" i="11"/>
  <c r="Z294" i="11"/>
  <c r="Z296" i="11"/>
  <c r="Z291" i="11"/>
  <c r="Z299" i="11"/>
  <c r="Z293" i="11"/>
  <c r="Z295" i="11"/>
  <c r="Z298" i="11"/>
  <c r="X65" i="11"/>
  <c r="X84" i="11" s="1"/>
  <c r="AB84" i="11" s="1"/>
  <c r="AB66" i="11" s="1"/>
  <c r="AB67" i="11" s="1"/>
  <c r="BZ178" i="10"/>
  <c r="Y150" i="11"/>
  <c r="Y171" i="11"/>
  <c r="BB65" i="66"/>
  <c r="BB66" i="66" s="1"/>
  <c r="BB69" i="66"/>
  <c r="BB109" i="66" s="1"/>
  <c r="BZ50" i="10"/>
  <c r="AB12" i="11"/>
  <c r="AB13" i="11"/>
  <c r="AB21" i="11"/>
  <c r="AB29" i="11" s="1"/>
  <c r="BB68" i="66"/>
  <c r="BB108" i="66" s="1"/>
  <c r="BZ48" i="10"/>
  <c r="BZ46" i="10"/>
  <c r="BB67" i="66"/>
  <c r="BB110" i="66" s="1"/>
  <c r="AB183" i="11"/>
  <c r="AB179" i="11"/>
  <c r="BZ40" i="10"/>
  <c r="BZ51" i="10"/>
  <c r="BZ52" i="10" s="1"/>
  <c r="BZ61" i="10"/>
  <c r="AB17" i="11"/>
  <c r="BB6" i="66"/>
  <c r="AB19" i="11"/>
  <c r="AB15" i="11"/>
  <c r="X81" i="11"/>
  <c r="P195" i="10"/>
  <c r="O361" i="10"/>
  <c r="I69" i="82"/>
  <c r="J69" i="82"/>
  <c r="K69" i="82"/>
  <c r="O352" i="10"/>
  <c r="P352" i="10" s="1"/>
  <c r="N351" i="10"/>
  <c r="M354" i="10"/>
  <c r="L203" i="10"/>
  <c r="M204" i="10" s="1"/>
  <c r="M107" i="11"/>
  <c r="M518" i="10"/>
  <c r="L519" i="10"/>
  <c r="L527" i="10" s="1"/>
  <c r="L535" i="10" s="1"/>
  <c r="L517" i="10"/>
  <c r="L525" i="10" s="1"/>
  <c r="L533" i="10" s="1"/>
  <c r="L181" i="10"/>
  <c r="L180" i="10" s="1"/>
  <c r="L188" i="10"/>
  <c r="L190" i="10" s="1"/>
  <c r="L231" i="10"/>
  <c r="M596" i="10"/>
  <c r="M597" i="10"/>
  <c r="M565" i="10"/>
  <c r="M567" i="10"/>
  <c r="M568" i="10"/>
  <c r="M569" i="10"/>
  <c r="M570" i="10"/>
  <c r="W37" i="11"/>
  <c r="W36" i="11"/>
  <c r="W34" i="11"/>
  <c r="W33" i="11"/>
  <c r="W31" i="11"/>
  <c r="W30" i="11"/>
  <c r="W29" i="11"/>
  <c r="W28" i="11"/>
  <c r="W27" i="11"/>
  <c r="W26" i="11"/>
  <c r="W25" i="11"/>
  <c r="W24" i="11"/>
  <c r="W23" i="11"/>
  <c r="W22" i="11"/>
  <c r="W20" i="11"/>
  <c r="W18" i="11"/>
  <c r="W16" i="11"/>
  <c r="W14" i="11"/>
  <c r="W10" i="11"/>
  <c r="W6" i="11"/>
  <c r="M15" i="10"/>
  <c r="N8" i="4" s="1"/>
  <c r="AN8" i="4" s="1"/>
  <c r="U15" i="10"/>
  <c r="M177" i="10"/>
  <c r="M232" i="10"/>
  <c r="M233" i="10" s="1"/>
  <c r="M218" i="10"/>
  <c r="M13" i="10"/>
  <c r="N7" i="4" s="1"/>
  <c r="AN7" i="4" s="1"/>
  <c r="U13" i="10"/>
  <c r="W259" i="11"/>
  <c r="W207" i="11"/>
  <c r="W208" i="11"/>
  <c r="W209" i="11"/>
  <c r="W210" i="11"/>
  <c r="W211" i="11"/>
  <c r="W212" i="11"/>
  <c r="W213" i="11"/>
  <c r="W108" i="11" s="1"/>
  <c r="W206" i="11"/>
  <c r="I39" i="66"/>
  <c r="I54" i="66" s="1"/>
  <c r="I62" i="66" s="1"/>
  <c r="K38" i="38"/>
  <c r="K37" i="38"/>
  <c r="K35" i="38"/>
  <c r="K30" i="38"/>
  <c r="K21" i="38"/>
  <c r="D552" i="10"/>
  <c r="B552" i="10"/>
  <c r="M544" i="10"/>
  <c r="M552" i="10" s="1"/>
  <c r="M545" i="10"/>
  <c r="M550" i="10"/>
  <c r="D550" i="10"/>
  <c r="D558" i="10" s="1"/>
  <c r="B550" i="10"/>
  <c r="B558" i="10" s="1"/>
  <c r="M521" i="10"/>
  <c r="M524" i="10"/>
  <c r="M532" i="10" s="1"/>
  <c r="H508" i="10"/>
  <c r="D508" i="10"/>
  <c r="B508" i="10"/>
  <c r="M500" i="10"/>
  <c r="M508" i="10" s="1"/>
  <c r="L379" i="10"/>
  <c r="D512" i="10"/>
  <c r="B512" i="10"/>
  <c r="K504" i="10"/>
  <c r="K561" i="10" s="1"/>
  <c r="L504" i="10"/>
  <c r="J504" i="10"/>
  <c r="J561" i="10" s="1"/>
  <c r="I504" i="10"/>
  <c r="H504" i="10"/>
  <c r="G504" i="10"/>
  <c r="BB104" i="66" l="1"/>
  <c r="AB70" i="11"/>
  <c r="AB68" i="11"/>
  <c r="AB80" i="11" s="1"/>
  <c r="BZ62" i="10"/>
  <c r="BZ63" i="10" s="1"/>
  <c r="BZ65" i="10" s="1"/>
  <c r="BZ67" i="10" s="1"/>
  <c r="AB30" i="11"/>
  <c r="BZ15" i="10"/>
  <c r="BB8" i="66" s="1"/>
  <c r="AB180" i="11"/>
  <c r="BB78" i="66"/>
  <c r="BB103" i="66"/>
  <c r="BB70" i="66"/>
  <c r="BB72" i="66" s="1"/>
  <c r="P361" i="10"/>
  <c r="W32" i="11"/>
  <c r="K39" i="38"/>
  <c r="L512" i="10"/>
  <c r="H8" i="66"/>
  <c r="L232" i="10"/>
  <c r="H14" i="66" s="1"/>
  <c r="M566" i="10"/>
  <c r="W19" i="11"/>
  <c r="L235" i="10"/>
  <c r="M558" i="10"/>
  <c r="K512" i="10"/>
  <c r="L561" i="10"/>
  <c r="W11" i="11"/>
  <c r="W13" i="11" s="1"/>
  <c r="W15" i="11"/>
  <c r="W17" i="11"/>
  <c r="H512" i="10"/>
  <c r="I512" i="10"/>
  <c r="M525" i="10"/>
  <c r="M533" i="10" s="1"/>
  <c r="K36" i="38"/>
  <c r="K6" i="38" s="1"/>
  <c r="BB74" i="66" l="1"/>
  <c r="BB105" i="66"/>
  <c r="BB77" i="66"/>
  <c r="BB79" i="66"/>
  <c r="BB111" i="66" s="1"/>
  <c r="AB31" i="11"/>
  <c r="BZ69" i="10"/>
  <c r="AB71" i="11"/>
  <c r="W21" i="11"/>
  <c r="L233" i="10"/>
  <c r="L236" i="10"/>
  <c r="H16" i="66"/>
  <c r="H59" i="66" s="1"/>
  <c r="BB81" i="66" l="1"/>
  <c r="BB106" i="66" s="1"/>
  <c r="AB34" i="11"/>
  <c r="AB32" i="11"/>
  <c r="M503" i="10"/>
  <c r="M511" i="10" s="1"/>
  <c r="M414" i="10"/>
  <c r="M413" i="10"/>
  <c r="M412" i="10"/>
  <c r="M411" i="10"/>
  <c r="M410" i="10"/>
  <c r="M409" i="10"/>
  <c r="M408" i="10"/>
  <c r="M407" i="10"/>
  <c r="M406" i="10"/>
  <c r="M390" i="10"/>
  <c r="M504" i="10" s="1"/>
  <c r="M529" i="10" s="1"/>
  <c r="M537" i="10" s="1"/>
  <c r="M502" i="10"/>
  <c r="M389" i="10"/>
  <c r="M388" i="10"/>
  <c r="M462" i="10" s="1"/>
  <c r="M387" i="10"/>
  <c r="M461" i="10" s="1"/>
  <c r="M472" i="10" s="1"/>
  <c r="N472" i="10" s="1"/>
  <c r="M386" i="10"/>
  <c r="M397" i="10" s="1"/>
  <c r="M385" i="10"/>
  <c r="M492" i="10" s="1"/>
  <c r="M384" i="10"/>
  <c r="M491" i="10" s="1"/>
  <c r="M383" i="10"/>
  <c r="M457" i="10" s="1"/>
  <c r="M382" i="10"/>
  <c r="M221" i="10"/>
  <c r="M201" i="10"/>
  <c r="M371" i="10" s="1"/>
  <c r="M235" i="10"/>
  <c r="M237" i="10" s="1"/>
  <c r="AR31" i="18"/>
  <c r="AS31" i="18" s="1"/>
  <c r="AR29" i="18"/>
  <c r="AS29" i="18" s="1"/>
  <c r="AR27" i="18"/>
  <c r="AS27" i="18" s="1"/>
  <c r="AR23" i="18"/>
  <c r="AS23" i="18" s="1"/>
  <c r="AR22" i="18"/>
  <c r="AS22" i="18" s="1"/>
  <c r="AR17" i="18"/>
  <c r="AS17" i="18" s="1"/>
  <c r="AR9" i="18"/>
  <c r="M179" i="10"/>
  <c r="M74" i="10"/>
  <c r="J359" i="24"/>
  <c r="J222" i="12" s="1"/>
  <c r="J351" i="24"/>
  <c r="J218" i="12" s="1"/>
  <c r="J347" i="24"/>
  <c r="J217" i="12" s="1"/>
  <c r="J341" i="24"/>
  <c r="J340" i="24"/>
  <c r="J339" i="24"/>
  <c r="J334" i="24"/>
  <c r="J337" i="24" s="1"/>
  <c r="J215" i="12" s="1"/>
  <c r="J332" i="24"/>
  <c r="J213" i="12" s="1"/>
  <c r="J327" i="24"/>
  <c r="J330" i="24" s="1"/>
  <c r="J214" i="12" s="1"/>
  <c r="J316" i="24"/>
  <c r="J309" i="24"/>
  <c r="J307" i="24"/>
  <c r="J297" i="24"/>
  <c r="J295" i="24"/>
  <c r="J289" i="24"/>
  <c r="J292" i="24" s="1"/>
  <c r="J274" i="24"/>
  <c r="J268" i="24"/>
  <c r="J200" i="12" s="1"/>
  <c r="J260" i="24"/>
  <c r="J201" i="12" s="1"/>
  <c r="J243" i="24"/>
  <c r="J237" i="24"/>
  <c r="J236" i="24"/>
  <c r="J228" i="24"/>
  <c r="J31" i="24" s="1"/>
  <c r="J33" i="12" s="1"/>
  <c r="J227" i="24"/>
  <c r="J226" i="24"/>
  <c r="J220" i="24"/>
  <c r="J205" i="24"/>
  <c r="J164" i="12" s="1"/>
  <c r="J203" i="24"/>
  <c r="J160" i="12" s="1"/>
  <c r="J201" i="24"/>
  <c r="J161" i="12" s="1"/>
  <c r="J198" i="24"/>
  <c r="J159" i="12" s="1"/>
  <c r="J194" i="24"/>
  <c r="J192" i="24"/>
  <c r="J189" i="24"/>
  <c r="J187" i="24"/>
  <c r="J182" i="24"/>
  <c r="J181" i="24"/>
  <c r="J179" i="24"/>
  <c r="J178" i="24"/>
  <c r="J173" i="24"/>
  <c r="J172" i="24"/>
  <c r="J168" i="24"/>
  <c r="J167" i="24"/>
  <c r="J166" i="24"/>
  <c r="J155" i="24"/>
  <c r="J154" i="24"/>
  <c r="J153" i="24"/>
  <c r="J152" i="24"/>
  <c r="J151" i="24"/>
  <c r="J150" i="24"/>
  <c r="J145" i="24"/>
  <c r="J143" i="24"/>
  <c r="J142" i="24"/>
  <c r="J141" i="24"/>
  <c r="J139" i="24"/>
  <c r="J132" i="12" s="1"/>
  <c r="J130" i="24"/>
  <c r="J133" i="24" s="1"/>
  <c r="J130" i="12" s="1"/>
  <c r="J124" i="24"/>
  <c r="J123" i="24"/>
  <c r="J121" i="24"/>
  <c r="J117" i="24"/>
  <c r="J114" i="24"/>
  <c r="J108" i="12" s="1"/>
  <c r="J113" i="24"/>
  <c r="J111" i="24"/>
  <c r="J110" i="24"/>
  <c r="J141" i="12" s="1"/>
  <c r="J104" i="24"/>
  <c r="J139" i="12" s="1"/>
  <c r="J103" i="24"/>
  <c r="J138" i="12" s="1"/>
  <c r="J102" i="24"/>
  <c r="J137" i="12" s="1"/>
  <c r="J101" i="24"/>
  <c r="J100" i="24"/>
  <c r="J99" i="24"/>
  <c r="J136" i="12" s="1"/>
  <c r="J76" i="24"/>
  <c r="J71" i="24" s="1"/>
  <c r="J67" i="12" s="1"/>
  <c r="J75" i="24"/>
  <c r="J67" i="24"/>
  <c r="J66" i="24"/>
  <c r="J62" i="24"/>
  <c r="J60" i="24"/>
  <c r="J56" i="12" s="1"/>
  <c r="J55" i="24"/>
  <c r="J54" i="24"/>
  <c r="J53" i="12" s="1"/>
  <c r="I79" i="66" s="1"/>
  <c r="J51" i="24"/>
  <c r="J222" i="24" s="1"/>
  <c r="J48" i="24"/>
  <c r="J49" i="12" s="1"/>
  <c r="M60" i="10" s="1"/>
  <c r="J47" i="24"/>
  <c r="J48" i="12" s="1"/>
  <c r="M59" i="10" s="1"/>
  <c r="J45" i="24"/>
  <c r="J44" i="12" s="1"/>
  <c r="M57" i="10" s="1"/>
  <c r="J44" i="24"/>
  <c r="J42" i="24"/>
  <c r="J38" i="12" s="1"/>
  <c r="J41" i="24"/>
  <c r="J42" i="12" s="1"/>
  <c r="J40" i="24"/>
  <c r="J41" i="12" s="1"/>
  <c r="J39" i="24"/>
  <c r="J40" i="12" s="1"/>
  <c r="J38" i="24"/>
  <c r="J39" i="12" s="1"/>
  <c r="J96" i="12" s="1"/>
  <c r="J26" i="24"/>
  <c r="J29" i="12" s="1"/>
  <c r="J25" i="24"/>
  <c r="J28" i="12" s="1"/>
  <c r="M54" i="10" s="1"/>
  <c r="J22" i="24"/>
  <c r="J26" i="12" s="1"/>
  <c r="I69" i="66" s="1"/>
  <c r="J21" i="24"/>
  <c r="J25" i="12" s="1"/>
  <c r="I68" i="66" s="1"/>
  <c r="J20" i="24"/>
  <c r="J24" i="12" s="1"/>
  <c r="J15" i="24"/>
  <c r="J16" i="12" s="1"/>
  <c r="J8" i="24"/>
  <c r="J6" i="24"/>
  <c r="AE359" i="24"/>
  <c r="AE351" i="24"/>
  <c r="AE347" i="24"/>
  <c r="AE341" i="24"/>
  <c r="AE340" i="24"/>
  <c r="AE339" i="24"/>
  <c r="AE334" i="24"/>
  <c r="AE337" i="24" s="1"/>
  <c r="AE332" i="24"/>
  <c r="AE327" i="24"/>
  <c r="AE330" i="24" s="1"/>
  <c r="AE316" i="24"/>
  <c r="AE309" i="24"/>
  <c r="AE307" i="24"/>
  <c r="AE297" i="24"/>
  <c r="AE295" i="24"/>
  <c r="AE289" i="24"/>
  <c r="AE292" i="24" s="1"/>
  <c r="AE274" i="24"/>
  <c r="AE268" i="24"/>
  <c r="AE260" i="24"/>
  <c r="AE243" i="24"/>
  <c r="AE237" i="24"/>
  <c r="AE236" i="24"/>
  <c r="AE228" i="24"/>
  <c r="AE31" i="24" s="1"/>
  <c r="AE227" i="24"/>
  <c r="AE226" i="24"/>
  <c r="AE220" i="24"/>
  <c r="AE217" i="24"/>
  <c r="AE205" i="24"/>
  <c r="AE203" i="24"/>
  <c r="AE201" i="24"/>
  <c r="AE198" i="24"/>
  <c r="AE192" i="24"/>
  <c r="AE189" i="24"/>
  <c r="AE187" i="24"/>
  <c r="AE182" i="24"/>
  <c r="AE181" i="24"/>
  <c r="AE179" i="24"/>
  <c r="AE178" i="24"/>
  <c r="AE173" i="24"/>
  <c r="AE172" i="24"/>
  <c r="AE168" i="24"/>
  <c r="AE167" i="24"/>
  <c r="AE166" i="24"/>
  <c r="AE154" i="24"/>
  <c r="AE153" i="24"/>
  <c r="AE151" i="24"/>
  <c r="AE150" i="24"/>
  <c r="AE145" i="24"/>
  <c r="AE143" i="24"/>
  <c r="AE142" i="24"/>
  <c r="AE141" i="24"/>
  <c r="AE139" i="24"/>
  <c r="AE130" i="24"/>
  <c r="AE133" i="24" s="1"/>
  <c r="AE124" i="24"/>
  <c r="AE123" i="24"/>
  <c r="AE121" i="24"/>
  <c r="AE117" i="24"/>
  <c r="AE114" i="24"/>
  <c r="AE113" i="24"/>
  <c r="AE111" i="24"/>
  <c r="AE110" i="24"/>
  <c r="AE104" i="24"/>
  <c r="AE103" i="24"/>
  <c r="AE102" i="24"/>
  <c r="AE101" i="24"/>
  <c r="AE100" i="24"/>
  <c r="AE99" i="24"/>
  <c r="AE96" i="24"/>
  <c r="AE93" i="24"/>
  <c r="AE85" i="24"/>
  <c r="AE76" i="24"/>
  <c r="AE71" i="24" s="1"/>
  <c r="AE75" i="24"/>
  <c r="AE67" i="24"/>
  <c r="AE66" i="24"/>
  <c r="AE62" i="24"/>
  <c r="AE60" i="24"/>
  <c r="AE55" i="24"/>
  <c r="AE54" i="24"/>
  <c r="AE51" i="24"/>
  <c r="AE222" i="24" s="1"/>
  <c r="AE48" i="24"/>
  <c r="AE47" i="24"/>
  <c r="AE45" i="24"/>
  <c r="AE44" i="24"/>
  <c r="AE41" i="24"/>
  <c r="AE40" i="24"/>
  <c r="AE39" i="24"/>
  <c r="AE38" i="24"/>
  <c r="AE26" i="24"/>
  <c r="AE25" i="24"/>
  <c r="AE22" i="24"/>
  <c r="AE21" i="24"/>
  <c r="AE20" i="24"/>
  <c r="AE15" i="24"/>
  <c r="AE8" i="24"/>
  <c r="AE6" i="24"/>
  <c r="J247" i="12"/>
  <c r="J192" i="12"/>
  <c r="J158" i="12"/>
  <c r="J128" i="12"/>
  <c r="J124" i="12"/>
  <c r="J119" i="12"/>
  <c r="J104" i="12"/>
  <c r="J75" i="12"/>
  <c r="J55" i="12"/>
  <c r="J46" i="12"/>
  <c r="J17" i="12"/>
  <c r="J11" i="12"/>
  <c r="M648" i="10"/>
  <c r="M654" i="10"/>
  <c r="M612" i="10"/>
  <c r="M613" i="10"/>
  <c r="M627" i="10"/>
  <c r="M631" i="10"/>
  <c r="M632" i="10"/>
  <c r="M634" i="10"/>
  <c r="M635" i="10"/>
  <c r="M478" i="10"/>
  <c r="M507" i="10"/>
  <c r="M551" i="10"/>
  <c r="M553" i="10"/>
  <c r="M563" i="10"/>
  <c r="M268" i="10"/>
  <c r="M269" i="10"/>
  <c r="M288" i="10" s="1"/>
  <c r="M144" i="10"/>
  <c r="M107" i="10"/>
  <c r="M14" i="10"/>
  <c r="M26" i="10"/>
  <c r="M72" i="10"/>
  <c r="M81" i="10"/>
  <c r="O23" i="18"/>
  <c r="O22" i="18"/>
  <c r="AL18" i="18" l="1"/>
  <c r="AM18" i="18"/>
  <c r="AP18" i="18" s="1"/>
  <c r="M377" i="10"/>
  <c r="M372" i="10"/>
  <c r="BB83" i="66"/>
  <c r="AB35" i="11"/>
  <c r="AG18" i="18"/>
  <c r="AK18" i="18"/>
  <c r="M659" i="10"/>
  <c r="M662" i="10" s="1"/>
  <c r="M691" i="10"/>
  <c r="M592" i="10"/>
  <c r="AE23" i="24"/>
  <c r="AE106" i="24"/>
  <c r="J46" i="24"/>
  <c r="J45" i="12" s="1"/>
  <c r="J74" i="24"/>
  <c r="AE27" i="24"/>
  <c r="AE46" i="24"/>
  <c r="AE190" i="24"/>
  <c r="AE195" i="24" s="1"/>
  <c r="AE239" i="24"/>
  <c r="J23" i="24"/>
  <c r="J23" i="12" s="1"/>
  <c r="I67" i="66" s="1"/>
  <c r="J49" i="24"/>
  <c r="J47" i="12" s="1"/>
  <c r="AE74" i="24"/>
  <c r="J343" i="24"/>
  <c r="J216" i="12" s="1"/>
  <c r="J204" i="24"/>
  <c r="J162" i="12" s="1"/>
  <c r="J163" i="12" s="1"/>
  <c r="AE18" i="24"/>
  <c r="AE32" i="24"/>
  <c r="AE343" i="24"/>
  <c r="AE354" i="24" s="1"/>
  <c r="AE356" i="24" s="1"/>
  <c r="AE49" i="24"/>
  <c r="AE118" i="24"/>
  <c r="AE127" i="24" s="1"/>
  <c r="J239" i="24"/>
  <c r="J198" i="12" s="1"/>
  <c r="M25" i="10"/>
  <c r="M180" i="10"/>
  <c r="M53" i="10"/>
  <c r="K24" i="18" s="1"/>
  <c r="I76" i="66"/>
  <c r="J118" i="24"/>
  <c r="J143" i="12" s="1"/>
  <c r="J170" i="24"/>
  <c r="J147" i="12" s="1"/>
  <c r="AE157" i="24"/>
  <c r="J234" i="24"/>
  <c r="AE148" i="24"/>
  <c r="AJ18" i="18"/>
  <c r="K20" i="38"/>
  <c r="AI18" i="18"/>
  <c r="AQ18" i="18" s="1"/>
  <c r="AE313" i="24"/>
  <c r="J300" i="24"/>
  <c r="J208" i="12" s="1"/>
  <c r="AH18" i="18"/>
  <c r="M528" i="10"/>
  <c r="M536" i="10" s="1"/>
  <c r="M560" i="10"/>
  <c r="M11" i="10"/>
  <c r="I5" i="66" s="1"/>
  <c r="M135" i="10"/>
  <c r="M152" i="10" s="1"/>
  <c r="M624" i="10"/>
  <c r="M610" i="10"/>
  <c r="M621" i="10" s="1"/>
  <c r="M178" i="10"/>
  <c r="I7" i="66"/>
  <c r="I14" i="66"/>
  <c r="M271" i="10"/>
  <c r="W205" i="11"/>
  <c r="W107" i="11" s="1"/>
  <c r="M236" i="10"/>
  <c r="I16" i="66"/>
  <c r="M510" i="10"/>
  <c r="M527" i="10"/>
  <c r="M535" i="10" s="1"/>
  <c r="M512" i="10"/>
  <c r="M425" i="10"/>
  <c r="M402" i="10"/>
  <c r="M464" i="10"/>
  <c r="M475" i="10" s="1"/>
  <c r="M489" i="10"/>
  <c r="M456" i="10"/>
  <c r="M467" i="10" s="1"/>
  <c r="M379" i="10"/>
  <c r="J68" i="12"/>
  <c r="M418" i="10"/>
  <c r="M424" i="10"/>
  <c r="M405" i="10"/>
  <c r="M421" i="10"/>
  <c r="M419" i="10"/>
  <c r="M422" i="10"/>
  <c r="M501" i="10"/>
  <c r="M505" i="10" s="1"/>
  <c r="M496" i="10"/>
  <c r="M400" i="10"/>
  <c r="M463" i="10"/>
  <c r="M474" i="10" s="1"/>
  <c r="M394" i="10"/>
  <c r="M393" i="10"/>
  <c r="M417" i="10"/>
  <c r="M490" i="10"/>
  <c r="M468" i="10"/>
  <c r="N468" i="10" s="1"/>
  <c r="M396" i="10"/>
  <c r="M460" i="10"/>
  <c r="M471" i="10" s="1"/>
  <c r="N471" i="10" s="1"/>
  <c r="M459" i="10"/>
  <c r="M470" i="10" s="1"/>
  <c r="N470" i="10" s="1"/>
  <c r="M494" i="10"/>
  <c r="M633" i="10"/>
  <c r="M395" i="10"/>
  <c r="M458" i="10"/>
  <c r="M469" i="10" s="1"/>
  <c r="M420" i="10"/>
  <c r="M398" i="10"/>
  <c r="M381" i="10"/>
  <c r="M391" i="10" s="1"/>
  <c r="M493" i="10"/>
  <c r="M137" i="10"/>
  <c r="M87" i="10"/>
  <c r="M93" i="10" s="1"/>
  <c r="M227" i="10"/>
  <c r="N227" i="10" s="1"/>
  <c r="M202" i="10"/>
  <c r="M12" i="10"/>
  <c r="M216" i="10"/>
  <c r="M182" i="10"/>
  <c r="M183" i="10" s="1"/>
  <c r="M32" i="10"/>
  <c r="J157" i="24"/>
  <c r="J133" i="12" s="1"/>
  <c r="J148" i="24"/>
  <c r="J131" i="12" s="1"/>
  <c r="J43" i="12"/>
  <c r="M56" i="10" s="1"/>
  <c r="J105" i="24"/>
  <c r="J175" i="24"/>
  <c r="J148" i="12" s="1"/>
  <c r="J190" i="24"/>
  <c r="J153" i="12" s="1"/>
  <c r="J313" i="24"/>
  <c r="J209" i="12" s="1"/>
  <c r="J207" i="12"/>
  <c r="J189" i="12"/>
  <c r="J149" i="12"/>
  <c r="J101" i="12"/>
  <c r="J13" i="12"/>
  <c r="J18" i="24"/>
  <c r="J106" i="24"/>
  <c r="J140" i="12" s="1"/>
  <c r="J32" i="24"/>
  <c r="J34" i="12" s="1"/>
  <c r="J54" i="12"/>
  <c r="J63" i="24"/>
  <c r="J43" i="24"/>
  <c r="J109" i="12"/>
  <c r="J27" i="24"/>
  <c r="J202" i="12"/>
  <c r="J199" i="12" s="1"/>
  <c r="J27" i="12"/>
  <c r="I71" i="66" s="1"/>
  <c r="AE234" i="24"/>
  <c r="AE283" i="24" s="1"/>
  <c r="AE175" i="24"/>
  <c r="AE170" i="24"/>
  <c r="AE204" i="24"/>
  <c r="AE300" i="24"/>
  <c r="AE320" i="24" s="1"/>
  <c r="AE323" i="24" s="1"/>
  <c r="AE33" i="24"/>
  <c r="J18" i="12"/>
  <c r="I65" i="66" s="1"/>
  <c r="J197" i="12"/>
  <c r="J241" i="12"/>
  <c r="M55" i="10"/>
  <c r="J95" i="12"/>
  <c r="J98" i="12" s="1"/>
  <c r="Z69" i="18"/>
  <c r="Z70" i="18"/>
  <c r="Z71" i="18"/>
  <c r="Y73" i="18"/>
  <c r="AA73" i="18"/>
  <c r="Z75" i="18"/>
  <c r="Z76" i="18" s="1"/>
  <c r="Y85" i="18"/>
  <c r="Y86" i="18" s="1"/>
  <c r="AA85" i="18"/>
  <c r="AA86" i="18" s="1"/>
  <c r="AL19" i="18" l="1"/>
  <c r="AM19" i="18"/>
  <c r="AP19" i="18" s="1"/>
  <c r="J81" i="12"/>
  <c r="AT18" i="18"/>
  <c r="AE29" i="24"/>
  <c r="AE35" i="24" s="1"/>
  <c r="I120" i="66"/>
  <c r="M656" i="10"/>
  <c r="AE159" i="24"/>
  <c r="J84" i="12"/>
  <c r="I73" i="66"/>
  <c r="AK19" i="18"/>
  <c r="J283" i="24"/>
  <c r="J285" i="24" s="1"/>
  <c r="J204" i="12" s="1"/>
  <c r="J195" i="24"/>
  <c r="J154" i="12" s="1"/>
  <c r="J155" i="12" s="1"/>
  <c r="J127" i="24"/>
  <c r="J144" i="12" s="1"/>
  <c r="J52" i="24"/>
  <c r="J354" i="24"/>
  <c r="J356" i="24" s="1"/>
  <c r="J220" i="12" s="1"/>
  <c r="J219" i="12" s="1"/>
  <c r="J134" i="12"/>
  <c r="J320" i="24"/>
  <c r="J323" i="24" s="1"/>
  <c r="J211" i="12" s="1"/>
  <c r="J324" i="24" s="1"/>
  <c r="J168" i="12"/>
  <c r="M273" i="10"/>
  <c r="M275" i="10" s="1"/>
  <c r="J142" i="12"/>
  <c r="K29" i="38"/>
  <c r="AE184" i="24"/>
  <c r="AE207" i="24" s="1"/>
  <c r="M64" i="10"/>
  <c r="I80" i="66"/>
  <c r="J29" i="24"/>
  <c r="J35" i="24" s="1"/>
  <c r="J196" i="12"/>
  <c r="AH19" i="18"/>
  <c r="AI19" i="18"/>
  <c r="AJ19" i="18"/>
  <c r="AG19" i="18"/>
  <c r="J82" i="12"/>
  <c r="I64" i="66"/>
  <c r="AR18" i="18"/>
  <c r="M526" i="10"/>
  <c r="M534" i="10" s="1"/>
  <c r="I58" i="66"/>
  <c r="M43" i="10"/>
  <c r="I15" i="66"/>
  <c r="I26" i="66"/>
  <c r="M31" i="10"/>
  <c r="I6" i="66"/>
  <c r="M559" i="10"/>
  <c r="M229" i="10"/>
  <c r="M488" i="10"/>
  <c r="J184" i="24"/>
  <c r="J78" i="12"/>
  <c r="J174" i="12"/>
  <c r="J83" i="12"/>
  <c r="J190" i="12"/>
  <c r="J195" i="12"/>
  <c r="J165" i="12"/>
  <c r="J256" i="12"/>
  <c r="J180" i="12"/>
  <c r="J33" i="24"/>
  <c r="AE285" i="24"/>
  <c r="AE361" i="24" s="1"/>
  <c r="J20" i="12"/>
  <c r="J175" i="12"/>
  <c r="J176" i="12"/>
  <c r="Z85" i="18"/>
  <c r="Z86" i="18" s="1"/>
  <c r="Z73" i="18"/>
  <c r="AQ19" i="18" l="1"/>
  <c r="I121" i="66"/>
  <c r="AT19" i="18"/>
  <c r="J207" i="24"/>
  <c r="J159" i="24"/>
  <c r="J160" i="24" s="1"/>
  <c r="J145" i="12"/>
  <c r="J250" i="12" s="1"/>
  <c r="J210" i="12"/>
  <c r="J361" i="24"/>
  <c r="J150" i="12"/>
  <c r="J151" i="12" s="1"/>
  <c r="J156" i="12" s="1"/>
  <c r="J166" i="12" s="1"/>
  <c r="I117" i="66"/>
  <c r="I118" i="66" s="1"/>
  <c r="I114" i="66"/>
  <c r="I115" i="66" s="1"/>
  <c r="I110" i="66"/>
  <c r="I66" i="66"/>
  <c r="I108" i="66"/>
  <c r="I109" i="66"/>
  <c r="AR19" i="18"/>
  <c r="M42" i="10"/>
  <c r="I13" i="66"/>
  <c r="I8" i="66"/>
  <c r="J286" i="24"/>
  <c r="J205" i="12"/>
  <c r="J224" i="12"/>
  <c r="J226" i="12"/>
  <c r="J227" i="12" s="1"/>
  <c r="J80" i="12"/>
  <c r="J85" i="12"/>
  <c r="J30" i="12"/>
  <c r="J362" i="24" l="1"/>
  <c r="J249" i="12"/>
  <c r="J146" i="12"/>
  <c r="J170" i="12"/>
  <c r="J209" i="24"/>
  <c r="J179" i="12"/>
  <c r="I104" i="66"/>
  <c r="I70" i="66"/>
  <c r="I103" i="66"/>
  <c r="I59" i="66"/>
  <c r="I57" i="66"/>
  <c r="J86" i="12"/>
  <c r="J35" i="12"/>
  <c r="F10" i="81"/>
  <c r="F8" i="81"/>
  <c r="G6" i="81"/>
  <c r="G5" i="81"/>
  <c r="G4" i="81"/>
  <c r="C100" i="17"/>
  <c r="D100" i="17" s="1"/>
  <c r="E100" i="17" s="1"/>
  <c r="F100" i="17" s="1"/>
  <c r="G100" i="17" s="1"/>
  <c r="H100" i="17" s="1"/>
  <c r="I100" i="17" s="1"/>
  <c r="J100" i="17" s="1"/>
  <c r="K100" i="17" s="1"/>
  <c r="L100" i="17" s="1"/>
  <c r="L95" i="17"/>
  <c r="K95" i="17"/>
  <c r="J95" i="17"/>
  <c r="I95" i="17"/>
  <c r="H95" i="17"/>
  <c r="G95" i="17"/>
  <c r="F95" i="17"/>
  <c r="L93" i="17"/>
  <c r="K93" i="17"/>
  <c r="J93" i="17"/>
  <c r="I93" i="17"/>
  <c r="H93" i="17"/>
  <c r="G93" i="17"/>
  <c r="F93" i="17"/>
  <c r="E93" i="17"/>
  <c r="D93" i="17"/>
  <c r="C93" i="17"/>
  <c r="B92" i="17"/>
  <c r="B91" i="17"/>
  <c r="L76" i="17"/>
  <c r="K76" i="17"/>
  <c r="J76" i="17"/>
  <c r="I76" i="17"/>
  <c r="H76" i="17"/>
  <c r="G76" i="17"/>
  <c r="F76" i="17"/>
  <c r="E76" i="17"/>
  <c r="D76" i="17"/>
  <c r="C76" i="17"/>
  <c r="L75" i="17"/>
  <c r="K75" i="17"/>
  <c r="J75" i="17"/>
  <c r="I75" i="17"/>
  <c r="H75" i="17"/>
  <c r="G75" i="17"/>
  <c r="F75" i="17"/>
  <c r="E75" i="17"/>
  <c r="D75" i="17"/>
  <c r="C75" i="17"/>
  <c r="E5" i="17"/>
  <c r="E95" i="17" s="1"/>
  <c r="D5" i="17"/>
  <c r="D95" i="17" s="1"/>
  <c r="C5" i="17"/>
  <c r="C95" i="17" s="1"/>
  <c r="C3" i="80"/>
  <c r="J38" i="38"/>
  <c r="I38" i="38"/>
  <c r="H38" i="38"/>
  <c r="G38" i="38"/>
  <c r="F38" i="38"/>
  <c r="E38" i="38"/>
  <c r="J37" i="38"/>
  <c r="I37" i="38"/>
  <c r="H37" i="38"/>
  <c r="G37" i="38"/>
  <c r="F37" i="38"/>
  <c r="E37" i="38"/>
  <c r="D37" i="38"/>
  <c r="J35" i="38"/>
  <c r="I35" i="38"/>
  <c r="H35" i="38"/>
  <c r="G35" i="38"/>
  <c r="F35" i="38"/>
  <c r="E35" i="38"/>
  <c r="D35" i="38"/>
  <c r="J30" i="38"/>
  <c r="I30" i="38"/>
  <c r="H30" i="38"/>
  <c r="G30" i="38"/>
  <c r="F30" i="38"/>
  <c r="E30" i="38"/>
  <c r="J21" i="38"/>
  <c r="I21" i="38"/>
  <c r="H21" i="38"/>
  <c r="G21" i="38"/>
  <c r="F21" i="38"/>
  <c r="E21" i="38"/>
  <c r="C12" i="38"/>
  <c r="C11" i="38"/>
  <c r="C10" i="38"/>
  <c r="C9" i="38"/>
  <c r="T5" i="38"/>
  <c r="S5" i="38"/>
  <c r="R5" i="38"/>
  <c r="E69" i="82"/>
  <c r="D69" i="82"/>
  <c r="C76" i="82" s="1"/>
  <c r="F67" i="82"/>
  <c r="F66" i="82"/>
  <c r="F65" i="82"/>
  <c r="F64" i="82"/>
  <c r="F63" i="82"/>
  <c r="F62" i="82"/>
  <c r="F61" i="82"/>
  <c r="F60" i="82"/>
  <c r="Z51" i="82"/>
  <c r="Y51" i="82"/>
  <c r="X51" i="82"/>
  <c r="W51" i="82"/>
  <c r="V51" i="82"/>
  <c r="Z45" i="82"/>
  <c r="Y45" i="82"/>
  <c r="Z44" i="82"/>
  <c r="Y44" i="82"/>
  <c r="Z43" i="82"/>
  <c r="Y41" i="82"/>
  <c r="W33" i="82"/>
  <c r="X33" i="82" s="1"/>
  <c r="Y33" i="82" s="1"/>
  <c r="W32" i="82"/>
  <c r="W31" i="82"/>
  <c r="X31" i="82" s="1"/>
  <c r="Y31" i="82" s="1"/>
  <c r="L31" i="82"/>
  <c r="V30" i="82"/>
  <c r="W42" i="82" s="1"/>
  <c r="X42" i="82" s="1"/>
  <c r="V29" i="82"/>
  <c r="W29" i="82" s="1"/>
  <c r="X29" i="82" s="1"/>
  <c r="G27" i="82"/>
  <c r="H16" i="82"/>
  <c r="L29" i="82" s="1"/>
  <c r="F16" i="82"/>
  <c r="F27" i="82" s="1"/>
  <c r="AG59" i="4"/>
  <c r="AG58" i="4"/>
  <c r="AG57" i="4"/>
  <c r="AG55" i="4"/>
  <c r="AG52" i="4"/>
  <c r="AG37" i="4"/>
  <c r="E37" i="4"/>
  <c r="D37" i="4"/>
  <c r="AG35" i="4"/>
  <c r="E35" i="4"/>
  <c r="D35" i="4"/>
  <c r="AG34" i="4"/>
  <c r="E34" i="4"/>
  <c r="D34" i="4"/>
  <c r="AG32" i="4"/>
  <c r="AG31" i="4"/>
  <c r="E31" i="4"/>
  <c r="D31" i="4"/>
  <c r="AG29" i="4"/>
  <c r="E29" i="4"/>
  <c r="D29" i="4"/>
  <c r="AG28" i="4"/>
  <c r="E28" i="4"/>
  <c r="D28" i="4"/>
  <c r="AG27" i="4"/>
  <c r="E27" i="4"/>
  <c r="D27" i="4"/>
  <c r="AG25" i="4"/>
  <c r="E25" i="4"/>
  <c r="D25" i="4"/>
  <c r="AG24" i="4"/>
  <c r="AG23" i="4"/>
  <c r="E23" i="4"/>
  <c r="D23" i="4"/>
  <c r="AG21" i="4"/>
  <c r="E21" i="4"/>
  <c r="D21" i="4"/>
  <c r="AG20" i="4"/>
  <c r="E20" i="4"/>
  <c r="D20" i="4"/>
  <c r="AG19" i="4"/>
  <c r="E19" i="4"/>
  <c r="D19" i="4"/>
  <c r="AG17" i="4"/>
  <c r="E17" i="4"/>
  <c r="D17" i="4"/>
  <c r="AG16" i="4"/>
  <c r="E16" i="4"/>
  <c r="D16" i="4"/>
  <c r="AG15" i="4"/>
  <c r="E15" i="4"/>
  <c r="D15" i="4"/>
  <c r="AG10" i="4"/>
  <c r="E10" i="4"/>
  <c r="D10" i="4"/>
  <c r="AG4" i="4"/>
  <c r="E4" i="4"/>
  <c r="D4" i="4"/>
  <c r="B36" i="18"/>
  <c r="A36" i="18"/>
  <c r="B32" i="18"/>
  <c r="A32" i="18"/>
  <c r="B31" i="18"/>
  <c r="A31" i="18"/>
  <c r="B30" i="18"/>
  <c r="A30" i="18"/>
  <c r="B28" i="18"/>
  <c r="A28" i="18"/>
  <c r="B27" i="18"/>
  <c r="B26" i="18"/>
  <c r="B25" i="18"/>
  <c r="A25" i="18"/>
  <c r="B23" i="18"/>
  <c r="A23" i="18"/>
  <c r="B22" i="18"/>
  <c r="A22" i="18"/>
  <c r="B19" i="18"/>
  <c r="A19" i="18"/>
  <c r="B18" i="18"/>
  <c r="A18" i="18"/>
  <c r="B15" i="18"/>
  <c r="A15" i="18"/>
  <c r="B12" i="18"/>
  <c r="A12" i="18"/>
  <c r="B10" i="18"/>
  <c r="A10" i="18"/>
  <c r="B8" i="18"/>
  <c r="A8" i="18"/>
  <c r="C3" i="18"/>
  <c r="A3" i="17" s="1"/>
  <c r="C2" i="18"/>
  <c r="A2" i="17" s="1"/>
  <c r="AD359" i="24"/>
  <c r="AC359" i="24"/>
  <c r="AB359" i="24"/>
  <c r="AA359" i="24"/>
  <c r="Z359" i="24"/>
  <c r="Y359" i="24"/>
  <c r="X359" i="24"/>
  <c r="W359" i="24"/>
  <c r="V359" i="24"/>
  <c r="U359" i="24"/>
  <c r="T359" i="24"/>
  <c r="S359" i="24"/>
  <c r="R359" i="24"/>
  <c r="Q359" i="24"/>
  <c r="P359" i="24"/>
  <c r="O359" i="24"/>
  <c r="N359" i="24"/>
  <c r="M359" i="24"/>
  <c r="L359" i="24"/>
  <c r="I359" i="24"/>
  <c r="I222" i="12" s="1"/>
  <c r="H359" i="24"/>
  <c r="H222" i="12" s="1"/>
  <c r="G359" i="24"/>
  <c r="G222" i="12" s="1"/>
  <c r="F359" i="24"/>
  <c r="F222" i="12" s="1"/>
  <c r="E359" i="24"/>
  <c r="E222" i="12" s="1"/>
  <c r="D359" i="24"/>
  <c r="D222" i="12" s="1"/>
  <c r="C359" i="24"/>
  <c r="C222" i="12" s="1"/>
  <c r="AD351" i="24"/>
  <c r="AC351" i="24"/>
  <c r="AB351" i="24"/>
  <c r="AA351" i="24"/>
  <c r="Z351" i="24"/>
  <c r="Y351" i="24"/>
  <c r="X351" i="24"/>
  <c r="W351" i="24"/>
  <c r="V351" i="24"/>
  <c r="U351" i="24"/>
  <c r="T351" i="24"/>
  <c r="S351" i="24"/>
  <c r="R351" i="24"/>
  <c r="Q351" i="24"/>
  <c r="P351" i="24"/>
  <c r="O351" i="24"/>
  <c r="N351" i="24"/>
  <c r="M351" i="24"/>
  <c r="L351" i="24"/>
  <c r="I351" i="24"/>
  <c r="I218" i="12" s="1"/>
  <c r="H351" i="24"/>
  <c r="H218" i="12" s="1"/>
  <c r="G351" i="24"/>
  <c r="G218" i="12" s="1"/>
  <c r="F351" i="24"/>
  <c r="F218" i="12" s="1"/>
  <c r="E351" i="24"/>
  <c r="E218" i="12" s="1"/>
  <c r="D351" i="24"/>
  <c r="D218" i="12" s="1"/>
  <c r="C351" i="24"/>
  <c r="C218" i="12" s="1"/>
  <c r="AD347" i="24"/>
  <c r="AC347" i="24"/>
  <c r="AB347" i="24"/>
  <c r="AA347" i="24"/>
  <c r="Z347" i="24"/>
  <c r="Y347" i="24"/>
  <c r="X347" i="24"/>
  <c r="W347" i="24"/>
  <c r="V347" i="24"/>
  <c r="U347" i="24"/>
  <c r="T347" i="24"/>
  <c r="S347" i="24"/>
  <c r="R347" i="24"/>
  <c r="Q347" i="24"/>
  <c r="P347" i="24"/>
  <c r="O347" i="24"/>
  <c r="N347" i="24"/>
  <c r="M347" i="24"/>
  <c r="L347" i="24"/>
  <c r="I347" i="24"/>
  <c r="I217" i="12" s="1"/>
  <c r="H347" i="24"/>
  <c r="H217" i="12" s="1"/>
  <c r="G347" i="24"/>
  <c r="G217" i="12" s="1"/>
  <c r="F347" i="24"/>
  <c r="F217" i="12" s="1"/>
  <c r="E347" i="24"/>
  <c r="E217" i="12" s="1"/>
  <c r="D347" i="24"/>
  <c r="D217" i="12" s="1"/>
  <c r="C347" i="24"/>
  <c r="C217" i="12" s="1"/>
  <c r="AD341" i="24"/>
  <c r="AC341" i="24"/>
  <c r="AB341" i="24"/>
  <c r="AA341" i="24"/>
  <c r="Z341" i="24"/>
  <c r="Y341" i="24"/>
  <c r="X341" i="24"/>
  <c r="W341" i="24"/>
  <c r="V341" i="24"/>
  <c r="U341" i="24"/>
  <c r="T341" i="24"/>
  <c r="S341" i="24"/>
  <c r="R341" i="24"/>
  <c r="Q341" i="24"/>
  <c r="P341" i="24"/>
  <c r="O341" i="24"/>
  <c r="N341" i="24"/>
  <c r="M341" i="24"/>
  <c r="L341" i="24"/>
  <c r="I341" i="24"/>
  <c r="H341" i="24"/>
  <c r="G341" i="24"/>
  <c r="F341" i="24"/>
  <c r="E341" i="24"/>
  <c r="D341" i="24"/>
  <c r="C341" i="24"/>
  <c r="AD340" i="24"/>
  <c r="AC340" i="24"/>
  <c r="AB340" i="24"/>
  <c r="AA340" i="24"/>
  <c r="Z340" i="24"/>
  <c r="Y340" i="24"/>
  <c r="X340" i="24"/>
  <c r="W340" i="24"/>
  <c r="V340" i="24"/>
  <c r="U340" i="24"/>
  <c r="T340" i="24"/>
  <c r="S340" i="24"/>
  <c r="R340" i="24"/>
  <c r="Q340" i="24"/>
  <c r="P340" i="24"/>
  <c r="O340" i="24"/>
  <c r="N340" i="24"/>
  <c r="M340" i="24"/>
  <c r="L340" i="24"/>
  <c r="I340" i="24"/>
  <c r="H340" i="24"/>
  <c r="G340" i="24"/>
  <c r="F340" i="24"/>
  <c r="E340" i="24"/>
  <c r="D340" i="24"/>
  <c r="C340" i="24"/>
  <c r="AD339" i="24"/>
  <c r="AC339" i="24"/>
  <c r="AB339" i="24"/>
  <c r="AA339" i="24"/>
  <c r="Z339" i="24"/>
  <c r="Y339" i="24"/>
  <c r="X339" i="24"/>
  <c r="W339" i="24"/>
  <c r="V339" i="24"/>
  <c r="U339" i="24"/>
  <c r="T339" i="24"/>
  <c r="S339" i="24"/>
  <c r="R339" i="24"/>
  <c r="Q339" i="24"/>
  <c r="P339" i="24"/>
  <c r="O339" i="24"/>
  <c r="N339" i="24"/>
  <c r="M339" i="24"/>
  <c r="L339" i="24"/>
  <c r="I339" i="24"/>
  <c r="H339" i="24"/>
  <c r="G339" i="24"/>
  <c r="F339" i="24"/>
  <c r="E339" i="24"/>
  <c r="D339" i="24"/>
  <c r="C339" i="24"/>
  <c r="AD334" i="24"/>
  <c r="AD337" i="24" s="1"/>
  <c r="AC334" i="24"/>
  <c r="AC337" i="24" s="1"/>
  <c r="AB334" i="24"/>
  <c r="AB337" i="24" s="1"/>
  <c r="AA334" i="24"/>
  <c r="AA337" i="24" s="1"/>
  <c r="Z334" i="24"/>
  <c r="Z337" i="24" s="1"/>
  <c r="Y334" i="24"/>
  <c r="Y337" i="24" s="1"/>
  <c r="X334" i="24"/>
  <c r="X337" i="24" s="1"/>
  <c r="W334" i="24"/>
  <c r="W337" i="24" s="1"/>
  <c r="V334" i="24"/>
  <c r="V337" i="24" s="1"/>
  <c r="U334" i="24"/>
  <c r="U337" i="24" s="1"/>
  <c r="T334" i="24"/>
  <c r="T337" i="24" s="1"/>
  <c r="S334" i="24"/>
  <c r="S337" i="24" s="1"/>
  <c r="R334" i="24"/>
  <c r="R337" i="24" s="1"/>
  <c r="Q334" i="24"/>
  <c r="Q337" i="24" s="1"/>
  <c r="P334" i="24"/>
  <c r="P337" i="24" s="1"/>
  <c r="O334" i="24"/>
  <c r="O337" i="24" s="1"/>
  <c r="N334" i="24"/>
  <c r="N337" i="24" s="1"/>
  <c r="M334" i="24"/>
  <c r="M337" i="24" s="1"/>
  <c r="L334" i="24"/>
  <c r="L337" i="24" s="1"/>
  <c r="I334" i="24"/>
  <c r="I337" i="24" s="1"/>
  <c r="I215" i="12" s="1"/>
  <c r="H334" i="24"/>
  <c r="H337" i="24" s="1"/>
  <c r="H215" i="12" s="1"/>
  <c r="G334" i="24"/>
  <c r="G337" i="24" s="1"/>
  <c r="G215" i="12" s="1"/>
  <c r="F334" i="24"/>
  <c r="F337" i="24" s="1"/>
  <c r="F215" i="12" s="1"/>
  <c r="E334" i="24"/>
  <c r="E337" i="24" s="1"/>
  <c r="E215" i="12" s="1"/>
  <c r="D334" i="24"/>
  <c r="D337" i="24" s="1"/>
  <c r="D215" i="12" s="1"/>
  <c r="C334" i="24"/>
  <c r="C337" i="24" s="1"/>
  <c r="C215" i="12" s="1"/>
  <c r="AD332" i="24"/>
  <c r="AC332" i="24"/>
  <c r="AB332" i="24"/>
  <c r="AA332" i="24"/>
  <c r="Z332" i="24"/>
  <c r="Y332" i="24"/>
  <c r="X332" i="24"/>
  <c r="W332" i="24"/>
  <c r="V332" i="24"/>
  <c r="U332" i="24"/>
  <c r="T332" i="24"/>
  <c r="S332" i="24"/>
  <c r="R332" i="24"/>
  <c r="Q332" i="24"/>
  <c r="P332" i="24"/>
  <c r="O332" i="24"/>
  <c r="N332" i="24"/>
  <c r="M332" i="24"/>
  <c r="L332" i="24"/>
  <c r="I332" i="24"/>
  <c r="I213" i="12" s="1"/>
  <c r="H332" i="24"/>
  <c r="H213" i="12" s="1"/>
  <c r="G332" i="24"/>
  <c r="G213" i="12" s="1"/>
  <c r="F332" i="24"/>
  <c r="F213" i="12" s="1"/>
  <c r="E332" i="24"/>
  <c r="E213" i="12" s="1"/>
  <c r="D332" i="24"/>
  <c r="D213" i="12" s="1"/>
  <c r="C332" i="24"/>
  <c r="AD327" i="24"/>
  <c r="AD330" i="24" s="1"/>
  <c r="AC327" i="24"/>
  <c r="AC330" i="24" s="1"/>
  <c r="AB327" i="24"/>
  <c r="AB330" i="24" s="1"/>
  <c r="AA327" i="24"/>
  <c r="AA330" i="24" s="1"/>
  <c r="Z327" i="24"/>
  <c r="Z330" i="24" s="1"/>
  <c r="Y327" i="24"/>
  <c r="Y330" i="24" s="1"/>
  <c r="X327" i="24"/>
  <c r="X330" i="24" s="1"/>
  <c r="W327" i="24"/>
  <c r="W330" i="24" s="1"/>
  <c r="V327" i="24"/>
  <c r="V330" i="24" s="1"/>
  <c r="U327" i="24"/>
  <c r="U330" i="24" s="1"/>
  <c r="T327" i="24"/>
  <c r="T330" i="24" s="1"/>
  <c r="S327" i="24"/>
  <c r="S330" i="24" s="1"/>
  <c r="R327" i="24"/>
  <c r="R330" i="24" s="1"/>
  <c r="Q327" i="24"/>
  <c r="Q330" i="24" s="1"/>
  <c r="P327" i="24"/>
  <c r="P330" i="24" s="1"/>
  <c r="O327" i="24"/>
  <c r="O330" i="24" s="1"/>
  <c r="N327" i="24"/>
  <c r="N330" i="24" s="1"/>
  <c r="M327" i="24"/>
  <c r="M330" i="24" s="1"/>
  <c r="L327" i="24"/>
  <c r="L330" i="24" s="1"/>
  <c r="I327" i="24"/>
  <c r="I330" i="24" s="1"/>
  <c r="I214" i="12" s="1"/>
  <c r="H327" i="24"/>
  <c r="H330" i="24" s="1"/>
  <c r="H214" i="12" s="1"/>
  <c r="G327" i="24"/>
  <c r="G330" i="24" s="1"/>
  <c r="G214" i="12" s="1"/>
  <c r="F327" i="24"/>
  <c r="F330" i="24" s="1"/>
  <c r="F214" i="12" s="1"/>
  <c r="E327" i="24"/>
  <c r="E330" i="24" s="1"/>
  <c r="E214" i="12" s="1"/>
  <c r="D327" i="24"/>
  <c r="D330" i="24" s="1"/>
  <c r="D214" i="12" s="1"/>
  <c r="C327" i="24"/>
  <c r="C330" i="24" s="1"/>
  <c r="C214" i="12" s="1"/>
  <c r="AD316" i="24"/>
  <c r="AC316" i="24"/>
  <c r="AB316" i="24"/>
  <c r="AA316" i="24"/>
  <c r="Z316" i="24"/>
  <c r="Y316" i="24"/>
  <c r="X316" i="24"/>
  <c r="W316" i="24"/>
  <c r="V316" i="24"/>
  <c r="U316" i="24"/>
  <c r="T316" i="24"/>
  <c r="S316" i="24"/>
  <c r="R316" i="24"/>
  <c r="Q316" i="24"/>
  <c r="P316" i="24"/>
  <c r="O316" i="24"/>
  <c r="N316" i="24"/>
  <c r="M316" i="24"/>
  <c r="L316" i="24"/>
  <c r="I316" i="24"/>
  <c r="H316" i="24"/>
  <c r="G316" i="24"/>
  <c r="F316" i="24"/>
  <c r="E316" i="24"/>
  <c r="D316" i="24"/>
  <c r="C316" i="24"/>
  <c r="AD309" i="24"/>
  <c r="AC309" i="24"/>
  <c r="AB309" i="24"/>
  <c r="AA309" i="24"/>
  <c r="Z309" i="24"/>
  <c r="Y309" i="24"/>
  <c r="X309" i="24"/>
  <c r="W309" i="24"/>
  <c r="V309" i="24"/>
  <c r="U309" i="24"/>
  <c r="T309" i="24"/>
  <c r="S309" i="24"/>
  <c r="R309" i="24"/>
  <c r="Q309" i="24"/>
  <c r="P309" i="24"/>
  <c r="O309" i="24"/>
  <c r="N309" i="24"/>
  <c r="M309" i="24"/>
  <c r="L309" i="24"/>
  <c r="I309" i="24"/>
  <c r="H309" i="24"/>
  <c r="G309" i="24"/>
  <c r="F309" i="24"/>
  <c r="E309" i="24"/>
  <c r="D309" i="24"/>
  <c r="C309" i="24"/>
  <c r="AD307" i="24"/>
  <c r="AC307" i="24"/>
  <c r="AB307" i="24"/>
  <c r="AA307" i="24"/>
  <c r="Z307" i="24"/>
  <c r="Y307" i="24"/>
  <c r="X307" i="24"/>
  <c r="W307" i="24"/>
  <c r="V307" i="24"/>
  <c r="U307" i="24"/>
  <c r="T307" i="24"/>
  <c r="S307" i="24"/>
  <c r="R307" i="24"/>
  <c r="Q307" i="24"/>
  <c r="P307" i="24"/>
  <c r="O307" i="24"/>
  <c r="N307" i="24"/>
  <c r="M307" i="24"/>
  <c r="L307" i="24"/>
  <c r="I307" i="24"/>
  <c r="H307" i="24"/>
  <c r="G307" i="24"/>
  <c r="F307" i="24"/>
  <c r="E307" i="24"/>
  <c r="D307" i="24"/>
  <c r="C307" i="24"/>
  <c r="AD297" i="24"/>
  <c r="AC297" i="24"/>
  <c r="AB297" i="24"/>
  <c r="AA297" i="24"/>
  <c r="Z297" i="24"/>
  <c r="Y297" i="24"/>
  <c r="X297" i="24"/>
  <c r="W297" i="24"/>
  <c r="V297" i="24"/>
  <c r="U297" i="24"/>
  <c r="T297" i="24"/>
  <c r="S297" i="24"/>
  <c r="R297" i="24"/>
  <c r="Q297" i="24"/>
  <c r="P297" i="24"/>
  <c r="O297" i="24"/>
  <c r="N297" i="24"/>
  <c r="M297" i="24"/>
  <c r="L297" i="24"/>
  <c r="I297" i="24"/>
  <c r="H297" i="24"/>
  <c r="G297" i="24"/>
  <c r="F297" i="24"/>
  <c r="E297" i="24"/>
  <c r="D297" i="24"/>
  <c r="C297" i="24"/>
  <c r="AD295" i="24"/>
  <c r="AC295" i="24"/>
  <c r="AB295" i="24"/>
  <c r="AA295" i="24"/>
  <c r="Z295" i="24"/>
  <c r="Y295" i="24"/>
  <c r="X295" i="24"/>
  <c r="W295" i="24"/>
  <c r="V295" i="24"/>
  <c r="U295" i="24"/>
  <c r="T295" i="24"/>
  <c r="S295" i="24"/>
  <c r="R295" i="24"/>
  <c r="Q295" i="24"/>
  <c r="P295" i="24"/>
  <c r="O295" i="24"/>
  <c r="N295" i="24"/>
  <c r="M295" i="24"/>
  <c r="L295" i="24"/>
  <c r="I295" i="24"/>
  <c r="H295" i="24"/>
  <c r="G295" i="24"/>
  <c r="F295" i="24"/>
  <c r="E295" i="24"/>
  <c r="D295" i="24"/>
  <c r="C295" i="24"/>
  <c r="AD289" i="24"/>
  <c r="AD292" i="24" s="1"/>
  <c r="AC289" i="24"/>
  <c r="AC292" i="24" s="1"/>
  <c r="AB289" i="24"/>
  <c r="AB292" i="24" s="1"/>
  <c r="AA289" i="24"/>
  <c r="AA292" i="24" s="1"/>
  <c r="Z289" i="24"/>
  <c r="Z292" i="24" s="1"/>
  <c r="Y289" i="24"/>
  <c r="Y292" i="24" s="1"/>
  <c r="X289" i="24"/>
  <c r="X292" i="24" s="1"/>
  <c r="W289" i="24"/>
  <c r="W292" i="24" s="1"/>
  <c r="V289" i="24"/>
  <c r="V292" i="24" s="1"/>
  <c r="U289" i="24"/>
  <c r="U292" i="24" s="1"/>
  <c r="T289" i="24"/>
  <c r="T292" i="24" s="1"/>
  <c r="S289" i="24"/>
  <c r="S292" i="24" s="1"/>
  <c r="R289" i="24"/>
  <c r="R292" i="24" s="1"/>
  <c r="Q289" i="24"/>
  <c r="Q292" i="24" s="1"/>
  <c r="P289" i="24"/>
  <c r="P292" i="24" s="1"/>
  <c r="O289" i="24"/>
  <c r="O292" i="24" s="1"/>
  <c r="N289" i="24"/>
  <c r="N292" i="24" s="1"/>
  <c r="M289" i="24"/>
  <c r="M292" i="24" s="1"/>
  <c r="L289" i="24"/>
  <c r="L292" i="24" s="1"/>
  <c r="I289" i="24"/>
  <c r="I292" i="24" s="1"/>
  <c r="I207" i="12" s="1"/>
  <c r="L656" i="10" s="1"/>
  <c r="H289" i="24"/>
  <c r="H292" i="24" s="1"/>
  <c r="H207" i="12" s="1"/>
  <c r="G289" i="24"/>
  <c r="G292" i="24" s="1"/>
  <c r="G207" i="12" s="1"/>
  <c r="F289" i="24"/>
  <c r="F292" i="24" s="1"/>
  <c r="F207" i="12" s="1"/>
  <c r="I656" i="10" s="1"/>
  <c r="E289" i="24"/>
  <c r="E292" i="24" s="1"/>
  <c r="E207" i="12" s="1"/>
  <c r="H656" i="10" s="1"/>
  <c r="D289" i="24"/>
  <c r="D292" i="24" s="1"/>
  <c r="D207" i="12" s="1"/>
  <c r="C289" i="24"/>
  <c r="C292" i="24" s="1"/>
  <c r="C207" i="12" s="1"/>
  <c r="AD274" i="24"/>
  <c r="AC274" i="24"/>
  <c r="AB274" i="24"/>
  <c r="AA274" i="24"/>
  <c r="Z274" i="24"/>
  <c r="Y274" i="24"/>
  <c r="X274" i="24"/>
  <c r="W274" i="24"/>
  <c r="V274" i="24"/>
  <c r="U274" i="24"/>
  <c r="T274" i="24"/>
  <c r="S274" i="24"/>
  <c r="R274" i="24"/>
  <c r="Q274" i="24"/>
  <c r="P274" i="24"/>
  <c r="O274" i="24"/>
  <c r="N274" i="24"/>
  <c r="M274" i="24"/>
  <c r="L274" i="24"/>
  <c r="I274" i="24"/>
  <c r="I202" i="12" s="1"/>
  <c r="H274" i="24"/>
  <c r="H202" i="12" s="1"/>
  <c r="G274" i="24"/>
  <c r="G202" i="12" s="1"/>
  <c r="F274" i="24"/>
  <c r="F202" i="12" s="1"/>
  <c r="E274" i="24"/>
  <c r="E202" i="12" s="1"/>
  <c r="D274" i="24"/>
  <c r="D202" i="12" s="1"/>
  <c r="C274" i="24"/>
  <c r="C202" i="12" s="1"/>
  <c r="AD268" i="24"/>
  <c r="AC268" i="24"/>
  <c r="AB268" i="24"/>
  <c r="AA268" i="24"/>
  <c r="Z268" i="24"/>
  <c r="Y268" i="24"/>
  <c r="X268" i="24"/>
  <c r="W268" i="24"/>
  <c r="V268" i="24"/>
  <c r="U268" i="24"/>
  <c r="T268" i="24"/>
  <c r="S268" i="24"/>
  <c r="R268" i="24"/>
  <c r="Q268" i="24"/>
  <c r="P268" i="24"/>
  <c r="O268" i="24"/>
  <c r="N268" i="24"/>
  <c r="M268" i="24"/>
  <c r="L268" i="24"/>
  <c r="I268" i="24"/>
  <c r="I200" i="12" s="1"/>
  <c r="H268" i="24"/>
  <c r="H200" i="12" s="1"/>
  <c r="G268" i="24"/>
  <c r="G200" i="12" s="1"/>
  <c r="F268" i="24"/>
  <c r="F200" i="12" s="1"/>
  <c r="E268" i="24"/>
  <c r="E200" i="12" s="1"/>
  <c r="D268" i="24"/>
  <c r="D200" i="12" s="1"/>
  <c r="C268" i="24"/>
  <c r="C200" i="12" s="1"/>
  <c r="AD260" i="24"/>
  <c r="AC260" i="24"/>
  <c r="AB260" i="24"/>
  <c r="AA260" i="24"/>
  <c r="Z260" i="24"/>
  <c r="Y260" i="24"/>
  <c r="X260" i="24"/>
  <c r="W260" i="24"/>
  <c r="V260" i="24"/>
  <c r="U260" i="24"/>
  <c r="T260" i="24"/>
  <c r="S260" i="24"/>
  <c r="R260" i="24"/>
  <c r="Q260" i="24"/>
  <c r="P260" i="24"/>
  <c r="O260" i="24"/>
  <c r="N260" i="24"/>
  <c r="M260" i="24"/>
  <c r="L260" i="24"/>
  <c r="I260" i="24"/>
  <c r="I201" i="12" s="1"/>
  <c r="H260" i="24"/>
  <c r="H201" i="12" s="1"/>
  <c r="G260" i="24"/>
  <c r="G201" i="12" s="1"/>
  <c r="F260" i="24"/>
  <c r="F201" i="12" s="1"/>
  <c r="E260" i="24"/>
  <c r="E201" i="12" s="1"/>
  <c r="D260" i="24"/>
  <c r="D201" i="12" s="1"/>
  <c r="C260" i="24"/>
  <c r="C201" i="12" s="1"/>
  <c r="AD243" i="24"/>
  <c r="AC243" i="24"/>
  <c r="AB243" i="24"/>
  <c r="AA243" i="24"/>
  <c r="Z243" i="24"/>
  <c r="Y243" i="24"/>
  <c r="X243" i="24"/>
  <c r="W243" i="24"/>
  <c r="V243" i="24"/>
  <c r="U243" i="24"/>
  <c r="T243" i="24"/>
  <c r="S243" i="24"/>
  <c r="R243" i="24"/>
  <c r="Q243" i="24"/>
  <c r="P243" i="24"/>
  <c r="O243" i="24"/>
  <c r="N243" i="24"/>
  <c r="M243" i="24"/>
  <c r="L243" i="24"/>
  <c r="I243" i="24"/>
  <c r="H243" i="24"/>
  <c r="G243" i="24"/>
  <c r="F243" i="24"/>
  <c r="E243" i="24"/>
  <c r="D243" i="24"/>
  <c r="C243" i="24"/>
  <c r="AD237" i="24"/>
  <c r="AC237" i="24"/>
  <c r="AB237" i="24"/>
  <c r="AA237" i="24"/>
  <c r="Z237" i="24"/>
  <c r="Y237" i="24"/>
  <c r="X237" i="24"/>
  <c r="W237" i="24"/>
  <c r="V237" i="24"/>
  <c r="U237" i="24"/>
  <c r="T237" i="24"/>
  <c r="S237" i="24"/>
  <c r="R237" i="24"/>
  <c r="Q237" i="24"/>
  <c r="P237" i="24"/>
  <c r="O237" i="24"/>
  <c r="N237" i="24"/>
  <c r="M237" i="24"/>
  <c r="L237" i="24"/>
  <c r="I237" i="24"/>
  <c r="H237" i="24"/>
  <c r="G237" i="24"/>
  <c r="F237" i="24"/>
  <c r="E237" i="24"/>
  <c r="D237" i="24"/>
  <c r="C237" i="24"/>
  <c r="AD236" i="24"/>
  <c r="AC236" i="24"/>
  <c r="AB236" i="24"/>
  <c r="AA236" i="24"/>
  <c r="Z236" i="24"/>
  <c r="Y236" i="24"/>
  <c r="X236" i="24"/>
  <c r="W236" i="24"/>
  <c r="V236" i="24"/>
  <c r="U236" i="24"/>
  <c r="T236" i="24"/>
  <c r="S236" i="24"/>
  <c r="R236" i="24"/>
  <c r="Q236" i="24"/>
  <c r="P236" i="24"/>
  <c r="O236" i="24"/>
  <c r="N236" i="24"/>
  <c r="M236" i="24"/>
  <c r="L236" i="24"/>
  <c r="I236" i="24"/>
  <c r="H236" i="24"/>
  <c r="G236" i="24"/>
  <c r="F236" i="24"/>
  <c r="E236" i="24"/>
  <c r="D236" i="24"/>
  <c r="C236" i="24"/>
  <c r="AD228" i="24"/>
  <c r="AD31" i="24" s="1"/>
  <c r="AC228" i="24"/>
  <c r="AC31" i="24" s="1"/>
  <c r="AB228" i="24"/>
  <c r="AB31" i="24" s="1"/>
  <c r="AA228" i="24"/>
  <c r="AA31" i="24" s="1"/>
  <c r="Z228" i="24"/>
  <c r="Z31" i="24" s="1"/>
  <c r="Y228" i="24"/>
  <c r="Y31" i="24" s="1"/>
  <c r="X228" i="24"/>
  <c r="X31" i="24" s="1"/>
  <c r="W228" i="24"/>
  <c r="W31" i="24" s="1"/>
  <c r="V228" i="24"/>
  <c r="V31" i="24" s="1"/>
  <c r="U228" i="24"/>
  <c r="U31" i="24" s="1"/>
  <c r="T228" i="24"/>
  <c r="T31" i="24" s="1"/>
  <c r="S228" i="24"/>
  <c r="S31" i="24" s="1"/>
  <c r="R228" i="24"/>
  <c r="R31" i="24" s="1"/>
  <c r="Q228" i="24"/>
  <c r="Q31" i="24" s="1"/>
  <c r="P228" i="24"/>
  <c r="P31" i="24" s="1"/>
  <c r="O228" i="24"/>
  <c r="N228" i="24"/>
  <c r="N31" i="24" s="1"/>
  <c r="M228" i="24"/>
  <c r="M31" i="24" s="1"/>
  <c r="L228" i="24"/>
  <c r="L31" i="24" s="1"/>
  <c r="I228" i="24"/>
  <c r="I31" i="24" s="1"/>
  <c r="H228" i="24"/>
  <c r="H31" i="24" s="1"/>
  <c r="H33" i="12" s="1"/>
  <c r="G228" i="24"/>
  <c r="F228" i="24"/>
  <c r="F31" i="24" s="1"/>
  <c r="F33" i="12" s="1"/>
  <c r="E228" i="24"/>
  <c r="E31" i="24" s="1"/>
  <c r="E33" i="12" s="1"/>
  <c r="D228" i="24"/>
  <c r="D31" i="24" s="1"/>
  <c r="D33" i="12" s="1"/>
  <c r="C228" i="24"/>
  <c r="C31" i="24" s="1"/>
  <c r="AD227" i="24"/>
  <c r="AC227" i="24"/>
  <c r="AB227" i="24"/>
  <c r="AA227" i="24"/>
  <c r="Z227" i="24"/>
  <c r="Y227" i="24"/>
  <c r="X227" i="24"/>
  <c r="W227" i="24"/>
  <c r="V227" i="24"/>
  <c r="U227" i="24"/>
  <c r="T227" i="24"/>
  <c r="S227" i="24"/>
  <c r="R227" i="24"/>
  <c r="Q227" i="24"/>
  <c r="P227" i="24"/>
  <c r="O227" i="24"/>
  <c r="N227" i="24"/>
  <c r="M227" i="24"/>
  <c r="L227" i="24"/>
  <c r="I227" i="24"/>
  <c r="H227" i="24"/>
  <c r="G227" i="24"/>
  <c r="F227" i="24"/>
  <c r="E227" i="24"/>
  <c r="D227" i="24"/>
  <c r="C227" i="24"/>
  <c r="AD226" i="24"/>
  <c r="AC226" i="24"/>
  <c r="AB226" i="24"/>
  <c r="AA226" i="24"/>
  <c r="Z226" i="24"/>
  <c r="Y226" i="24"/>
  <c r="X226" i="24"/>
  <c r="W226" i="24"/>
  <c r="V226" i="24"/>
  <c r="U226" i="24"/>
  <c r="T226" i="24"/>
  <c r="S226" i="24"/>
  <c r="R226" i="24"/>
  <c r="Q226" i="24"/>
  <c r="P226" i="24"/>
  <c r="O226" i="24"/>
  <c r="N226" i="24"/>
  <c r="M226" i="24"/>
  <c r="L226" i="24"/>
  <c r="I226" i="24"/>
  <c r="H226" i="24"/>
  <c r="G226" i="24"/>
  <c r="F226" i="24"/>
  <c r="E226" i="24"/>
  <c r="D226" i="24"/>
  <c r="C226" i="24"/>
  <c r="AD220" i="24"/>
  <c r="AC220" i="24"/>
  <c r="AB220" i="24"/>
  <c r="AA220" i="24"/>
  <c r="Z220" i="24"/>
  <c r="Y220" i="24"/>
  <c r="X220" i="24"/>
  <c r="W220" i="24"/>
  <c r="V220" i="24"/>
  <c r="U220" i="24"/>
  <c r="T220" i="24"/>
  <c r="S220" i="24"/>
  <c r="R220" i="24"/>
  <c r="Q220" i="24"/>
  <c r="P220" i="24"/>
  <c r="O220" i="24"/>
  <c r="N220" i="24"/>
  <c r="M220" i="24"/>
  <c r="L220" i="24"/>
  <c r="I220" i="24"/>
  <c r="H220" i="24"/>
  <c r="G220" i="24"/>
  <c r="F220" i="24"/>
  <c r="E220" i="24"/>
  <c r="D220" i="24"/>
  <c r="C220" i="24"/>
  <c r="AD217" i="24"/>
  <c r="AC217" i="24"/>
  <c r="AB217" i="24"/>
  <c r="AA217" i="24"/>
  <c r="Z217" i="24"/>
  <c r="Y217" i="24"/>
  <c r="X217" i="24"/>
  <c r="W217" i="24"/>
  <c r="V217" i="24"/>
  <c r="U217" i="24"/>
  <c r="T217" i="24"/>
  <c r="S217" i="24"/>
  <c r="R217" i="24"/>
  <c r="Q217" i="24"/>
  <c r="P217" i="24"/>
  <c r="O217" i="24"/>
  <c r="N217" i="24"/>
  <c r="M217" i="24"/>
  <c r="L217" i="24"/>
  <c r="G217" i="24"/>
  <c r="F217" i="24"/>
  <c r="E217" i="24"/>
  <c r="D217" i="24"/>
  <c r="C217" i="24"/>
  <c r="AD205" i="24"/>
  <c r="AC205" i="24"/>
  <c r="W164" i="12" s="1"/>
  <c r="AB205" i="24"/>
  <c r="AA205" i="24"/>
  <c r="Z205" i="24"/>
  <c r="Y205" i="24"/>
  <c r="U164" i="12" s="1"/>
  <c r="X205" i="24"/>
  <c r="W205" i="24"/>
  <c r="V205" i="24"/>
  <c r="U205" i="24"/>
  <c r="S164" i="12" s="1"/>
  <c r="T205" i="24"/>
  <c r="S205" i="24"/>
  <c r="R205" i="24"/>
  <c r="Q205" i="24"/>
  <c r="Q164" i="12" s="1"/>
  <c r="P205" i="24"/>
  <c r="O205" i="24"/>
  <c r="N205" i="24"/>
  <c r="M205" i="24"/>
  <c r="O164" i="12" s="1"/>
  <c r="L205" i="24"/>
  <c r="I205" i="24"/>
  <c r="I164" i="12" s="1"/>
  <c r="H205" i="24"/>
  <c r="H164" i="12" s="1"/>
  <c r="G205" i="24"/>
  <c r="G164" i="12" s="1"/>
  <c r="F205" i="24"/>
  <c r="F164" i="12" s="1"/>
  <c r="E205" i="24"/>
  <c r="E164" i="12" s="1"/>
  <c r="D205" i="24"/>
  <c r="D164" i="12" s="1"/>
  <c r="C205" i="24"/>
  <c r="C164" i="12" s="1"/>
  <c r="AD203" i="24"/>
  <c r="AC203" i="24"/>
  <c r="W160" i="12" s="1"/>
  <c r="AB203" i="24"/>
  <c r="AA203" i="24"/>
  <c r="Z203" i="24"/>
  <c r="Y203" i="24"/>
  <c r="U160" i="12" s="1"/>
  <c r="X203" i="24"/>
  <c r="W203" i="24"/>
  <c r="V203" i="24"/>
  <c r="U203" i="24"/>
  <c r="S160" i="12" s="1"/>
  <c r="T203" i="24"/>
  <c r="S203" i="24"/>
  <c r="R203" i="24"/>
  <c r="Q203" i="24"/>
  <c r="Q160" i="12" s="1"/>
  <c r="P203" i="24"/>
  <c r="O203" i="24"/>
  <c r="N203" i="24"/>
  <c r="M203" i="24"/>
  <c r="O160" i="12" s="1"/>
  <c r="L203" i="24"/>
  <c r="I203" i="24"/>
  <c r="I160" i="12" s="1"/>
  <c r="H203" i="24"/>
  <c r="H160" i="12" s="1"/>
  <c r="T160" i="12" s="1"/>
  <c r="G203" i="24"/>
  <c r="G160" i="12" s="1"/>
  <c r="R160" i="12" s="1"/>
  <c r="F203" i="24"/>
  <c r="F160" i="12" s="1"/>
  <c r="P160" i="12" s="1"/>
  <c r="E203" i="24"/>
  <c r="E160" i="12" s="1"/>
  <c r="D203" i="24"/>
  <c r="D160" i="12" s="1"/>
  <c r="C203" i="24"/>
  <c r="C160" i="12" s="1"/>
  <c r="AD201" i="24"/>
  <c r="AC201" i="24"/>
  <c r="W161" i="12" s="1"/>
  <c r="AB201" i="24"/>
  <c r="AA201" i="24"/>
  <c r="Z201" i="24"/>
  <c r="Y201" i="24"/>
  <c r="U161" i="12" s="1"/>
  <c r="X201" i="24"/>
  <c r="W201" i="24"/>
  <c r="V201" i="24"/>
  <c r="U201" i="24"/>
  <c r="T201" i="24"/>
  <c r="S201" i="24"/>
  <c r="R201" i="24"/>
  <c r="Q201" i="24"/>
  <c r="Q161" i="12" s="1"/>
  <c r="P201" i="24"/>
  <c r="O201" i="24"/>
  <c r="N201" i="24"/>
  <c r="M201" i="24"/>
  <c r="O161" i="12" s="1"/>
  <c r="L201" i="24"/>
  <c r="I201" i="24"/>
  <c r="I161" i="12" s="1"/>
  <c r="V161" i="12" s="1"/>
  <c r="H201" i="24"/>
  <c r="H161" i="12" s="1"/>
  <c r="T161" i="12" s="1"/>
  <c r="G201" i="24"/>
  <c r="G161" i="12" s="1"/>
  <c r="R161" i="12" s="1"/>
  <c r="F201" i="24"/>
  <c r="E201" i="24"/>
  <c r="E161" i="12" s="1"/>
  <c r="D201" i="24"/>
  <c r="D161" i="12" s="1"/>
  <c r="C201" i="24"/>
  <c r="C161" i="12" s="1"/>
  <c r="AD198" i="24"/>
  <c r="AC198" i="24"/>
  <c r="AB198" i="24"/>
  <c r="AA198" i="24"/>
  <c r="Z198" i="24"/>
  <c r="Y198" i="24"/>
  <c r="U159" i="12" s="1"/>
  <c r="X198" i="24"/>
  <c r="W198" i="24"/>
  <c r="V198" i="24"/>
  <c r="U198" i="24"/>
  <c r="S159" i="12" s="1"/>
  <c r="T198" i="24"/>
  <c r="S198" i="24"/>
  <c r="R198" i="24"/>
  <c r="Q198" i="24"/>
  <c r="P198" i="24"/>
  <c r="O198" i="24"/>
  <c r="N198" i="24"/>
  <c r="M198" i="24"/>
  <c r="O159" i="12" s="1"/>
  <c r="L198" i="24"/>
  <c r="I198" i="24"/>
  <c r="H198" i="24"/>
  <c r="H159" i="12" s="1"/>
  <c r="T159" i="12" s="1"/>
  <c r="G198" i="24"/>
  <c r="G159" i="12" s="1"/>
  <c r="F198" i="24"/>
  <c r="F159" i="12" s="1"/>
  <c r="E198" i="24"/>
  <c r="E159" i="12" s="1"/>
  <c r="D198" i="24"/>
  <c r="C198" i="24"/>
  <c r="I194" i="24"/>
  <c r="H194" i="24"/>
  <c r="G194" i="24"/>
  <c r="F194" i="24"/>
  <c r="AD192" i="24"/>
  <c r="AC192" i="24"/>
  <c r="AB192" i="24"/>
  <c r="AA192" i="24"/>
  <c r="Z192" i="24"/>
  <c r="Y192" i="24"/>
  <c r="X192" i="24"/>
  <c r="W192" i="24"/>
  <c r="V192" i="24"/>
  <c r="U192" i="24"/>
  <c r="T192" i="24"/>
  <c r="S192" i="24"/>
  <c r="R192" i="24"/>
  <c r="Q192" i="24"/>
  <c r="P192" i="24"/>
  <c r="O192" i="24"/>
  <c r="N192" i="24"/>
  <c r="M192" i="24"/>
  <c r="L192" i="24"/>
  <c r="I192" i="24"/>
  <c r="H192" i="24"/>
  <c r="G192" i="24"/>
  <c r="F192" i="24"/>
  <c r="E192" i="24"/>
  <c r="D192" i="24"/>
  <c r="C192" i="24"/>
  <c r="AD189" i="24"/>
  <c r="AC189" i="24"/>
  <c r="AB189" i="24"/>
  <c r="AA189" i="24"/>
  <c r="Z189" i="24"/>
  <c r="Y189" i="24"/>
  <c r="X189" i="24"/>
  <c r="W189" i="24"/>
  <c r="V189" i="24"/>
  <c r="U189" i="24"/>
  <c r="T189" i="24"/>
  <c r="S189" i="24"/>
  <c r="R189" i="24"/>
  <c r="Q189" i="24"/>
  <c r="P189" i="24"/>
  <c r="O189" i="24"/>
  <c r="N189" i="24"/>
  <c r="M189" i="24"/>
  <c r="L189" i="24"/>
  <c r="I189" i="24"/>
  <c r="H189" i="24"/>
  <c r="G189" i="24"/>
  <c r="F189" i="24"/>
  <c r="E189" i="24"/>
  <c r="D189" i="24"/>
  <c r="C189" i="24"/>
  <c r="AD187" i="24"/>
  <c r="AC187" i="24"/>
  <c r="AB187" i="24"/>
  <c r="AA187" i="24"/>
  <c r="Z187" i="24"/>
  <c r="Y187" i="24"/>
  <c r="X187" i="24"/>
  <c r="W187" i="24"/>
  <c r="V187" i="24"/>
  <c r="U187" i="24"/>
  <c r="T187" i="24"/>
  <c r="S187" i="24"/>
  <c r="R187" i="24"/>
  <c r="Q187" i="24"/>
  <c r="P187" i="24"/>
  <c r="O187" i="24"/>
  <c r="N187" i="24"/>
  <c r="M187" i="24"/>
  <c r="L187" i="24"/>
  <c r="I187" i="24"/>
  <c r="H187" i="24"/>
  <c r="G187" i="24"/>
  <c r="F187" i="24"/>
  <c r="E187" i="24"/>
  <c r="D187" i="24"/>
  <c r="C187" i="24"/>
  <c r="AD182" i="24"/>
  <c r="AC182" i="24"/>
  <c r="AB182" i="24"/>
  <c r="AA182" i="24"/>
  <c r="Z182" i="24"/>
  <c r="Y182" i="24"/>
  <c r="X182" i="24"/>
  <c r="W182" i="24"/>
  <c r="V182" i="24"/>
  <c r="U182" i="24"/>
  <c r="T182" i="24"/>
  <c r="S182" i="24"/>
  <c r="R182" i="24"/>
  <c r="Q182" i="24"/>
  <c r="P182" i="24"/>
  <c r="O182" i="24"/>
  <c r="N182" i="24"/>
  <c r="M182" i="24"/>
  <c r="L182" i="24"/>
  <c r="I182" i="24"/>
  <c r="H182" i="24"/>
  <c r="G182" i="24"/>
  <c r="F182" i="24"/>
  <c r="E182" i="24"/>
  <c r="D182" i="24"/>
  <c r="C182" i="24"/>
  <c r="AD181" i="24"/>
  <c r="AC181" i="24"/>
  <c r="W149" i="12" s="1"/>
  <c r="AB181" i="24"/>
  <c r="AA181" i="24"/>
  <c r="Z181" i="24"/>
  <c r="Y181" i="24"/>
  <c r="U149" i="12" s="1"/>
  <c r="X181" i="24"/>
  <c r="W181" i="24"/>
  <c r="V181" i="24"/>
  <c r="U181" i="24"/>
  <c r="S149" i="12" s="1"/>
  <c r="T181" i="24"/>
  <c r="S181" i="24"/>
  <c r="R181" i="24"/>
  <c r="Q181" i="24"/>
  <c r="Q149" i="12" s="1"/>
  <c r="P181" i="24"/>
  <c r="O181" i="24"/>
  <c r="N181" i="24"/>
  <c r="M181" i="24"/>
  <c r="O149" i="12" s="1"/>
  <c r="L181" i="24"/>
  <c r="I181" i="24"/>
  <c r="I149" i="12" s="1"/>
  <c r="H181" i="24"/>
  <c r="H149" i="12" s="1"/>
  <c r="T149" i="12" s="1"/>
  <c r="G181" i="24"/>
  <c r="G149" i="12" s="1"/>
  <c r="F181" i="24"/>
  <c r="F189" i="12" s="1"/>
  <c r="AD179" i="24"/>
  <c r="AC179" i="24"/>
  <c r="AB179" i="24"/>
  <c r="AA179" i="24"/>
  <c r="Z179" i="24"/>
  <c r="Y179" i="24"/>
  <c r="X179" i="24"/>
  <c r="W179" i="24"/>
  <c r="V179" i="24"/>
  <c r="U179" i="24"/>
  <c r="T179" i="24"/>
  <c r="S179" i="24"/>
  <c r="R179" i="24"/>
  <c r="Q179" i="24"/>
  <c r="P179" i="24"/>
  <c r="O179" i="24"/>
  <c r="N179" i="24"/>
  <c r="M179" i="24"/>
  <c r="L179" i="24"/>
  <c r="I179" i="24"/>
  <c r="H179" i="24"/>
  <c r="G179" i="24"/>
  <c r="F179" i="24"/>
  <c r="E179" i="24"/>
  <c r="D179" i="24"/>
  <c r="C179" i="24"/>
  <c r="AD178" i="24"/>
  <c r="AC178" i="24"/>
  <c r="AB178" i="24"/>
  <c r="AA178" i="24"/>
  <c r="Z178" i="24"/>
  <c r="Y178" i="24"/>
  <c r="X178" i="24"/>
  <c r="W178" i="24"/>
  <c r="V178" i="24"/>
  <c r="U178" i="24"/>
  <c r="T178" i="24"/>
  <c r="S178" i="24"/>
  <c r="R178" i="24"/>
  <c r="Q178" i="24"/>
  <c r="P178" i="24"/>
  <c r="O178" i="24"/>
  <c r="N178" i="24"/>
  <c r="M178" i="24"/>
  <c r="L178" i="24"/>
  <c r="I178" i="24"/>
  <c r="H178" i="24"/>
  <c r="G178" i="24"/>
  <c r="F178" i="24"/>
  <c r="E178" i="24"/>
  <c r="D178" i="24"/>
  <c r="C178" i="24"/>
  <c r="AD173" i="24"/>
  <c r="AC173" i="24"/>
  <c r="AB173" i="24"/>
  <c r="AA173" i="24"/>
  <c r="Z173" i="24"/>
  <c r="Y173" i="24"/>
  <c r="X173" i="24"/>
  <c r="W173" i="24"/>
  <c r="V173" i="24"/>
  <c r="U173" i="24"/>
  <c r="T173" i="24"/>
  <c r="S173" i="24"/>
  <c r="R173" i="24"/>
  <c r="Q173" i="24"/>
  <c r="P173" i="24"/>
  <c r="O173" i="24"/>
  <c r="N173" i="24"/>
  <c r="M173" i="24"/>
  <c r="L173" i="24"/>
  <c r="I173" i="24"/>
  <c r="H173" i="24"/>
  <c r="G173" i="24"/>
  <c r="F173" i="24"/>
  <c r="E173" i="24"/>
  <c r="D173" i="24"/>
  <c r="C173" i="24"/>
  <c r="AD172" i="24"/>
  <c r="AC172" i="24"/>
  <c r="AB172" i="24"/>
  <c r="AA172" i="24"/>
  <c r="Z172" i="24"/>
  <c r="Y172" i="24"/>
  <c r="X172" i="24"/>
  <c r="W172" i="24"/>
  <c r="V172" i="24"/>
  <c r="U172" i="24"/>
  <c r="T172" i="24"/>
  <c r="S172" i="24"/>
  <c r="R172" i="24"/>
  <c r="Q172" i="24"/>
  <c r="P172" i="24"/>
  <c r="O172" i="24"/>
  <c r="N172" i="24"/>
  <c r="M172" i="24"/>
  <c r="L172" i="24"/>
  <c r="I172" i="24"/>
  <c r="H172" i="24"/>
  <c r="G172" i="24"/>
  <c r="F172" i="24"/>
  <c r="E172" i="24"/>
  <c r="D172" i="24"/>
  <c r="C172" i="24"/>
  <c r="AD168" i="24"/>
  <c r="AC168" i="24"/>
  <c r="AB168" i="24"/>
  <c r="AA168" i="24"/>
  <c r="Z168" i="24"/>
  <c r="Y168" i="24"/>
  <c r="X168" i="24"/>
  <c r="W168" i="24"/>
  <c r="V168" i="24"/>
  <c r="U168" i="24"/>
  <c r="T168" i="24"/>
  <c r="S168" i="24"/>
  <c r="R168" i="24"/>
  <c r="Q168" i="24"/>
  <c r="P168" i="24"/>
  <c r="O168" i="24"/>
  <c r="N168" i="24"/>
  <c r="M168" i="24"/>
  <c r="L168" i="24"/>
  <c r="I168" i="24"/>
  <c r="H168" i="24"/>
  <c r="G168" i="24"/>
  <c r="F168" i="24"/>
  <c r="E168" i="24"/>
  <c r="D168" i="24"/>
  <c r="C168" i="24"/>
  <c r="AD167" i="24"/>
  <c r="AC167" i="24"/>
  <c r="AB167" i="24"/>
  <c r="AA167" i="24"/>
  <c r="Z167" i="24"/>
  <c r="Y167" i="24"/>
  <c r="X167" i="24"/>
  <c r="W167" i="24"/>
  <c r="V167" i="24"/>
  <c r="U167" i="24"/>
  <c r="T167" i="24"/>
  <c r="S167" i="24"/>
  <c r="R167" i="24"/>
  <c r="Q167" i="24"/>
  <c r="P167" i="24"/>
  <c r="O167" i="24"/>
  <c r="N167" i="24"/>
  <c r="M167" i="24"/>
  <c r="L167" i="24"/>
  <c r="I167" i="24"/>
  <c r="H167" i="24"/>
  <c r="G167" i="24"/>
  <c r="F167" i="24"/>
  <c r="E167" i="24"/>
  <c r="D167" i="24"/>
  <c r="C167" i="24"/>
  <c r="AD166" i="24"/>
  <c r="AC166" i="24"/>
  <c r="AB166" i="24"/>
  <c r="AA166" i="24"/>
  <c r="Z166" i="24"/>
  <c r="Y166" i="24"/>
  <c r="X166" i="24"/>
  <c r="W166" i="24"/>
  <c r="V166" i="24"/>
  <c r="U166" i="24"/>
  <c r="T166" i="24"/>
  <c r="S166" i="24"/>
  <c r="R166" i="24"/>
  <c r="Q166" i="24"/>
  <c r="P166" i="24"/>
  <c r="O166" i="24"/>
  <c r="N166" i="24"/>
  <c r="M166" i="24"/>
  <c r="L166" i="24"/>
  <c r="I166" i="24"/>
  <c r="H166" i="24"/>
  <c r="G166" i="24"/>
  <c r="F166" i="24"/>
  <c r="E166" i="24"/>
  <c r="D166" i="24"/>
  <c r="C166" i="24"/>
  <c r="I155" i="24"/>
  <c r="H155" i="24"/>
  <c r="G155" i="24"/>
  <c r="F155" i="24"/>
  <c r="E155" i="24"/>
  <c r="D155" i="24"/>
  <c r="C155" i="24"/>
  <c r="AD154" i="24"/>
  <c r="AC154" i="24"/>
  <c r="AB154" i="24"/>
  <c r="AA154" i="24"/>
  <c r="Z154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I154" i="24"/>
  <c r="H154" i="24"/>
  <c r="G154" i="24"/>
  <c r="F154" i="24"/>
  <c r="E154" i="24"/>
  <c r="D154" i="24"/>
  <c r="C154" i="24"/>
  <c r="AD153" i="24"/>
  <c r="AC153" i="24"/>
  <c r="AB153" i="24"/>
  <c r="AA153" i="24"/>
  <c r="Z153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I153" i="24"/>
  <c r="H153" i="24"/>
  <c r="G153" i="24"/>
  <c r="F153" i="24"/>
  <c r="E153" i="24"/>
  <c r="D153" i="24"/>
  <c r="C153" i="24"/>
  <c r="I152" i="24"/>
  <c r="H152" i="24"/>
  <c r="G152" i="24"/>
  <c r="F152" i="24"/>
  <c r="E152" i="24"/>
  <c r="D152" i="24"/>
  <c r="C152" i="24"/>
  <c r="AD151" i="24"/>
  <c r="AC151" i="24"/>
  <c r="AB151" i="24"/>
  <c r="AA151" i="24"/>
  <c r="Z151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I151" i="24"/>
  <c r="H151" i="24"/>
  <c r="G151" i="24"/>
  <c r="F151" i="24"/>
  <c r="E151" i="24"/>
  <c r="D151" i="24"/>
  <c r="C151" i="24"/>
  <c r="AD150" i="24"/>
  <c r="AC150" i="24"/>
  <c r="AB150" i="24"/>
  <c r="AA150" i="24"/>
  <c r="Z150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I150" i="24"/>
  <c r="H150" i="24"/>
  <c r="G150" i="24"/>
  <c r="F150" i="24"/>
  <c r="E150" i="24"/>
  <c r="D150" i="24"/>
  <c r="C150" i="24"/>
  <c r="AD145" i="24"/>
  <c r="AC145" i="24"/>
  <c r="AB145" i="24"/>
  <c r="AA145" i="24"/>
  <c r="Z145" i="24"/>
  <c r="Y145" i="24"/>
  <c r="X145" i="24"/>
  <c r="W145" i="24"/>
  <c r="V145" i="24"/>
  <c r="U145" i="24"/>
  <c r="T145" i="24"/>
  <c r="S145" i="24"/>
  <c r="R145" i="24"/>
  <c r="Q145" i="24"/>
  <c r="P145" i="24"/>
  <c r="O145" i="24"/>
  <c r="N145" i="24"/>
  <c r="M145" i="24"/>
  <c r="L145" i="24"/>
  <c r="I145" i="24"/>
  <c r="H145" i="24"/>
  <c r="G145" i="24"/>
  <c r="F145" i="24"/>
  <c r="E145" i="24"/>
  <c r="D145" i="24"/>
  <c r="C145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I143" i="24"/>
  <c r="H143" i="24"/>
  <c r="G143" i="24"/>
  <c r="F143" i="24"/>
  <c r="E143" i="24"/>
  <c r="D143" i="24"/>
  <c r="C143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I142" i="24"/>
  <c r="H142" i="24"/>
  <c r="G142" i="24"/>
  <c r="F142" i="24"/>
  <c r="E142" i="24"/>
  <c r="D142" i="24"/>
  <c r="C142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I141" i="24"/>
  <c r="H141" i="24"/>
  <c r="G141" i="24"/>
  <c r="F141" i="24"/>
  <c r="E141" i="24"/>
  <c r="D141" i="24"/>
  <c r="C141" i="24"/>
  <c r="AD139" i="24"/>
  <c r="AC139" i="24"/>
  <c r="W132" i="12" s="1"/>
  <c r="AB139" i="24"/>
  <c r="AA139" i="24"/>
  <c r="Z139" i="24"/>
  <c r="Y139" i="24"/>
  <c r="U132" i="12" s="1"/>
  <c r="X139" i="24"/>
  <c r="W139" i="24"/>
  <c r="V139" i="24"/>
  <c r="U139" i="24"/>
  <c r="S132" i="12" s="1"/>
  <c r="T139" i="24"/>
  <c r="S139" i="24"/>
  <c r="R139" i="24"/>
  <c r="Q139" i="24"/>
  <c r="Q132" i="12" s="1"/>
  <c r="P139" i="24"/>
  <c r="O139" i="24"/>
  <c r="N139" i="24"/>
  <c r="M139" i="24"/>
  <c r="O132" i="12" s="1"/>
  <c r="L139" i="24"/>
  <c r="I139" i="24"/>
  <c r="I132" i="12" s="1"/>
  <c r="H139" i="24"/>
  <c r="H132" i="12" s="1"/>
  <c r="G139" i="24"/>
  <c r="G132" i="12" s="1"/>
  <c r="F139" i="24"/>
  <c r="F132" i="12" s="1"/>
  <c r="E139" i="24"/>
  <c r="E132" i="12" s="1"/>
  <c r="D139" i="24"/>
  <c r="D132" i="12" s="1"/>
  <c r="C139" i="24"/>
  <c r="C132" i="12" s="1"/>
  <c r="AD130" i="24"/>
  <c r="AD133" i="24" s="1"/>
  <c r="AC130" i="24"/>
  <c r="AC133" i="24" s="1"/>
  <c r="W130" i="12" s="1"/>
  <c r="AB130" i="24"/>
  <c r="AB133" i="24" s="1"/>
  <c r="AA130" i="24"/>
  <c r="AA133" i="24" s="1"/>
  <c r="Z130" i="24"/>
  <c r="Z133" i="24" s="1"/>
  <c r="Y130" i="24"/>
  <c r="Y133" i="24" s="1"/>
  <c r="U130" i="12" s="1"/>
  <c r="X130" i="24"/>
  <c r="X133" i="24" s="1"/>
  <c r="W130" i="24"/>
  <c r="W133" i="24" s="1"/>
  <c r="V130" i="24"/>
  <c r="V133" i="24" s="1"/>
  <c r="U130" i="24"/>
  <c r="U133" i="24" s="1"/>
  <c r="S130" i="12" s="1"/>
  <c r="T130" i="24"/>
  <c r="T133" i="24" s="1"/>
  <c r="S130" i="24"/>
  <c r="S133" i="24" s="1"/>
  <c r="R130" i="24"/>
  <c r="R133" i="24" s="1"/>
  <c r="Q130" i="24"/>
  <c r="Q133" i="24" s="1"/>
  <c r="Q130" i="12" s="1"/>
  <c r="P130" i="24"/>
  <c r="P133" i="24" s="1"/>
  <c r="O130" i="24"/>
  <c r="O133" i="24" s="1"/>
  <c r="N130" i="24"/>
  <c r="N133" i="24" s="1"/>
  <c r="M130" i="24"/>
  <c r="M133" i="24" s="1"/>
  <c r="O130" i="12" s="1"/>
  <c r="L130" i="24"/>
  <c r="L133" i="24" s="1"/>
  <c r="I130" i="24"/>
  <c r="I133" i="24" s="1"/>
  <c r="I130" i="12" s="1"/>
  <c r="H130" i="24"/>
  <c r="H133" i="24" s="1"/>
  <c r="H130" i="12" s="1"/>
  <c r="G130" i="24"/>
  <c r="G133" i="24" s="1"/>
  <c r="G130" i="12" s="1"/>
  <c r="G59" i="63" s="1"/>
  <c r="F130" i="24"/>
  <c r="F133" i="24" s="1"/>
  <c r="F130" i="12" s="1"/>
  <c r="F59" i="63" s="1"/>
  <c r="E130" i="24"/>
  <c r="E133" i="24" s="1"/>
  <c r="E130" i="12" s="1"/>
  <c r="D130" i="24"/>
  <c r="D133" i="24" s="1"/>
  <c r="D130" i="12" s="1"/>
  <c r="C130" i="24"/>
  <c r="C133" i="24" s="1"/>
  <c r="C130" i="12" s="1"/>
  <c r="AD124" i="24"/>
  <c r="AC124" i="24"/>
  <c r="AB124" i="24"/>
  <c r="AA124" i="24"/>
  <c r="Z124" i="24"/>
  <c r="Y124" i="24"/>
  <c r="X124" i="24"/>
  <c r="W124" i="24"/>
  <c r="V124" i="24"/>
  <c r="U124" i="24"/>
  <c r="T124" i="24"/>
  <c r="S124" i="24"/>
  <c r="R124" i="24"/>
  <c r="Q124" i="24"/>
  <c r="P124" i="24"/>
  <c r="O124" i="24"/>
  <c r="N124" i="24"/>
  <c r="M124" i="24"/>
  <c r="L124" i="24"/>
  <c r="I124" i="24"/>
  <c r="H124" i="24"/>
  <c r="G124" i="24"/>
  <c r="F124" i="24"/>
  <c r="E124" i="24"/>
  <c r="D124" i="24"/>
  <c r="C124" i="24"/>
  <c r="AD123" i="24"/>
  <c r="AC123" i="24"/>
  <c r="AB123" i="24"/>
  <c r="AA123" i="24"/>
  <c r="Z123" i="24"/>
  <c r="Y123" i="24"/>
  <c r="X123" i="24"/>
  <c r="W123" i="24"/>
  <c r="V123" i="24"/>
  <c r="U123" i="24"/>
  <c r="T123" i="24"/>
  <c r="S123" i="24"/>
  <c r="R123" i="24"/>
  <c r="Q123" i="24"/>
  <c r="P123" i="24"/>
  <c r="O123" i="24"/>
  <c r="N123" i="24"/>
  <c r="M123" i="24"/>
  <c r="L123" i="24"/>
  <c r="I123" i="24"/>
  <c r="H123" i="24"/>
  <c r="G123" i="24"/>
  <c r="F123" i="24"/>
  <c r="E123" i="24"/>
  <c r="D123" i="24"/>
  <c r="C123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I121" i="24"/>
  <c r="H121" i="24"/>
  <c r="G121" i="24"/>
  <c r="F121" i="24"/>
  <c r="E121" i="24"/>
  <c r="D121" i="24"/>
  <c r="C121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I117" i="24"/>
  <c r="H117" i="24"/>
  <c r="G117" i="24"/>
  <c r="F117" i="24"/>
  <c r="E117" i="24"/>
  <c r="D117" i="24"/>
  <c r="C117" i="24"/>
  <c r="AD114" i="24"/>
  <c r="AC114" i="24"/>
  <c r="AB114" i="24"/>
  <c r="AA114" i="24"/>
  <c r="Z114" i="24"/>
  <c r="Y114" i="24"/>
  <c r="X114" i="24"/>
  <c r="W114" i="24"/>
  <c r="V114" i="24"/>
  <c r="U114" i="24"/>
  <c r="T114" i="24"/>
  <c r="S114" i="24"/>
  <c r="R114" i="24"/>
  <c r="Q114" i="24"/>
  <c r="P114" i="24"/>
  <c r="O114" i="24"/>
  <c r="N114" i="24"/>
  <c r="M114" i="24"/>
  <c r="L114" i="24"/>
  <c r="I114" i="24"/>
  <c r="I108" i="12" s="1"/>
  <c r="K108" i="12" s="1"/>
  <c r="H114" i="24"/>
  <c r="H108" i="12" s="1"/>
  <c r="G114" i="24"/>
  <c r="F114" i="24"/>
  <c r="F108" i="12" s="1"/>
  <c r="E114" i="24"/>
  <c r="E108" i="12" s="1"/>
  <c r="D114" i="24"/>
  <c r="D108" i="12" s="1"/>
  <c r="C114" i="24"/>
  <c r="C108" i="12" s="1"/>
  <c r="AD113" i="24"/>
  <c r="AC113" i="24"/>
  <c r="AB113" i="24"/>
  <c r="AA113" i="24"/>
  <c r="Z113" i="24"/>
  <c r="Y113" i="24"/>
  <c r="X113" i="24"/>
  <c r="W113" i="24"/>
  <c r="V113" i="24"/>
  <c r="U113" i="24"/>
  <c r="T113" i="24"/>
  <c r="S113" i="24"/>
  <c r="R113" i="24"/>
  <c r="Q113" i="24"/>
  <c r="P113" i="24"/>
  <c r="O113" i="24"/>
  <c r="N113" i="24"/>
  <c r="M113" i="24"/>
  <c r="L113" i="24"/>
  <c r="I113" i="24"/>
  <c r="H113" i="24"/>
  <c r="G113" i="24"/>
  <c r="F113" i="24"/>
  <c r="E113" i="24"/>
  <c r="D113" i="24"/>
  <c r="C113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I111" i="24"/>
  <c r="H111" i="24"/>
  <c r="G111" i="24"/>
  <c r="F111" i="24"/>
  <c r="E111" i="24"/>
  <c r="D111" i="24"/>
  <c r="C111" i="24"/>
  <c r="AD110" i="24"/>
  <c r="AC110" i="24"/>
  <c r="W141" i="12" s="1"/>
  <c r="AB110" i="24"/>
  <c r="AA110" i="24"/>
  <c r="Z110" i="24"/>
  <c r="Y110" i="24"/>
  <c r="U141" i="12" s="1"/>
  <c r="X110" i="24"/>
  <c r="W110" i="24"/>
  <c r="V110" i="24"/>
  <c r="U110" i="24"/>
  <c r="S141" i="12" s="1"/>
  <c r="T110" i="24"/>
  <c r="S110" i="24"/>
  <c r="R110" i="24"/>
  <c r="Q110" i="24"/>
  <c r="Q141" i="12" s="1"/>
  <c r="P110" i="24"/>
  <c r="O110" i="24"/>
  <c r="N110" i="24"/>
  <c r="M110" i="24"/>
  <c r="O141" i="12" s="1"/>
  <c r="L110" i="24"/>
  <c r="I110" i="24"/>
  <c r="I141" i="12" s="1"/>
  <c r="H110" i="24"/>
  <c r="H141" i="12" s="1"/>
  <c r="G110" i="24"/>
  <c r="F110" i="24"/>
  <c r="F141" i="12" s="1"/>
  <c r="E110" i="24"/>
  <c r="E141" i="12" s="1"/>
  <c r="D110" i="24"/>
  <c r="D141" i="12" s="1"/>
  <c r="C110" i="24"/>
  <c r="C141" i="12" s="1"/>
  <c r="AD104" i="24"/>
  <c r="AC104" i="24"/>
  <c r="W139" i="12" s="1"/>
  <c r="AB104" i="24"/>
  <c r="AA104" i="24"/>
  <c r="Z104" i="24"/>
  <c r="Y104" i="24"/>
  <c r="U139" i="12" s="1"/>
  <c r="X104" i="24"/>
  <c r="W104" i="24"/>
  <c r="V104" i="24"/>
  <c r="U104" i="24"/>
  <c r="S139" i="12" s="1"/>
  <c r="T104" i="24"/>
  <c r="S104" i="24"/>
  <c r="R104" i="24"/>
  <c r="Q104" i="24"/>
  <c r="Q139" i="12" s="1"/>
  <c r="P104" i="24"/>
  <c r="O104" i="24"/>
  <c r="N104" i="24"/>
  <c r="M104" i="24"/>
  <c r="L104" i="24"/>
  <c r="I104" i="24"/>
  <c r="I139" i="12" s="1"/>
  <c r="H104" i="24"/>
  <c r="H139" i="12" s="1"/>
  <c r="T139" i="12" s="1"/>
  <c r="G104" i="24"/>
  <c r="G139" i="12" s="1"/>
  <c r="F104" i="24"/>
  <c r="E104" i="24"/>
  <c r="D104" i="24"/>
  <c r="D139" i="12" s="1"/>
  <c r="C104" i="24"/>
  <c r="C139" i="12" s="1"/>
  <c r="AD103" i="24"/>
  <c r="AC103" i="24"/>
  <c r="W138" i="12" s="1"/>
  <c r="AB103" i="24"/>
  <c r="AA103" i="24"/>
  <c r="Z103" i="24"/>
  <c r="Y103" i="24"/>
  <c r="U138" i="12" s="1"/>
  <c r="X103" i="24"/>
  <c r="W103" i="24"/>
  <c r="V103" i="24"/>
  <c r="U103" i="24"/>
  <c r="S138" i="12" s="1"/>
  <c r="T103" i="24"/>
  <c r="S103" i="24"/>
  <c r="R103" i="24"/>
  <c r="Q103" i="24"/>
  <c r="Q138" i="12" s="1"/>
  <c r="P103" i="24"/>
  <c r="O103" i="24"/>
  <c r="N103" i="24"/>
  <c r="M103" i="24"/>
  <c r="O138" i="12" s="1"/>
  <c r="L103" i="24"/>
  <c r="I103" i="24"/>
  <c r="I138" i="12" s="1"/>
  <c r="X138" i="12" s="1"/>
  <c r="H103" i="24"/>
  <c r="H138" i="12" s="1"/>
  <c r="G103" i="24"/>
  <c r="G138" i="12" s="1"/>
  <c r="R138" i="12" s="1"/>
  <c r="F103" i="24"/>
  <c r="F138" i="12" s="1"/>
  <c r="P138" i="12" s="1"/>
  <c r="E103" i="24"/>
  <c r="E138" i="12" s="1"/>
  <c r="D103" i="24"/>
  <c r="D138" i="12" s="1"/>
  <c r="C103" i="24"/>
  <c r="C138" i="12" s="1"/>
  <c r="AD102" i="24"/>
  <c r="AC102" i="24"/>
  <c r="W137" i="12" s="1"/>
  <c r="AB102" i="24"/>
  <c r="AA102" i="24"/>
  <c r="Z102" i="24"/>
  <c r="Y102" i="24"/>
  <c r="U137" i="12" s="1"/>
  <c r="X102" i="24"/>
  <c r="W102" i="24"/>
  <c r="V102" i="24"/>
  <c r="U102" i="24"/>
  <c r="S137" i="12" s="1"/>
  <c r="T102" i="24"/>
  <c r="S102" i="24"/>
  <c r="R102" i="24"/>
  <c r="Q102" i="24"/>
  <c r="Q137" i="12" s="1"/>
  <c r="P102" i="24"/>
  <c r="O102" i="24"/>
  <c r="N102" i="24"/>
  <c r="M102" i="24"/>
  <c r="O137" i="12" s="1"/>
  <c r="L102" i="24"/>
  <c r="I102" i="24"/>
  <c r="I137" i="12" s="1"/>
  <c r="H102" i="24"/>
  <c r="H137" i="12" s="1"/>
  <c r="G102" i="24"/>
  <c r="G137" i="12" s="1"/>
  <c r="F102" i="24"/>
  <c r="F137" i="12" s="1"/>
  <c r="E102" i="24"/>
  <c r="E137" i="12" s="1"/>
  <c r="D102" i="24"/>
  <c r="D137" i="12" s="1"/>
  <c r="C102" i="24"/>
  <c r="C137" i="12" s="1"/>
  <c r="AD101" i="24"/>
  <c r="AC101" i="24"/>
  <c r="AB101" i="24"/>
  <c r="AA101" i="24"/>
  <c r="Z101" i="24"/>
  <c r="Y101" i="24"/>
  <c r="X101" i="24"/>
  <c r="W101" i="24"/>
  <c r="V101" i="24"/>
  <c r="U101" i="24"/>
  <c r="T101" i="24"/>
  <c r="S101" i="24"/>
  <c r="R101" i="24"/>
  <c r="Q101" i="24"/>
  <c r="P101" i="24"/>
  <c r="O101" i="24"/>
  <c r="N101" i="24"/>
  <c r="M101" i="24"/>
  <c r="L101" i="24"/>
  <c r="I101" i="24"/>
  <c r="H101" i="24"/>
  <c r="G101" i="24"/>
  <c r="F101" i="24"/>
  <c r="E101" i="24"/>
  <c r="D101" i="24"/>
  <c r="C101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I100" i="24"/>
  <c r="H100" i="24"/>
  <c r="G100" i="24"/>
  <c r="F100" i="24"/>
  <c r="E100" i="24"/>
  <c r="D100" i="24"/>
  <c r="C100" i="24"/>
  <c r="AD99" i="24"/>
  <c r="AC99" i="24"/>
  <c r="W136" i="12" s="1"/>
  <c r="AB99" i="24"/>
  <c r="AA99" i="24"/>
  <c r="Z99" i="24"/>
  <c r="Y99" i="24"/>
  <c r="U136" i="12" s="1"/>
  <c r="X99" i="24"/>
  <c r="W99" i="24"/>
  <c r="V99" i="24"/>
  <c r="U99" i="24"/>
  <c r="S136" i="12" s="1"/>
  <c r="T99" i="24"/>
  <c r="S99" i="24"/>
  <c r="R99" i="24"/>
  <c r="Q99" i="24"/>
  <c r="Q136" i="12" s="1"/>
  <c r="P99" i="24"/>
  <c r="O99" i="24"/>
  <c r="N99" i="24"/>
  <c r="M99" i="24"/>
  <c r="O136" i="12" s="1"/>
  <c r="L99" i="24"/>
  <c r="I99" i="24"/>
  <c r="H99" i="24"/>
  <c r="H136" i="12" s="1"/>
  <c r="G99" i="24"/>
  <c r="G136" i="12" s="1"/>
  <c r="F99" i="24"/>
  <c r="F136" i="12" s="1"/>
  <c r="E99" i="24"/>
  <c r="E136" i="12" s="1"/>
  <c r="D99" i="24"/>
  <c r="C99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G96" i="24"/>
  <c r="F96" i="24"/>
  <c r="E96" i="24"/>
  <c r="D96" i="24"/>
  <c r="C96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G93" i="24"/>
  <c r="F93" i="24"/>
  <c r="E93" i="24"/>
  <c r="D93" i="24"/>
  <c r="C93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G85" i="24"/>
  <c r="F85" i="24"/>
  <c r="E85" i="24"/>
  <c r="D85" i="24"/>
  <c r="C85" i="24"/>
  <c r="AD76" i="24"/>
  <c r="AD74" i="24" s="1"/>
  <c r="AC76" i="24"/>
  <c r="AB76" i="24"/>
  <c r="AB74" i="24" s="1"/>
  <c r="AA76" i="24"/>
  <c r="Z76" i="24"/>
  <c r="Z71" i="24" s="1"/>
  <c r="Y76" i="24"/>
  <c r="Y71" i="24" s="1"/>
  <c r="X76" i="24"/>
  <c r="W76" i="24"/>
  <c r="W71" i="24" s="1"/>
  <c r="V76" i="24"/>
  <c r="V71" i="24" s="1"/>
  <c r="U76" i="24"/>
  <c r="U74" i="24" s="1"/>
  <c r="T76" i="24"/>
  <c r="T74" i="24" s="1"/>
  <c r="S76" i="24"/>
  <c r="S71" i="24" s="1"/>
  <c r="R76" i="24"/>
  <c r="R74" i="24" s="1"/>
  <c r="Q76" i="24"/>
  <c r="P76" i="24"/>
  <c r="P71" i="24" s="1"/>
  <c r="O76" i="24"/>
  <c r="N76" i="24"/>
  <c r="N74" i="24" s="1"/>
  <c r="M76" i="24"/>
  <c r="M74" i="24" s="1"/>
  <c r="L76" i="24"/>
  <c r="L74" i="24" s="1"/>
  <c r="I76" i="24"/>
  <c r="I74" i="24" s="1"/>
  <c r="I70" i="12" s="1"/>
  <c r="H85" i="66" s="1"/>
  <c r="V85" i="66" s="1"/>
  <c r="H76" i="24"/>
  <c r="H74" i="24" s="1"/>
  <c r="H70" i="12" s="1"/>
  <c r="G76" i="24"/>
  <c r="G72" i="12" s="1"/>
  <c r="F76" i="24"/>
  <c r="F71" i="24" s="1"/>
  <c r="F68" i="12" s="1"/>
  <c r="E76" i="24"/>
  <c r="E71" i="24" s="1"/>
  <c r="E68" i="12" s="1"/>
  <c r="D76" i="24"/>
  <c r="D74" i="24" s="1"/>
  <c r="D70" i="12" s="1"/>
  <c r="C85" i="66" s="1"/>
  <c r="C76" i="24"/>
  <c r="C74" i="24" s="1"/>
  <c r="C70" i="12" s="1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I75" i="24"/>
  <c r="I71" i="12" s="1"/>
  <c r="H86" i="66" s="1"/>
  <c r="V86" i="66" s="1"/>
  <c r="H75" i="24"/>
  <c r="H71" i="12" s="1"/>
  <c r="G75" i="24"/>
  <c r="G71" i="12" s="1"/>
  <c r="F75" i="24"/>
  <c r="F71" i="12" s="1"/>
  <c r="E75" i="24"/>
  <c r="E71" i="12" s="1"/>
  <c r="D75" i="24"/>
  <c r="D71" i="12" s="1"/>
  <c r="C75" i="24"/>
  <c r="C71" i="12" s="1"/>
  <c r="B86" i="66" s="1"/>
  <c r="Z74" i="24"/>
  <c r="Y74" i="24"/>
  <c r="AD67" i="24"/>
  <c r="AC67" i="24"/>
  <c r="AB67" i="24"/>
  <c r="AA67" i="24"/>
  <c r="Z67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I67" i="24"/>
  <c r="H67" i="24"/>
  <c r="G67" i="24"/>
  <c r="F67" i="24"/>
  <c r="E67" i="24"/>
  <c r="D67" i="24"/>
  <c r="C67" i="24"/>
  <c r="AD66" i="24"/>
  <c r="AC66" i="24"/>
  <c r="AB66" i="24"/>
  <c r="AA66" i="24"/>
  <c r="Z66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I66" i="24"/>
  <c r="H66" i="24"/>
  <c r="G66" i="24"/>
  <c r="F66" i="24"/>
  <c r="E66" i="24"/>
  <c r="D66" i="24"/>
  <c r="C66" i="24"/>
  <c r="AD62" i="24"/>
  <c r="AC62" i="24"/>
  <c r="AB62" i="24"/>
  <c r="AA62" i="24"/>
  <c r="Z62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I62" i="24"/>
  <c r="H62" i="24"/>
  <c r="G62" i="24"/>
  <c r="F62" i="24"/>
  <c r="E62" i="24"/>
  <c r="D62" i="24"/>
  <c r="C62" i="24"/>
  <c r="AD60" i="24"/>
  <c r="AC60" i="24"/>
  <c r="AB60" i="24"/>
  <c r="AA60" i="24"/>
  <c r="Z60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I60" i="24"/>
  <c r="I56" i="12" s="1"/>
  <c r="H60" i="24"/>
  <c r="H56" i="12" s="1"/>
  <c r="G60" i="24"/>
  <c r="G56" i="12" s="1"/>
  <c r="F60" i="24"/>
  <c r="F56" i="12" s="1"/>
  <c r="E60" i="24"/>
  <c r="E56" i="12" s="1"/>
  <c r="D60" i="24"/>
  <c r="D56" i="12" s="1"/>
  <c r="C60" i="24"/>
  <c r="C56" i="12" s="1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I55" i="24"/>
  <c r="I54" i="12" s="1"/>
  <c r="H80" i="66" s="1"/>
  <c r="H55" i="24"/>
  <c r="H54" i="12" s="1"/>
  <c r="G80" i="66" s="1"/>
  <c r="G55" i="24"/>
  <c r="G54" i="12" s="1"/>
  <c r="F55" i="24"/>
  <c r="F54" i="12" s="1"/>
  <c r="E55" i="24"/>
  <c r="E54" i="12" s="1"/>
  <c r="D80" i="66" s="1"/>
  <c r="D55" i="24"/>
  <c r="D54" i="12" s="1"/>
  <c r="G64" i="10" s="1"/>
  <c r="E30" i="18" s="1"/>
  <c r="C55" i="24"/>
  <c r="C54" i="12" s="1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I54" i="24"/>
  <c r="I53" i="12" s="1"/>
  <c r="H79" i="66" s="1"/>
  <c r="H54" i="24"/>
  <c r="H53" i="12" s="1"/>
  <c r="G54" i="24"/>
  <c r="G53" i="12" s="1"/>
  <c r="F79" i="66" s="1"/>
  <c r="F54" i="24"/>
  <c r="F53" i="12" s="1"/>
  <c r="E54" i="24"/>
  <c r="E53" i="12" s="1"/>
  <c r="D54" i="24"/>
  <c r="D53" i="12" s="1"/>
  <c r="C79" i="66" s="1"/>
  <c r="C54" i="24"/>
  <c r="C53" i="12" s="1"/>
  <c r="B79" i="66" s="1"/>
  <c r="AD51" i="24"/>
  <c r="AD222" i="24" s="1"/>
  <c r="AC51" i="24"/>
  <c r="AC222" i="24" s="1"/>
  <c r="AB51" i="24"/>
  <c r="AB222" i="24" s="1"/>
  <c r="AA51" i="24"/>
  <c r="AA222" i="24" s="1"/>
  <c r="Z51" i="24"/>
  <c r="Z222" i="24" s="1"/>
  <c r="Y51" i="24"/>
  <c r="Y222" i="24" s="1"/>
  <c r="X51" i="24"/>
  <c r="X222" i="24" s="1"/>
  <c r="W51" i="24"/>
  <c r="W222" i="24" s="1"/>
  <c r="V51" i="24"/>
  <c r="V222" i="24" s="1"/>
  <c r="U51" i="24"/>
  <c r="U222" i="24" s="1"/>
  <c r="T51" i="24"/>
  <c r="T222" i="24" s="1"/>
  <c r="S51" i="24"/>
  <c r="S222" i="24" s="1"/>
  <c r="R51" i="24"/>
  <c r="Q51" i="24"/>
  <c r="Q222" i="24" s="1"/>
  <c r="P51" i="24"/>
  <c r="P222" i="24" s="1"/>
  <c r="O51" i="24"/>
  <c r="O222" i="24" s="1"/>
  <c r="N51" i="24"/>
  <c r="N222" i="24" s="1"/>
  <c r="M51" i="24"/>
  <c r="M222" i="24" s="1"/>
  <c r="L51" i="24"/>
  <c r="L222" i="24" s="1"/>
  <c r="I51" i="24"/>
  <c r="I222" i="24" s="1"/>
  <c r="H51" i="24"/>
  <c r="H222" i="24" s="1"/>
  <c r="G51" i="24"/>
  <c r="F51" i="24"/>
  <c r="F222" i="24" s="1"/>
  <c r="E51" i="24"/>
  <c r="E222" i="24" s="1"/>
  <c r="D51" i="24"/>
  <c r="D222" i="24" s="1"/>
  <c r="C51" i="24"/>
  <c r="C222" i="24" s="1"/>
  <c r="AD48" i="24"/>
  <c r="AC48" i="24"/>
  <c r="AB48" i="24"/>
  <c r="AA48" i="24"/>
  <c r="Z48" i="24"/>
  <c r="Y48" i="24"/>
  <c r="X48" i="24"/>
  <c r="W48" i="24"/>
  <c r="V48" i="24"/>
  <c r="U48" i="24"/>
  <c r="T48" i="24"/>
  <c r="S48" i="24"/>
  <c r="R48" i="24"/>
  <c r="Q48" i="24"/>
  <c r="P48" i="24"/>
  <c r="O48" i="24"/>
  <c r="N48" i="24"/>
  <c r="M48" i="24"/>
  <c r="L48" i="24"/>
  <c r="I48" i="24"/>
  <c r="I49" i="12" s="1"/>
  <c r="K49" i="12" s="1"/>
  <c r="H48" i="24"/>
  <c r="H49" i="12" s="1"/>
  <c r="K60" i="10" s="1"/>
  <c r="G48" i="24"/>
  <c r="G49" i="12" s="1"/>
  <c r="J60" i="10" s="1"/>
  <c r="F48" i="24"/>
  <c r="E48" i="24"/>
  <c r="E49" i="12" s="1"/>
  <c r="H60" i="10" s="1"/>
  <c r="D48" i="24"/>
  <c r="D49" i="12" s="1"/>
  <c r="G60" i="10" s="1"/>
  <c r="C48" i="24"/>
  <c r="C49" i="12" s="1"/>
  <c r="F60" i="10" s="1"/>
  <c r="AD47" i="24"/>
  <c r="AC47" i="24"/>
  <c r="AB47" i="24"/>
  <c r="AA47" i="24"/>
  <c r="Z47" i="24"/>
  <c r="Y47" i="24"/>
  <c r="X47" i="24"/>
  <c r="W47" i="24"/>
  <c r="V47" i="24"/>
  <c r="U47" i="24"/>
  <c r="T47" i="24"/>
  <c r="S47" i="24"/>
  <c r="R47" i="24"/>
  <c r="Q47" i="24"/>
  <c r="P47" i="24"/>
  <c r="O47" i="24"/>
  <c r="N47" i="24"/>
  <c r="M47" i="24"/>
  <c r="L47" i="24"/>
  <c r="I47" i="24"/>
  <c r="H47" i="24"/>
  <c r="G47" i="24"/>
  <c r="G48" i="12" s="1"/>
  <c r="J59" i="10" s="1"/>
  <c r="F47" i="24"/>
  <c r="F48" i="12" s="1"/>
  <c r="I59" i="10" s="1"/>
  <c r="E47" i="24"/>
  <c r="E48" i="12" s="1"/>
  <c r="H59" i="10" s="1"/>
  <c r="D47" i="24"/>
  <c r="D48" i="12" s="1"/>
  <c r="G59" i="10" s="1"/>
  <c r="C47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I45" i="24"/>
  <c r="I44" i="12" s="1"/>
  <c r="H45" i="24"/>
  <c r="H44" i="12" s="1"/>
  <c r="G45" i="24"/>
  <c r="F45" i="24"/>
  <c r="F44" i="12" s="1"/>
  <c r="E45" i="24"/>
  <c r="E44" i="12" s="1"/>
  <c r="H57" i="10" s="1"/>
  <c r="D45" i="24"/>
  <c r="D44" i="12" s="1"/>
  <c r="C45" i="24"/>
  <c r="C44" i="12" s="1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I44" i="24"/>
  <c r="H44" i="24"/>
  <c r="G44" i="24"/>
  <c r="G43" i="12" s="1"/>
  <c r="F44" i="24"/>
  <c r="F43" i="12" s="1"/>
  <c r="I56" i="10" s="1"/>
  <c r="E44" i="24"/>
  <c r="E43" i="12" s="1"/>
  <c r="D44" i="24"/>
  <c r="C44" i="24"/>
  <c r="I42" i="24"/>
  <c r="I38" i="12" s="1"/>
  <c r="I17" i="63" s="1"/>
  <c r="H42" i="24"/>
  <c r="H38" i="12" s="1"/>
  <c r="G42" i="24"/>
  <c r="G38" i="12" s="1"/>
  <c r="K25" i="4" s="1"/>
  <c r="AD25" i="4" s="1"/>
  <c r="F42" i="24"/>
  <c r="F38" i="12" s="1"/>
  <c r="E42" i="24"/>
  <c r="D42" i="24"/>
  <c r="D38" i="12" s="1"/>
  <c r="C42" i="24"/>
  <c r="C38" i="12" s="1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I41" i="24"/>
  <c r="I42" i="12" s="1"/>
  <c r="H41" i="24"/>
  <c r="H42" i="12" s="1"/>
  <c r="G41" i="24"/>
  <c r="G42" i="12" s="1"/>
  <c r="F41" i="24"/>
  <c r="F42" i="12" s="1"/>
  <c r="E41" i="24"/>
  <c r="E42" i="12" s="1"/>
  <c r="D41" i="24"/>
  <c r="D42" i="12" s="1"/>
  <c r="C41" i="24"/>
  <c r="C42" i="12" s="1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I40" i="24"/>
  <c r="I41" i="12" s="1"/>
  <c r="V41" i="12" s="1"/>
  <c r="H40" i="24"/>
  <c r="H41" i="12" s="1"/>
  <c r="G40" i="24"/>
  <c r="G41" i="12" s="1"/>
  <c r="F40" i="24"/>
  <c r="F41" i="12" s="1"/>
  <c r="E40" i="24"/>
  <c r="E41" i="12" s="1"/>
  <c r="D40" i="24"/>
  <c r="D41" i="12" s="1"/>
  <c r="C40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I39" i="24"/>
  <c r="I40" i="12" s="1"/>
  <c r="H39" i="24"/>
  <c r="H40" i="12" s="1"/>
  <c r="G39" i="24"/>
  <c r="G40" i="12" s="1"/>
  <c r="F39" i="24"/>
  <c r="F40" i="12" s="1"/>
  <c r="E39" i="24"/>
  <c r="E40" i="12" s="1"/>
  <c r="D39" i="24"/>
  <c r="D40" i="12" s="1"/>
  <c r="C39" i="24"/>
  <c r="C40" i="12" s="1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I38" i="24"/>
  <c r="I39" i="12" s="1"/>
  <c r="H38" i="24"/>
  <c r="H39" i="12" s="1"/>
  <c r="G38" i="24"/>
  <c r="G39" i="12" s="1"/>
  <c r="F38" i="24"/>
  <c r="F39" i="12" s="1"/>
  <c r="E38" i="24"/>
  <c r="E39" i="12" s="1"/>
  <c r="D38" i="24"/>
  <c r="D39" i="12" s="1"/>
  <c r="C38" i="24"/>
  <c r="C39" i="12" s="1"/>
  <c r="AD26" i="24"/>
  <c r="AC26" i="24"/>
  <c r="AB26" i="24"/>
  <c r="AA26" i="24"/>
  <c r="Z26" i="24"/>
  <c r="Y26" i="24"/>
  <c r="X26" i="24"/>
  <c r="W26" i="24"/>
  <c r="V26" i="24"/>
  <c r="U26" i="24"/>
  <c r="T26" i="24"/>
  <c r="S26" i="24"/>
  <c r="R26" i="24"/>
  <c r="Q26" i="24"/>
  <c r="P26" i="24"/>
  <c r="O26" i="24"/>
  <c r="N26" i="24"/>
  <c r="M26" i="24"/>
  <c r="L26" i="24"/>
  <c r="I26" i="24"/>
  <c r="H26" i="24"/>
  <c r="H29" i="12" s="1"/>
  <c r="K55" i="10" s="1"/>
  <c r="G26" i="24"/>
  <c r="G29" i="12" s="1"/>
  <c r="F26" i="24"/>
  <c r="F29" i="12" s="1"/>
  <c r="I55" i="10" s="1"/>
  <c r="E26" i="24"/>
  <c r="E29" i="12" s="1"/>
  <c r="H55" i="10" s="1"/>
  <c r="D26" i="24"/>
  <c r="D29" i="12" s="1"/>
  <c r="G55" i="10" s="1"/>
  <c r="C26" i="24"/>
  <c r="AD25" i="24"/>
  <c r="AC25" i="24"/>
  <c r="AB25" i="24"/>
  <c r="AA25" i="24"/>
  <c r="Z25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I25" i="24"/>
  <c r="I28" i="12" s="1"/>
  <c r="H25" i="24"/>
  <c r="H28" i="12" s="1"/>
  <c r="K54" i="10" s="1"/>
  <c r="G25" i="24"/>
  <c r="G28" i="12" s="1"/>
  <c r="J54" i="10" s="1"/>
  <c r="F25" i="24"/>
  <c r="E25" i="24"/>
  <c r="E28" i="12" s="1"/>
  <c r="D25" i="24"/>
  <c r="D28" i="12" s="1"/>
  <c r="C25" i="24"/>
  <c r="C28" i="12" s="1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I22" i="24"/>
  <c r="I26" i="12" s="1"/>
  <c r="H22" i="24"/>
  <c r="H26" i="12" s="1"/>
  <c r="K49" i="10" s="1"/>
  <c r="G22" i="24"/>
  <c r="G26" i="12" s="1"/>
  <c r="F69" i="66" s="1"/>
  <c r="F22" i="24"/>
  <c r="F26" i="12" s="1"/>
  <c r="I49" i="10" s="1"/>
  <c r="E22" i="24"/>
  <c r="E26" i="12" s="1"/>
  <c r="H49" i="10" s="1"/>
  <c r="F14" i="18" s="1"/>
  <c r="D22" i="24"/>
  <c r="D26" i="12" s="1"/>
  <c r="C69" i="66" s="1"/>
  <c r="C22" i="24"/>
  <c r="C26" i="12" s="1"/>
  <c r="F49" i="10" s="1"/>
  <c r="AD21" i="24"/>
  <c r="AC21" i="24"/>
  <c r="AD47" i="10" s="1"/>
  <c r="AD564" i="10" s="1"/>
  <c r="AB21" i="24"/>
  <c r="AA21" i="24"/>
  <c r="Z21" i="24"/>
  <c r="Y21" i="24"/>
  <c r="AB47" i="10" s="1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I21" i="24"/>
  <c r="I25" i="12" s="1"/>
  <c r="H68" i="66" s="1"/>
  <c r="I95" i="66" s="1"/>
  <c r="H21" i="24"/>
  <c r="H25" i="12" s="1"/>
  <c r="G21" i="24"/>
  <c r="G25" i="12" s="1"/>
  <c r="F68" i="66" s="1"/>
  <c r="F21" i="24"/>
  <c r="F25" i="12" s="1"/>
  <c r="E68" i="66" s="1"/>
  <c r="E21" i="24"/>
  <c r="E25" i="12" s="1"/>
  <c r="H47" i="10" s="1"/>
  <c r="D21" i="24"/>
  <c r="D25" i="12" s="1"/>
  <c r="C21" i="24"/>
  <c r="C25" i="12" s="1"/>
  <c r="B68" i="66" s="1"/>
  <c r="AD20" i="24"/>
  <c r="AC20" i="24"/>
  <c r="AD45" i="10" s="1"/>
  <c r="AB20" i="24"/>
  <c r="AA20" i="24"/>
  <c r="Z20" i="24"/>
  <c r="Y20" i="24"/>
  <c r="AB45" i="10" s="1"/>
  <c r="U24" i="12" s="1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I20" i="24"/>
  <c r="I24" i="12" s="1"/>
  <c r="H20" i="24"/>
  <c r="H24" i="12" s="1"/>
  <c r="K45" i="10" s="1"/>
  <c r="G20" i="24"/>
  <c r="G24" i="12" s="1"/>
  <c r="F20" i="24"/>
  <c r="E20" i="24"/>
  <c r="E24" i="12" s="1"/>
  <c r="H45" i="10" s="1"/>
  <c r="D20" i="24"/>
  <c r="D24" i="12" s="1"/>
  <c r="C20" i="24"/>
  <c r="C24" i="12" s="1"/>
  <c r="AD15" i="24"/>
  <c r="AC15" i="24"/>
  <c r="AD23" i="10" s="1"/>
  <c r="W16" i="12" s="1"/>
  <c r="AB15" i="24"/>
  <c r="AA15" i="24"/>
  <c r="Z15" i="24"/>
  <c r="Y15" i="24"/>
  <c r="AB23" i="10" s="1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I15" i="24"/>
  <c r="I16" i="12" s="1"/>
  <c r="M10" i="4" s="1"/>
  <c r="H15" i="24"/>
  <c r="H16" i="12" s="1"/>
  <c r="K23" i="10" s="1"/>
  <c r="I10" i="18" s="1"/>
  <c r="G15" i="24"/>
  <c r="G16" i="12" s="1"/>
  <c r="F15" i="24"/>
  <c r="E15" i="24"/>
  <c r="E16" i="12" s="1"/>
  <c r="J10" i="4" s="1"/>
  <c r="AJ10" i="4" s="1"/>
  <c r="D15" i="24"/>
  <c r="D16" i="12" s="1"/>
  <c r="G10" i="4" s="1"/>
  <c r="C15" i="24"/>
  <c r="C16" i="12" s="1"/>
  <c r="F10" i="4" s="1"/>
  <c r="AD8" i="24"/>
  <c r="AC8" i="24"/>
  <c r="AB8" i="24"/>
  <c r="AA8" i="24"/>
  <c r="Z8" i="24"/>
  <c r="Y8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I8" i="24"/>
  <c r="I13" i="12" s="1"/>
  <c r="J14" i="12" s="1"/>
  <c r="H8" i="24"/>
  <c r="H13" i="12" s="1"/>
  <c r="J9" i="12" s="1"/>
  <c r="G8" i="24"/>
  <c r="G13" i="12" s="1"/>
  <c r="J9" i="10" s="1"/>
  <c r="F8" i="24"/>
  <c r="F13" i="12" s="1"/>
  <c r="E8" i="24"/>
  <c r="D8" i="24"/>
  <c r="C8" i="24"/>
  <c r="C13" i="12" s="1"/>
  <c r="AD6" i="24"/>
  <c r="AC6" i="24"/>
  <c r="AB6" i="24"/>
  <c r="AA6" i="24"/>
  <c r="Z6" i="24"/>
  <c r="Y6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I6" i="24"/>
  <c r="H6" i="24"/>
  <c r="G6" i="24"/>
  <c r="F6" i="24"/>
  <c r="E6" i="24"/>
  <c r="D6" i="24"/>
  <c r="C6" i="24"/>
  <c r="N71" i="63"/>
  <c r="M71" i="63"/>
  <c r="L71" i="63"/>
  <c r="K71" i="63"/>
  <c r="J71" i="63"/>
  <c r="I71" i="63"/>
  <c r="H71" i="63"/>
  <c r="G71" i="63"/>
  <c r="F71" i="63"/>
  <c r="E71" i="63"/>
  <c r="D71" i="63"/>
  <c r="C71" i="63"/>
  <c r="N16" i="63"/>
  <c r="M16" i="63"/>
  <c r="L16" i="63"/>
  <c r="K16" i="63"/>
  <c r="J16" i="63"/>
  <c r="I16" i="63"/>
  <c r="H16" i="63"/>
  <c r="G16" i="63"/>
  <c r="F16" i="63"/>
  <c r="E16" i="63"/>
  <c r="D16" i="63"/>
  <c r="C16" i="63"/>
  <c r="J11" i="83"/>
  <c r="I11" i="83"/>
  <c r="L9" i="83"/>
  <c r="K9" i="83"/>
  <c r="J9" i="83"/>
  <c r="I9" i="83"/>
  <c r="I4" i="83"/>
  <c r="I2" i="83"/>
  <c r="I24" i="83" s="1"/>
  <c r="F71" i="16"/>
  <c r="F72" i="16" s="1"/>
  <c r="F69" i="16"/>
  <c r="F68" i="16" s="1"/>
  <c r="J67" i="16"/>
  <c r="K67" i="16" s="1"/>
  <c r="H67" i="16"/>
  <c r="G67" i="16" s="1"/>
  <c r="A50" i="16"/>
  <c r="A49" i="16"/>
  <c r="A48" i="16"/>
  <c r="A47" i="16"/>
  <c r="A46" i="16"/>
  <c r="A45" i="16"/>
  <c r="F44" i="16"/>
  <c r="G44" i="16" s="1"/>
  <c r="H44" i="16" s="1"/>
  <c r="I44" i="16" s="1"/>
  <c r="J44" i="16" s="1"/>
  <c r="K44" i="16" s="1"/>
  <c r="L44" i="16" s="1"/>
  <c r="M44" i="16" s="1"/>
  <c r="N44" i="16" s="1"/>
  <c r="O44" i="16" s="1"/>
  <c r="M34" i="16"/>
  <c r="A31" i="16"/>
  <c r="H29" i="16"/>
  <c r="J17" i="16" s="1"/>
  <c r="A27" i="16"/>
  <c r="A26" i="16"/>
  <c r="A25" i="16"/>
  <c r="A23" i="16"/>
  <c r="I4" i="16"/>
  <c r="J4" i="16" s="1"/>
  <c r="K4" i="16" s="1"/>
  <c r="L4" i="16" s="1"/>
  <c r="M4" i="16" s="1"/>
  <c r="L273" i="11"/>
  <c r="H273" i="11"/>
  <c r="T272" i="11"/>
  <c r="X286" i="11" s="1"/>
  <c r="P272" i="11"/>
  <c r="L272" i="11"/>
  <c r="H272" i="11"/>
  <c r="T271" i="11"/>
  <c r="X285" i="11" s="1"/>
  <c r="P271" i="11"/>
  <c r="T270" i="11"/>
  <c r="P270" i="11"/>
  <c r="Q270" i="11" s="1"/>
  <c r="R270" i="11" s="1"/>
  <c r="L270" i="11"/>
  <c r="H270" i="11"/>
  <c r="I270" i="11" s="1"/>
  <c r="J270" i="11" s="1"/>
  <c r="T269" i="11"/>
  <c r="X283" i="11" s="1"/>
  <c r="P269" i="11"/>
  <c r="L269" i="11"/>
  <c r="H269" i="11"/>
  <c r="T268" i="11"/>
  <c r="X282" i="11" s="1"/>
  <c r="P268" i="11"/>
  <c r="L268" i="11"/>
  <c r="H268" i="11"/>
  <c r="T267" i="11"/>
  <c r="X281" i="11" s="1"/>
  <c r="P267" i="11"/>
  <c r="L267" i="11"/>
  <c r="H267" i="11"/>
  <c r="T266" i="11"/>
  <c r="X280" i="11" s="1"/>
  <c r="P266" i="11"/>
  <c r="L266" i="11"/>
  <c r="H266" i="11"/>
  <c r="T265" i="11"/>
  <c r="X279" i="11" s="1"/>
  <c r="P265" i="11"/>
  <c r="L265" i="11"/>
  <c r="H265" i="11"/>
  <c r="T264" i="11"/>
  <c r="X278" i="11" s="1"/>
  <c r="P264" i="11"/>
  <c r="L264" i="11"/>
  <c r="H264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L243" i="11"/>
  <c r="T242" i="11"/>
  <c r="P242" i="11"/>
  <c r="L242" i="11"/>
  <c r="T241" i="11"/>
  <c r="T239" i="11"/>
  <c r="P239" i="11"/>
  <c r="L239" i="11"/>
  <c r="T238" i="11"/>
  <c r="P238" i="11"/>
  <c r="L238" i="11"/>
  <c r="T237" i="11"/>
  <c r="P237" i="11"/>
  <c r="L237" i="11"/>
  <c r="T236" i="11"/>
  <c r="P236" i="11"/>
  <c r="L236" i="11"/>
  <c r="T235" i="11"/>
  <c r="P235" i="11"/>
  <c r="L235" i="11"/>
  <c r="T234" i="11"/>
  <c r="P234" i="11"/>
  <c r="L234" i="11"/>
  <c r="W232" i="11"/>
  <c r="W245" i="11" s="1"/>
  <c r="W258" i="11" s="1"/>
  <c r="K228" i="11"/>
  <c r="T226" i="11"/>
  <c r="X243" i="11" s="1"/>
  <c r="P226" i="11"/>
  <c r="P273" i="11" s="1"/>
  <c r="M226" i="11"/>
  <c r="I226" i="11"/>
  <c r="U225" i="11"/>
  <c r="V225" i="11" s="1"/>
  <c r="Z242" i="11" s="1"/>
  <c r="Q225" i="11"/>
  <c r="R225" i="11" s="1"/>
  <c r="M225" i="11"/>
  <c r="I225" i="11"/>
  <c r="Q224" i="11"/>
  <c r="L224" i="11"/>
  <c r="P241" i="11" s="1"/>
  <c r="H224" i="11"/>
  <c r="H216" i="11" s="1"/>
  <c r="H249" i="11" s="1"/>
  <c r="W223" i="11"/>
  <c r="S223" i="11"/>
  <c r="O223" i="11"/>
  <c r="K223" i="11"/>
  <c r="AD387" i="10"/>
  <c r="Q222" i="11"/>
  <c r="R222" i="11" s="1"/>
  <c r="M222" i="11"/>
  <c r="I222" i="11"/>
  <c r="Q221" i="11"/>
  <c r="M221" i="11"/>
  <c r="I221" i="11"/>
  <c r="Q220" i="11"/>
  <c r="M220" i="11"/>
  <c r="I220" i="11"/>
  <c r="U219" i="11"/>
  <c r="Q219" i="11"/>
  <c r="M219" i="11"/>
  <c r="N219" i="11" s="1"/>
  <c r="I219" i="11"/>
  <c r="Q218" i="11"/>
  <c r="M218" i="11"/>
  <c r="N218" i="11" s="1"/>
  <c r="I218" i="11"/>
  <c r="J218" i="11" s="1"/>
  <c r="AD382" i="10"/>
  <c r="AD393" i="10" s="1"/>
  <c r="Q217" i="11"/>
  <c r="M217" i="11"/>
  <c r="I217" i="11"/>
  <c r="P216" i="11"/>
  <c r="P251" i="11" s="1"/>
  <c r="S213" i="11"/>
  <c r="S108" i="11" s="1"/>
  <c r="O213" i="11"/>
  <c r="O108" i="11" s="1"/>
  <c r="K213" i="11"/>
  <c r="O212" i="11"/>
  <c r="K212" i="11"/>
  <c r="S211" i="11"/>
  <c r="O211" i="11"/>
  <c r="K211" i="11"/>
  <c r="J211" i="11"/>
  <c r="S210" i="11"/>
  <c r="O210" i="11"/>
  <c r="K210" i="11"/>
  <c r="S209" i="11"/>
  <c r="O209" i="11"/>
  <c r="K209" i="11"/>
  <c r="S208" i="11"/>
  <c r="O208" i="11"/>
  <c r="K208" i="11"/>
  <c r="S207" i="11"/>
  <c r="O207" i="11"/>
  <c r="K207" i="11"/>
  <c r="S206" i="11"/>
  <c r="O206" i="11"/>
  <c r="K206" i="11"/>
  <c r="R179" i="11"/>
  <c r="AP126" i="11" s="1"/>
  <c r="R177" i="11"/>
  <c r="X175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Z203" i="11"/>
  <c r="Z215" i="11" s="1"/>
  <c r="Y203" i="11"/>
  <c r="Y215" i="11" s="1"/>
  <c r="X173" i="11"/>
  <c r="X203" i="11" s="1"/>
  <c r="X215" i="11" s="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U147" i="11"/>
  <c r="Y148" i="11" s="1"/>
  <c r="U145" i="11"/>
  <c r="Y146" i="11" s="1"/>
  <c r="Q145" i="11"/>
  <c r="Q143" i="11"/>
  <c r="S140" i="11"/>
  <c r="U139" i="11"/>
  <c r="Y140" i="11" s="1"/>
  <c r="Q139" i="11"/>
  <c r="Q140" i="11" s="1"/>
  <c r="Q136" i="11"/>
  <c r="U137" i="11" s="1"/>
  <c r="U135" i="11"/>
  <c r="U133" i="11"/>
  <c r="S133" i="11"/>
  <c r="Q133" i="11"/>
  <c r="S128" i="11"/>
  <c r="S150" i="11" s="1"/>
  <c r="Q128" i="11"/>
  <c r="AM126" i="11"/>
  <c r="AK126" i="11"/>
  <c r="U126" i="11"/>
  <c r="AM125" i="11"/>
  <c r="AK125" i="11"/>
  <c r="S125" i="11"/>
  <c r="AL126" i="11" s="1"/>
  <c r="AP124" i="11"/>
  <c r="AM124" i="11"/>
  <c r="AK124" i="11"/>
  <c r="U124" i="11"/>
  <c r="W123" i="11"/>
  <c r="S123" i="11"/>
  <c r="U122" i="11"/>
  <c r="S121" i="11"/>
  <c r="S143" i="11" s="1"/>
  <c r="O121" i="11"/>
  <c r="M121" i="11"/>
  <c r="Q122" i="11" s="1"/>
  <c r="K121" i="11"/>
  <c r="I121" i="11"/>
  <c r="S114" i="11"/>
  <c r="U115" i="11" s="1"/>
  <c r="V108" i="11"/>
  <c r="U108" i="11"/>
  <c r="T108" i="11"/>
  <c r="T112" i="11" s="1"/>
  <c r="R108" i="11"/>
  <c r="Q108" i="11"/>
  <c r="P108" i="11"/>
  <c r="N108" i="11"/>
  <c r="M108" i="11"/>
  <c r="V107" i="11"/>
  <c r="R107" i="11"/>
  <c r="Q107" i="11"/>
  <c r="P107" i="11"/>
  <c r="N107" i="11"/>
  <c r="T93" i="11"/>
  <c r="S93" i="11"/>
  <c r="R93" i="11"/>
  <c r="Q93" i="11"/>
  <c r="P93" i="11"/>
  <c r="O93" i="11"/>
  <c r="N93" i="11"/>
  <c r="M93" i="11"/>
  <c r="L93" i="11"/>
  <c r="K93" i="11"/>
  <c r="J93" i="11"/>
  <c r="T91" i="11"/>
  <c r="S91" i="11"/>
  <c r="R91" i="11"/>
  <c r="Q91" i="11"/>
  <c r="P91" i="11"/>
  <c r="O91" i="11"/>
  <c r="N91" i="11"/>
  <c r="M91" i="11"/>
  <c r="L91" i="11"/>
  <c r="K91" i="11"/>
  <c r="J91" i="11"/>
  <c r="U89" i="11"/>
  <c r="V37" i="11"/>
  <c r="U37" i="11"/>
  <c r="T37" i="11"/>
  <c r="T77" i="11" s="1"/>
  <c r="S37" i="11"/>
  <c r="R37" i="11"/>
  <c r="Q37" i="11"/>
  <c r="P37" i="11"/>
  <c r="P77" i="11" s="1"/>
  <c r="O37" i="11"/>
  <c r="N37" i="11"/>
  <c r="M37" i="11"/>
  <c r="L37" i="11"/>
  <c r="L77" i="11" s="1"/>
  <c r="K37" i="11"/>
  <c r="J37" i="11"/>
  <c r="I37" i="11"/>
  <c r="H37" i="11"/>
  <c r="H77" i="11" s="1"/>
  <c r="G37" i="11"/>
  <c r="F37" i="11"/>
  <c r="E37" i="11"/>
  <c r="D37" i="11"/>
  <c r="D77" i="11" s="1"/>
  <c r="V36" i="11"/>
  <c r="U36" i="11"/>
  <c r="T36" i="11"/>
  <c r="S36" i="11"/>
  <c r="R36" i="11"/>
  <c r="Q36" i="11"/>
  <c r="P36" i="11"/>
  <c r="P76" i="11" s="1"/>
  <c r="BN68" i="10" s="1"/>
  <c r="O36" i="11"/>
  <c r="N36" i="11"/>
  <c r="M36" i="11"/>
  <c r="L36" i="11"/>
  <c r="L76" i="11" s="1"/>
  <c r="BJ68" i="10" s="1"/>
  <c r="K36" i="11"/>
  <c r="J36" i="11"/>
  <c r="I36" i="11"/>
  <c r="H36" i="11"/>
  <c r="G36" i="11"/>
  <c r="F36" i="11"/>
  <c r="E36" i="11"/>
  <c r="D36" i="11"/>
  <c r="D76" i="11" s="1"/>
  <c r="BB68" i="10" s="1"/>
  <c r="V34" i="11"/>
  <c r="Z35" i="11" s="1"/>
  <c r="U34" i="11"/>
  <c r="T34" i="11"/>
  <c r="X35" i="11" s="1"/>
  <c r="S34" i="11"/>
  <c r="W35" i="11" s="1"/>
  <c r="R34" i="11"/>
  <c r="Q34" i="11"/>
  <c r="P34" i="11"/>
  <c r="O34" i="11"/>
  <c r="N34" i="11"/>
  <c r="M34" i="11"/>
  <c r="L34" i="11"/>
  <c r="L70" i="11" s="1"/>
  <c r="K34" i="11"/>
  <c r="J34" i="11"/>
  <c r="I34" i="11"/>
  <c r="H34" i="11"/>
  <c r="H70" i="11" s="1"/>
  <c r="G34" i="11"/>
  <c r="G35" i="11" s="1"/>
  <c r="F34" i="11"/>
  <c r="E34" i="11"/>
  <c r="D34" i="11"/>
  <c r="V33" i="11"/>
  <c r="U33" i="11"/>
  <c r="T33" i="11"/>
  <c r="T69" i="11" s="1"/>
  <c r="BR64" i="10" s="1"/>
  <c r="S33" i="11"/>
  <c r="R33" i="11"/>
  <c r="Q33" i="11"/>
  <c r="P33" i="11"/>
  <c r="P69" i="11" s="1"/>
  <c r="BN64" i="10" s="1"/>
  <c r="O33" i="11"/>
  <c r="N33" i="11"/>
  <c r="M33" i="11"/>
  <c r="L33" i="11"/>
  <c r="L69" i="11" s="1"/>
  <c r="BJ64" i="10" s="1"/>
  <c r="Y30" i="18" s="1"/>
  <c r="K33" i="11"/>
  <c r="J33" i="11"/>
  <c r="I33" i="11"/>
  <c r="H33" i="11"/>
  <c r="H69" i="11" s="1"/>
  <c r="BF64" i="10" s="1"/>
  <c r="U30" i="18" s="1"/>
  <c r="G33" i="11"/>
  <c r="F33" i="11"/>
  <c r="E33" i="11"/>
  <c r="D33" i="11"/>
  <c r="D69" i="11" s="1"/>
  <c r="BB64" i="10" s="1"/>
  <c r="Q30" i="18" s="1"/>
  <c r="V31" i="11"/>
  <c r="U31" i="11"/>
  <c r="T31" i="11"/>
  <c r="S31" i="11"/>
  <c r="R31" i="11"/>
  <c r="Q31" i="11"/>
  <c r="P31" i="11"/>
  <c r="P67" i="11" s="1"/>
  <c r="O31" i="11"/>
  <c r="N31" i="11"/>
  <c r="M31" i="11"/>
  <c r="L31" i="11"/>
  <c r="K31" i="11"/>
  <c r="J31" i="11"/>
  <c r="I31" i="11"/>
  <c r="H31" i="11"/>
  <c r="H67" i="11" s="1"/>
  <c r="G31" i="11"/>
  <c r="F31" i="11"/>
  <c r="E31" i="11"/>
  <c r="D31" i="11"/>
  <c r="D67" i="11" s="1"/>
  <c r="V30" i="11"/>
  <c r="U30" i="11"/>
  <c r="T30" i="11"/>
  <c r="T66" i="11" s="1"/>
  <c r="BR62" i="10" s="1"/>
  <c r="S30" i="11"/>
  <c r="R30" i="11"/>
  <c r="Q30" i="11"/>
  <c r="P30" i="11"/>
  <c r="P66" i="11" s="1"/>
  <c r="O30" i="11"/>
  <c r="N30" i="11"/>
  <c r="M30" i="11"/>
  <c r="L30" i="11"/>
  <c r="L66" i="11" s="1"/>
  <c r="BJ62" i="10" s="1"/>
  <c r="AL79" i="66" s="1"/>
  <c r="K30" i="11"/>
  <c r="J30" i="11"/>
  <c r="I30" i="11"/>
  <c r="H30" i="11"/>
  <c r="H66" i="11" s="1"/>
  <c r="G30" i="11"/>
  <c r="F30" i="11"/>
  <c r="E30" i="11"/>
  <c r="D30" i="11"/>
  <c r="D66" i="11" s="1"/>
  <c r="BB62" i="10" s="1"/>
  <c r="V29" i="11"/>
  <c r="U29" i="11"/>
  <c r="T29" i="11"/>
  <c r="S29" i="11"/>
  <c r="R29" i="11"/>
  <c r="Q29" i="11"/>
  <c r="P29" i="11"/>
  <c r="P65" i="11" s="1"/>
  <c r="O29" i="11"/>
  <c r="N29" i="11"/>
  <c r="M29" i="11"/>
  <c r="L29" i="11"/>
  <c r="L65" i="11" s="1"/>
  <c r="K29" i="11"/>
  <c r="J29" i="11"/>
  <c r="I29" i="11"/>
  <c r="H29" i="11"/>
  <c r="H65" i="11" s="1"/>
  <c r="G29" i="11"/>
  <c r="F29" i="11"/>
  <c r="E29" i="11"/>
  <c r="D29" i="11"/>
  <c r="D65" i="11" s="1"/>
  <c r="V28" i="11"/>
  <c r="U28" i="11"/>
  <c r="T28" i="11"/>
  <c r="T64" i="11" s="1"/>
  <c r="S28" i="11"/>
  <c r="R28" i="11"/>
  <c r="Q28" i="11"/>
  <c r="P28" i="11"/>
  <c r="P64" i="11" s="1"/>
  <c r="BN60" i="10" s="1"/>
  <c r="O28" i="11"/>
  <c r="N28" i="11"/>
  <c r="M28" i="11"/>
  <c r="L28" i="11"/>
  <c r="L64" i="11" s="1"/>
  <c r="BJ60" i="10" s="1"/>
  <c r="K28" i="11"/>
  <c r="J28" i="11"/>
  <c r="I28" i="11"/>
  <c r="H28" i="11"/>
  <c r="H64" i="11" s="1"/>
  <c r="BF60" i="10" s="1"/>
  <c r="G28" i="11"/>
  <c r="F28" i="11"/>
  <c r="E28" i="11"/>
  <c r="D28" i="11"/>
  <c r="D64" i="11" s="1"/>
  <c r="BB60" i="10" s="1"/>
  <c r="V27" i="11"/>
  <c r="U27" i="11"/>
  <c r="T27" i="11"/>
  <c r="T63" i="11" s="1"/>
  <c r="BR59" i="10" s="1"/>
  <c r="S27" i="11"/>
  <c r="R27" i="11"/>
  <c r="Q27" i="11"/>
  <c r="P27" i="11"/>
  <c r="P63" i="11" s="1"/>
  <c r="BN59" i="10" s="1"/>
  <c r="O27" i="11"/>
  <c r="N27" i="11"/>
  <c r="M27" i="11"/>
  <c r="L27" i="11"/>
  <c r="L63" i="11" s="1"/>
  <c r="BJ59" i="10" s="1"/>
  <c r="K27" i="11"/>
  <c r="J27" i="11"/>
  <c r="I27" i="11"/>
  <c r="H27" i="11"/>
  <c r="H63" i="11" s="1"/>
  <c r="BF59" i="10" s="1"/>
  <c r="G27" i="11"/>
  <c r="F27" i="11"/>
  <c r="E27" i="11"/>
  <c r="D27" i="11"/>
  <c r="D63" i="11" s="1"/>
  <c r="BB59" i="10" s="1"/>
  <c r="V26" i="11"/>
  <c r="U26" i="11"/>
  <c r="T26" i="11"/>
  <c r="T61" i="11" s="1"/>
  <c r="S26" i="11"/>
  <c r="R26" i="11"/>
  <c r="Q26" i="11"/>
  <c r="P26" i="11"/>
  <c r="P61" i="11" s="1"/>
  <c r="O26" i="11"/>
  <c r="N26" i="11"/>
  <c r="M26" i="11"/>
  <c r="L26" i="11"/>
  <c r="L61" i="11" s="1"/>
  <c r="K26" i="11"/>
  <c r="J26" i="11"/>
  <c r="I26" i="11"/>
  <c r="H26" i="11"/>
  <c r="G26" i="11"/>
  <c r="F26" i="11"/>
  <c r="E26" i="11"/>
  <c r="D26" i="11"/>
  <c r="D61" i="11" s="1"/>
  <c r="V25" i="11"/>
  <c r="U25" i="11"/>
  <c r="T25" i="11"/>
  <c r="T62" i="11" s="1"/>
  <c r="S25" i="11"/>
  <c r="R25" i="11"/>
  <c r="Q25" i="11"/>
  <c r="P25" i="11"/>
  <c r="P62" i="11" s="1"/>
  <c r="BN58" i="10" s="1"/>
  <c r="O25" i="11"/>
  <c r="N25" i="11"/>
  <c r="M25" i="11"/>
  <c r="L25" i="11"/>
  <c r="L62" i="11" s="1"/>
  <c r="BJ58" i="10" s="1"/>
  <c r="K25" i="11"/>
  <c r="J25" i="11"/>
  <c r="I25" i="11"/>
  <c r="H25" i="11"/>
  <c r="H62" i="11" s="1"/>
  <c r="BF58" i="10" s="1"/>
  <c r="G25" i="11"/>
  <c r="F25" i="11"/>
  <c r="E25" i="11"/>
  <c r="D25" i="11"/>
  <c r="D62" i="11" s="1"/>
  <c r="BB58" i="10" s="1"/>
  <c r="V24" i="11"/>
  <c r="U24" i="11"/>
  <c r="T24" i="11"/>
  <c r="T60" i="11" s="1"/>
  <c r="S24" i="11"/>
  <c r="R24" i="11"/>
  <c r="Q24" i="11"/>
  <c r="P24" i="11"/>
  <c r="P60" i="11" s="1"/>
  <c r="BN56" i="10" s="1"/>
  <c r="O24" i="11"/>
  <c r="N24" i="11"/>
  <c r="M24" i="11"/>
  <c r="L24" i="11"/>
  <c r="L60" i="11" s="1"/>
  <c r="BJ56" i="10" s="1"/>
  <c r="K24" i="11"/>
  <c r="J24" i="11"/>
  <c r="I24" i="11"/>
  <c r="H24" i="11"/>
  <c r="H60" i="11" s="1"/>
  <c r="BF56" i="10" s="1"/>
  <c r="G24" i="11"/>
  <c r="F24" i="11"/>
  <c r="E24" i="11"/>
  <c r="D24" i="11"/>
  <c r="D60" i="11" s="1"/>
  <c r="BB56" i="10" s="1"/>
  <c r="V23" i="11"/>
  <c r="U23" i="11"/>
  <c r="T23" i="11"/>
  <c r="T59" i="11" s="1"/>
  <c r="S23" i="11"/>
  <c r="R23" i="11"/>
  <c r="Q23" i="11"/>
  <c r="P23" i="11"/>
  <c r="P59" i="11" s="1"/>
  <c r="BN54" i="10" s="1"/>
  <c r="O23" i="11"/>
  <c r="N23" i="11"/>
  <c r="M23" i="11"/>
  <c r="L23" i="11"/>
  <c r="L59" i="11" s="1"/>
  <c r="BJ54" i="10" s="1"/>
  <c r="K23" i="11"/>
  <c r="J23" i="11"/>
  <c r="I23" i="11"/>
  <c r="H23" i="11"/>
  <c r="H59" i="11" s="1"/>
  <c r="BF54" i="10" s="1"/>
  <c r="G23" i="11"/>
  <c r="F23" i="11"/>
  <c r="E23" i="11"/>
  <c r="D23" i="11"/>
  <c r="D59" i="11" s="1"/>
  <c r="BB54" i="10" s="1"/>
  <c r="V22" i="11"/>
  <c r="U22" i="11"/>
  <c r="T22" i="11"/>
  <c r="T58" i="11" s="1"/>
  <c r="S22" i="11"/>
  <c r="R22" i="11"/>
  <c r="Q22" i="11"/>
  <c r="P22" i="11"/>
  <c r="P58" i="11" s="1"/>
  <c r="BN53" i="10" s="1"/>
  <c r="AC24" i="18" s="1"/>
  <c r="O22" i="11"/>
  <c r="N22" i="11"/>
  <c r="M22" i="11"/>
  <c r="L22" i="11"/>
  <c r="L58" i="11" s="1"/>
  <c r="BJ53" i="10" s="1"/>
  <c r="K22" i="11"/>
  <c r="J22" i="11"/>
  <c r="I22" i="11"/>
  <c r="H22" i="11"/>
  <c r="H58" i="11" s="1"/>
  <c r="BF53" i="10" s="1"/>
  <c r="G22" i="11"/>
  <c r="F22" i="11"/>
  <c r="E22" i="11"/>
  <c r="D22" i="11"/>
  <c r="D58" i="11" s="1"/>
  <c r="BB53" i="10" s="1"/>
  <c r="Q24" i="18" s="1"/>
  <c r="V20" i="11"/>
  <c r="U20" i="11"/>
  <c r="T20" i="11"/>
  <c r="S20" i="11"/>
  <c r="R20" i="11"/>
  <c r="Q20" i="11"/>
  <c r="P20" i="11"/>
  <c r="P56" i="11" s="1"/>
  <c r="BN55" i="10" s="1"/>
  <c r="O20" i="11"/>
  <c r="N20" i="11"/>
  <c r="M20" i="11"/>
  <c r="L20" i="11"/>
  <c r="L56" i="11" s="1"/>
  <c r="BJ55" i="10" s="1"/>
  <c r="K20" i="11"/>
  <c r="J20" i="11"/>
  <c r="I20" i="11"/>
  <c r="H20" i="11"/>
  <c r="G20" i="11"/>
  <c r="F20" i="11"/>
  <c r="E20" i="11"/>
  <c r="D20" i="11"/>
  <c r="D56" i="11" s="1"/>
  <c r="BB55" i="10" s="1"/>
  <c r="V18" i="11"/>
  <c r="U18" i="11"/>
  <c r="T18" i="11"/>
  <c r="T54" i="11" s="1"/>
  <c r="S18" i="11"/>
  <c r="R18" i="11"/>
  <c r="Q18" i="11"/>
  <c r="P18" i="11"/>
  <c r="O18" i="11"/>
  <c r="N18" i="11"/>
  <c r="M18" i="11"/>
  <c r="L18" i="11"/>
  <c r="L54" i="11" s="1"/>
  <c r="BJ49" i="10" s="1"/>
  <c r="Y14" i="18" s="1"/>
  <c r="K18" i="11"/>
  <c r="J18" i="11"/>
  <c r="I18" i="11"/>
  <c r="H18" i="11"/>
  <c r="H54" i="11" s="1"/>
  <c r="G18" i="11"/>
  <c r="F18" i="11"/>
  <c r="E18" i="11"/>
  <c r="D18" i="11"/>
  <c r="V16" i="11"/>
  <c r="U16" i="11"/>
  <c r="T16" i="11"/>
  <c r="T52" i="11" s="1"/>
  <c r="S16" i="11"/>
  <c r="R16" i="11"/>
  <c r="Q16" i="11"/>
  <c r="P16" i="11"/>
  <c r="P52" i="11" s="1"/>
  <c r="BN47" i="10" s="1"/>
  <c r="O16" i="11"/>
  <c r="N16" i="11"/>
  <c r="M16" i="11"/>
  <c r="L16" i="11"/>
  <c r="K16" i="11"/>
  <c r="J16" i="11"/>
  <c r="I16" i="11"/>
  <c r="H16" i="11"/>
  <c r="G16" i="11"/>
  <c r="F16" i="11"/>
  <c r="E16" i="11"/>
  <c r="D16" i="11"/>
  <c r="D52" i="11" s="1"/>
  <c r="V14" i="11"/>
  <c r="U14" i="11"/>
  <c r="T14" i="11"/>
  <c r="S14" i="11"/>
  <c r="R14" i="11"/>
  <c r="Q14" i="11"/>
  <c r="P14" i="11"/>
  <c r="P50" i="11" s="1"/>
  <c r="BN45" i="10" s="1"/>
  <c r="O14" i="11"/>
  <c r="N14" i="11"/>
  <c r="M14" i="11"/>
  <c r="L14" i="11"/>
  <c r="L50" i="11" s="1"/>
  <c r="BJ45" i="10" s="1"/>
  <c r="K14" i="11"/>
  <c r="J14" i="11"/>
  <c r="I14" i="11"/>
  <c r="H14" i="11"/>
  <c r="G14" i="11"/>
  <c r="F14" i="11"/>
  <c r="E14" i="11"/>
  <c r="D14" i="11"/>
  <c r="D50" i="11" s="1"/>
  <c r="BB45" i="10" s="1"/>
  <c r="V10" i="11"/>
  <c r="U10" i="11"/>
  <c r="T10" i="11"/>
  <c r="S10" i="11"/>
  <c r="R10" i="11"/>
  <c r="Q10" i="11"/>
  <c r="P10" i="11"/>
  <c r="P46" i="11" s="1"/>
  <c r="O10" i="11"/>
  <c r="N10" i="11"/>
  <c r="M10" i="11"/>
  <c r="L10" i="11"/>
  <c r="L46" i="11" s="1"/>
  <c r="BJ23" i="10" s="1"/>
  <c r="Y10" i="18" s="1"/>
  <c r="K10" i="11"/>
  <c r="J10" i="11"/>
  <c r="I10" i="11"/>
  <c r="H10" i="11"/>
  <c r="G10" i="11"/>
  <c r="F10" i="11"/>
  <c r="E10" i="11"/>
  <c r="D10" i="11"/>
  <c r="D46" i="11" s="1"/>
  <c r="BB23" i="10" s="1"/>
  <c r="T9" i="11"/>
  <c r="P9" i="11"/>
  <c r="Q9" i="11" s="1"/>
  <c r="R9" i="11" s="1"/>
  <c r="S9" i="11" s="1"/>
  <c r="L9" i="11"/>
  <c r="M9" i="11" s="1"/>
  <c r="N9" i="11" s="1"/>
  <c r="O9" i="11" s="1"/>
  <c r="H9" i="11"/>
  <c r="I9" i="11" s="1"/>
  <c r="J9" i="11" s="1"/>
  <c r="K9" i="11" s="1"/>
  <c r="D9" i="11"/>
  <c r="E9" i="11" s="1"/>
  <c r="F9" i="11" s="1"/>
  <c r="G9" i="11" s="1"/>
  <c r="T8" i="11"/>
  <c r="P8" i="11"/>
  <c r="Q8" i="11" s="1"/>
  <c r="R8" i="11" s="1"/>
  <c r="S8" i="11" s="1"/>
  <c r="L8" i="11"/>
  <c r="M8" i="11" s="1"/>
  <c r="N8" i="11" s="1"/>
  <c r="O8" i="11" s="1"/>
  <c r="H8" i="11"/>
  <c r="I8" i="11" s="1"/>
  <c r="J8" i="11" s="1"/>
  <c r="K8" i="11" s="1"/>
  <c r="D8" i="11"/>
  <c r="E8" i="11" s="1"/>
  <c r="F8" i="11" s="1"/>
  <c r="G8" i="11" s="1"/>
  <c r="V6" i="11"/>
  <c r="Z7" i="11" s="1"/>
  <c r="U6" i="11"/>
  <c r="T6" i="11"/>
  <c r="X7" i="11" s="1"/>
  <c r="S6" i="11"/>
  <c r="W7" i="11" s="1"/>
  <c r="R6" i="11"/>
  <c r="Q6" i="11"/>
  <c r="P6" i="11"/>
  <c r="P43" i="11" s="1"/>
  <c r="O6" i="11"/>
  <c r="N6" i="11"/>
  <c r="M6" i="11"/>
  <c r="L6" i="11"/>
  <c r="K6" i="11"/>
  <c r="J6" i="11"/>
  <c r="I6" i="11"/>
  <c r="H6" i="11"/>
  <c r="H43" i="11" s="1"/>
  <c r="H94" i="11" s="1"/>
  <c r="G6" i="11"/>
  <c r="G7" i="11" s="1"/>
  <c r="F6" i="11"/>
  <c r="E6" i="11"/>
  <c r="D6" i="11"/>
  <c r="P774" i="10"/>
  <c r="O774" i="10"/>
  <c r="N774" i="10"/>
  <c r="M773" i="10"/>
  <c r="L773" i="10"/>
  <c r="K3" i="80" s="1"/>
  <c r="I757" i="10"/>
  <c r="H757" i="10"/>
  <c r="G757" i="10"/>
  <c r="I756" i="10"/>
  <c r="H756" i="10"/>
  <c r="G756" i="10"/>
  <c r="I755" i="10"/>
  <c r="H755" i="10"/>
  <c r="G755" i="10"/>
  <c r="I754" i="10"/>
  <c r="H754" i="10"/>
  <c r="G754" i="10"/>
  <c r="I751" i="10"/>
  <c r="H751" i="10"/>
  <c r="G751" i="10"/>
  <c r="I750" i="10"/>
  <c r="I762" i="10" s="1"/>
  <c r="J762" i="10" s="1"/>
  <c r="K762" i="10" s="1"/>
  <c r="L762" i="10" s="1"/>
  <c r="M762" i="10" s="1"/>
  <c r="N762" i="10" s="1"/>
  <c r="O762" i="10" s="1"/>
  <c r="P762" i="10" s="1"/>
  <c r="H750" i="10"/>
  <c r="G750" i="10"/>
  <c r="I749" i="10"/>
  <c r="H749" i="10"/>
  <c r="G749" i="10"/>
  <c r="I748" i="10"/>
  <c r="H748" i="10"/>
  <c r="G748" i="10"/>
  <c r="AD730" i="10"/>
  <c r="AB730" i="10"/>
  <c r="L730" i="10"/>
  <c r="K730" i="10"/>
  <c r="J730" i="10"/>
  <c r="I730" i="10"/>
  <c r="AB726" i="10"/>
  <c r="L726" i="10"/>
  <c r="K726" i="10"/>
  <c r="J726" i="10"/>
  <c r="I706" i="10"/>
  <c r="H706" i="10"/>
  <c r="I705" i="10"/>
  <c r="H705" i="10"/>
  <c r="I704" i="10"/>
  <c r="H704" i="10"/>
  <c r="I703" i="10"/>
  <c r="H703" i="10"/>
  <c r="M706" i="10"/>
  <c r="L705" i="10"/>
  <c r="K706" i="10"/>
  <c r="J706" i="10"/>
  <c r="I702" i="10"/>
  <c r="H702" i="10"/>
  <c r="M704" i="10"/>
  <c r="L704" i="10"/>
  <c r="K704" i="10"/>
  <c r="J704" i="10"/>
  <c r="I701" i="10"/>
  <c r="H701" i="10"/>
  <c r="I689" i="10"/>
  <c r="H689" i="10"/>
  <c r="G689" i="10"/>
  <c r="I688" i="10"/>
  <c r="M688" i="10" s="1"/>
  <c r="N688" i="10" s="1"/>
  <c r="O688" i="10" s="1"/>
  <c r="H688" i="10"/>
  <c r="G688" i="10"/>
  <c r="I687" i="10"/>
  <c r="M687" i="10" s="1"/>
  <c r="N687" i="10" s="1"/>
  <c r="O687" i="10" s="1"/>
  <c r="H687" i="10"/>
  <c r="G687" i="10"/>
  <c r="I686" i="10"/>
  <c r="M686" i="10" s="1"/>
  <c r="N686" i="10" s="1"/>
  <c r="O686" i="10" s="1"/>
  <c r="H686" i="10"/>
  <c r="G686" i="10"/>
  <c r="I685" i="10"/>
  <c r="M685" i="10" s="1"/>
  <c r="N685" i="10" s="1"/>
  <c r="O685" i="10" s="1"/>
  <c r="H685" i="10"/>
  <c r="G685" i="10"/>
  <c r="L684" i="10"/>
  <c r="M684" i="10" s="1"/>
  <c r="N684" i="10" s="1"/>
  <c r="O684" i="10" s="1"/>
  <c r="P684" i="10" s="1"/>
  <c r="I684" i="10"/>
  <c r="H684" i="10"/>
  <c r="G684" i="10"/>
  <c r="N683" i="10"/>
  <c r="I683" i="10"/>
  <c r="H683" i="10"/>
  <c r="G683" i="10"/>
  <c r="I674" i="10"/>
  <c r="H674" i="10"/>
  <c r="G674" i="10"/>
  <c r="L659" i="10"/>
  <c r="L662" i="10" s="1"/>
  <c r="M663" i="10" s="1"/>
  <c r="K659" i="10"/>
  <c r="K662" i="10" s="1"/>
  <c r="J659" i="10"/>
  <c r="J662" i="10" s="1"/>
  <c r="L654" i="10"/>
  <c r="K654" i="10"/>
  <c r="J654" i="10"/>
  <c r="I654" i="10"/>
  <c r="H654" i="10"/>
  <c r="G654" i="10"/>
  <c r="AE648" i="10"/>
  <c r="AD648" i="10"/>
  <c r="AC648" i="10"/>
  <c r="AB648" i="10"/>
  <c r="AA648" i="10"/>
  <c r="Z648" i="10"/>
  <c r="Y648" i="10"/>
  <c r="X648" i="10"/>
  <c r="W648" i="10"/>
  <c r="V648" i="10"/>
  <c r="U648" i="10"/>
  <c r="P648" i="10"/>
  <c r="O648" i="10"/>
  <c r="N648" i="10"/>
  <c r="L648" i="10"/>
  <c r="K648" i="10"/>
  <c r="J648" i="10"/>
  <c r="I648" i="10"/>
  <c r="H648" i="10"/>
  <c r="G648" i="10"/>
  <c r="F648" i="10"/>
  <c r="D644" i="10"/>
  <c r="U644" i="10" s="1"/>
  <c r="D643" i="10"/>
  <c r="U643" i="10" s="1"/>
  <c r="D642" i="10"/>
  <c r="U642" i="10" s="1"/>
  <c r="D641" i="10"/>
  <c r="U641" i="10" s="1"/>
  <c r="D640" i="10"/>
  <c r="U640" i="10" s="1"/>
  <c r="D639" i="10"/>
  <c r="U639" i="10" s="1"/>
  <c r="U638" i="10"/>
  <c r="U636" i="10"/>
  <c r="U635" i="10"/>
  <c r="L635" i="10"/>
  <c r="K635" i="10"/>
  <c r="J635" i="10"/>
  <c r="U634" i="10"/>
  <c r="L634" i="10"/>
  <c r="K634" i="10"/>
  <c r="J634" i="10"/>
  <c r="U633" i="10"/>
  <c r="X632" i="10"/>
  <c r="U632" i="10"/>
  <c r="L632" i="10"/>
  <c r="K632" i="10"/>
  <c r="J632" i="10"/>
  <c r="I632" i="10"/>
  <c r="H632" i="10"/>
  <c r="G632" i="10"/>
  <c r="X631" i="10"/>
  <c r="U631" i="10"/>
  <c r="L631" i="10"/>
  <c r="K631" i="10"/>
  <c r="J631" i="10"/>
  <c r="I631" i="10"/>
  <c r="H631" i="10"/>
  <c r="G631" i="10"/>
  <c r="U630" i="10"/>
  <c r="L627" i="10"/>
  <c r="K627" i="10"/>
  <c r="J627" i="10"/>
  <c r="U625" i="10"/>
  <c r="U623" i="10"/>
  <c r="U622" i="10"/>
  <c r="U621" i="10"/>
  <c r="W620" i="10"/>
  <c r="V620" i="10"/>
  <c r="U620" i="10"/>
  <c r="W619" i="10"/>
  <c r="V619" i="10"/>
  <c r="U619" i="10"/>
  <c r="W618" i="10"/>
  <c r="V618" i="10"/>
  <c r="U618" i="10"/>
  <c r="W617" i="10"/>
  <c r="V617" i="10"/>
  <c r="U617" i="10"/>
  <c r="W616" i="10"/>
  <c r="V616" i="10"/>
  <c r="U616" i="10"/>
  <c r="W615" i="10"/>
  <c r="W621" i="10" s="1"/>
  <c r="V615" i="10"/>
  <c r="V621" i="10" s="1"/>
  <c r="U615" i="10"/>
  <c r="U613" i="10"/>
  <c r="L613" i="10"/>
  <c r="K613" i="10"/>
  <c r="J613" i="10"/>
  <c r="U612" i="10"/>
  <c r="L612" i="10"/>
  <c r="K612" i="10"/>
  <c r="K624" i="10" s="1"/>
  <c r="J612" i="10"/>
  <c r="J624" i="10" s="1"/>
  <c r="U611" i="10"/>
  <c r="K611" i="10"/>
  <c r="I611" i="10"/>
  <c r="H611" i="10"/>
  <c r="G611" i="10"/>
  <c r="X610" i="10"/>
  <c r="X621" i="10" s="1"/>
  <c r="U610" i="10"/>
  <c r="U608" i="10"/>
  <c r="D606" i="10"/>
  <c r="U606" i="10" s="1"/>
  <c r="B606" i="10"/>
  <c r="D605" i="10"/>
  <c r="U605" i="10" s="1"/>
  <c r="B605" i="10"/>
  <c r="D604" i="10"/>
  <c r="U604" i="10" s="1"/>
  <c r="B604" i="10"/>
  <c r="D603" i="10"/>
  <c r="U603" i="10" s="1"/>
  <c r="B603" i="10"/>
  <c r="D602" i="10"/>
  <c r="U602" i="10" s="1"/>
  <c r="B602" i="10"/>
  <c r="U601" i="10"/>
  <c r="U599" i="10"/>
  <c r="AC598" i="10"/>
  <c r="AA598" i="10"/>
  <c r="Y598" i="10"/>
  <c r="U598" i="10"/>
  <c r="I598" i="10"/>
  <c r="W598" i="10" s="1"/>
  <c r="AC597" i="10"/>
  <c r="AA597" i="10"/>
  <c r="X597" i="10"/>
  <c r="Y597" i="10" s="1"/>
  <c r="V597" i="10"/>
  <c r="U597" i="10"/>
  <c r="I597" i="10"/>
  <c r="H597" i="10"/>
  <c r="G597" i="10"/>
  <c r="X596" i="10"/>
  <c r="V596" i="10"/>
  <c r="U596" i="10"/>
  <c r="L596" i="10"/>
  <c r="K596" i="10"/>
  <c r="AA596" i="10" s="1"/>
  <c r="J596" i="10"/>
  <c r="I596" i="10"/>
  <c r="H596" i="10"/>
  <c r="G596" i="10"/>
  <c r="AC595" i="10"/>
  <c r="AA595" i="10"/>
  <c r="X595" i="10"/>
  <c r="V595" i="10"/>
  <c r="U595" i="10"/>
  <c r="I595" i="10"/>
  <c r="I627" i="10" s="1"/>
  <c r="H595" i="10"/>
  <c r="H613" i="10" s="1"/>
  <c r="G595" i="10"/>
  <c r="G613" i="10" s="1"/>
  <c r="U594" i="10"/>
  <c r="P587" i="10"/>
  <c r="O587" i="10"/>
  <c r="N587" i="10"/>
  <c r="M587" i="10"/>
  <c r="L587" i="10"/>
  <c r="L584" i="10"/>
  <c r="M584" i="10" s="1"/>
  <c r="O584" i="10" s="1"/>
  <c r="P584" i="10" s="1"/>
  <c r="U582" i="10"/>
  <c r="D580" i="10"/>
  <c r="U580" i="10" s="1"/>
  <c r="B580" i="10"/>
  <c r="D579" i="10"/>
  <c r="U579" i="10" s="1"/>
  <c r="B579" i="10"/>
  <c r="D578" i="10"/>
  <c r="U578" i="10" s="1"/>
  <c r="B578" i="10"/>
  <c r="D577" i="10"/>
  <c r="B577" i="10"/>
  <c r="D576" i="10"/>
  <c r="B576" i="10"/>
  <c r="D575" i="10"/>
  <c r="U575" i="10" s="1"/>
  <c r="B575" i="10"/>
  <c r="D574" i="10"/>
  <c r="U574" i="10" s="1"/>
  <c r="B574" i="10"/>
  <c r="U573" i="10"/>
  <c r="U571" i="10"/>
  <c r="AA570" i="10"/>
  <c r="Y570" i="10"/>
  <c r="W570" i="10"/>
  <c r="U570" i="10"/>
  <c r="AC569" i="10"/>
  <c r="AA569" i="10"/>
  <c r="X569" i="10"/>
  <c r="V569" i="10"/>
  <c r="U569" i="10"/>
  <c r="I569" i="10"/>
  <c r="H569" i="10"/>
  <c r="G569" i="10"/>
  <c r="I568" i="10"/>
  <c r="J568" i="10" s="1"/>
  <c r="J567" i="10" s="1"/>
  <c r="H568" i="10"/>
  <c r="G568" i="10"/>
  <c r="H567" i="10"/>
  <c r="G567" i="10"/>
  <c r="AC566" i="10"/>
  <c r="AA566" i="10"/>
  <c r="X566" i="10"/>
  <c r="V566" i="10"/>
  <c r="U566" i="10"/>
  <c r="I566" i="10"/>
  <c r="I634" i="10" s="1"/>
  <c r="H566" i="10"/>
  <c r="H634" i="10" s="1"/>
  <c r="G566" i="10"/>
  <c r="AC565" i="10"/>
  <c r="AA565" i="10"/>
  <c r="X565" i="10"/>
  <c r="X612" i="10" s="1"/>
  <c r="V565" i="10"/>
  <c r="U565" i="10"/>
  <c r="I565" i="10"/>
  <c r="I612" i="10" s="1"/>
  <c r="H565" i="10"/>
  <c r="H612" i="10" s="1"/>
  <c r="G565" i="10"/>
  <c r="U564" i="10"/>
  <c r="AE563" i="10"/>
  <c r="AD563" i="10"/>
  <c r="AC563" i="10"/>
  <c r="AB563" i="10"/>
  <c r="AA563" i="10"/>
  <c r="Z563" i="10"/>
  <c r="Y563" i="10"/>
  <c r="X563" i="10"/>
  <c r="W563" i="10"/>
  <c r="V563" i="10"/>
  <c r="U563" i="10"/>
  <c r="P563" i="10"/>
  <c r="O563" i="10"/>
  <c r="N563" i="10"/>
  <c r="L563" i="10"/>
  <c r="K563" i="10"/>
  <c r="J563" i="10"/>
  <c r="I563" i="10"/>
  <c r="H563" i="10"/>
  <c r="G563" i="10"/>
  <c r="F563" i="10"/>
  <c r="L560" i="10"/>
  <c r="K560" i="10"/>
  <c r="J560" i="10"/>
  <c r="L557" i="10"/>
  <c r="K557" i="10"/>
  <c r="J557" i="10"/>
  <c r="L553" i="10"/>
  <c r="K553" i="10"/>
  <c r="D553" i="10"/>
  <c r="D560" i="10" s="1"/>
  <c r="B553" i="10"/>
  <c r="B560" i="10" s="1"/>
  <c r="L554" i="10"/>
  <c r="K554" i="10"/>
  <c r="D554" i="10"/>
  <c r="D561" i="10" s="1"/>
  <c r="B554" i="10"/>
  <c r="B561" i="10" s="1"/>
  <c r="L551" i="10"/>
  <c r="K551" i="10"/>
  <c r="D551" i="10"/>
  <c r="D559" i="10" s="1"/>
  <c r="B551" i="10"/>
  <c r="B559" i="10" s="1"/>
  <c r="L549" i="10"/>
  <c r="K549" i="10"/>
  <c r="D549" i="10"/>
  <c r="D557" i="10" s="1"/>
  <c r="B549" i="10"/>
  <c r="B557" i="10" s="1"/>
  <c r="U540" i="10"/>
  <c r="L528" i="10"/>
  <c r="L536" i="10" s="1"/>
  <c r="K528" i="10"/>
  <c r="K536" i="10" s="1"/>
  <c r="L524" i="10"/>
  <c r="L532" i="10" s="1"/>
  <c r="K524" i="10"/>
  <c r="K532" i="10" s="1"/>
  <c r="L521" i="10"/>
  <c r="L529" i="10" s="1"/>
  <c r="L537" i="10" s="1"/>
  <c r="K521" i="10"/>
  <c r="K529" i="10" s="1"/>
  <c r="K537" i="10" s="1"/>
  <c r="L518" i="10"/>
  <c r="K518" i="10"/>
  <c r="U514" i="10"/>
  <c r="L511" i="10"/>
  <c r="K511" i="10"/>
  <c r="D511" i="10"/>
  <c r="B511" i="10"/>
  <c r="D509" i="10"/>
  <c r="B509" i="10"/>
  <c r="L507" i="10"/>
  <c r="K507" i="10"/>
  <c r="D507" i="10"/>
  <c r="B507" i="10"/>
  <c r="I503" i="10"/>
  <c r="H503" i="10"/>
  <c r="G503" i="10"/>
  <c r="L501" i="10"/>
  <c r="L505" i="10" s="1"/>
  <c r="K501" i="10"/>
  <c r="J501" i="10"/>
  <c r="J559" i="10" s="1"/>
  <c r="I501" i="10"/>
  <c r="H501" i="10"/>
  <c r="G501" i="10"/>
  <c r="I499" i="10"/>
  <c r="J507" i="10" s="1"/>
  <c r="H499" i="10"/>
  <c r="G499" i="10"/>
  <c r="U498" i="10"/>
  <c r="L496" i="10"/>
  <c r="K496" i="10"/>
  <c r="J496" i="10"/>
  <c r="L494" i="10"/>
  <c r="K494" i="10"/>
  <c r="J494" i="10"/>
  <c r="L493" i="10"/>
  <c r="K493" i="10"/>
  <c r="J493" i="10"/>
  <c r="L492" i="10"/>
  <c r="K492" i="10"/>
  <c r="J492" i="10"/>
  <c r="L491" i="10"/>
  <c r="K491" i="10"/>
  <c r="J491" i="10"/>
  <c r="L490" i="10"/>
  <c r="K490" i="10"/>
  <c r="J490" i="10"/>
  <c r="L489" i="10"/>
  <c r="K489" i="10"/>
  <c r="J489" i="10"/>
  <c r="D488" i="10"/>
  <c r="U488" i="10" s="1"/>
  <c r="Y486" i="10"/>
  <c r="U486" i="10"/>
  <c r="I486" i="10"/>
  <c r="W486" i="10" s="1"/>
  <c r="D485" i="10"/>
  <c r="D495" i="10" s="1"/>
  <c r="B485" i="10"/>
  <c r="B495" i="10" s="1"/>
  <c r="D484" i="10"/>
  <c r="D494" i="10" s="1"/>
  <c r="B484" i="10"/>
  <c r="B494" i="10" s="1"/>
  <c r="D483" i="10"/>
  <c r="D493" i="10" s="1"/>
  <c r="B483" i="10"/>
  <c r="B493" i="10" s="1"/>
  <c r="D482" i="10"/>
  <c r="D492" i="10" s="1"/>
  <c r="B482" i="10"/>
  <c r="B492" i="10" s="1"/>
  <c r="D481" i="10"/>
  <c r="D491" i="10" s="1"/>
  <c r="B481" i="10"/>
  <c r="B491" i="10" s="1"/>
  <c r="D480" i="10"/>
  <c r="D490" i="10" s="1"/>
  <c r="B480" i="10"/>
  <c r="B490" i="10" s="1"/>
  <c r="D479" i="10"/>
  <c r="D489" i="10" s="1"/>
  <c r="B479" i="10"/>
  <c r="B489" i="10" s="1"/>
  <c r="U478" i="10"/>
  <c r="P478" i="10"/>
  <c r="O478" i="10"/>
  <c r="N478" i="10"/>
  <c r="L478" i="10"/>
  <c r="S205" i="11" s="1"/>
  <c r="K478" i="10"/>
  <c r="O205" i="11" s="1"/>
  <c r="J478" i="10"/>
  <c r="J271" i="10" s="1"/>
  <c r="H478" i="10"/>
  <c r="H335" i="10" s="1"/>
  <c r="G478" i="10"/>
  <c r="G335" i="10" s="1"/>
  <c r="U477" i="10"/>
  <c r="O471" i="10"/>
  <c r="P471" i="10" s="1"/>
  <c r="N469" i="10"/>
  <c r="O469" i="10" s="1"/>
  <c r="P469" i="10" s="1"/>
  <c r="O467" i="10"/>
  <c r="P467" i="10" s="1"/>
  <c r="L464" i="10"/>
  <c r="L475" i="10" s="1"/>
  <c r="K464" i="10"/>
  <c r="K475" i="10" s="1"/>
  <c r="J464" i="10"/>
  <c r="J475" i="10" s="1"/>
  <c r="L463" i="10"/>
  <c r="K463" i="10"/>
  <c r="K474" i="10" s="1"/>
  <c r="J463" i="10"/>
  <c r="J474" i="10" s="1"/>
  <c r="L462" i="10"/>
  <c r="K462" i="10"/>
  <c r="J462" i="10"/>
  <c r="L461" i="10"/>
  <c r="L472" i="10" s="1"/>
  <c r="K461" i="10"/>
  <c r="K472" i="10" s="1"/>
  <c r="J461" i="10"/>
  <c r="J472" i="10" s="1"/>
  <c r="L460" i="10"/>
  <c r="L471" i="10" s="1"/>
  <c r="K460" i="10"/>
  <c r="K471" i="10" s="1"/>
  <c r="J460" i="10"/>
  <c r="J471" i="10" s="1"/>
  <c r="L459" i="10"/>
  <c r="L470" i="10" s="1"/>
  <c r="K459" i="10"/>
  <c r="K470" i="10" s="1"/>
  <c r="J459" i="10"/>
  <c r="J470" i="10" s="1"/>
  <c r="L458" i="10"/>
  <c r="L469" i="10" s="1"/>
  <c r="K458" i="10"/>
  <c r="K469" i="10" s="1"/>
  <c r="J458" i="10"/>
  <c r="J469" i="10" s="1"/>
  <c r="L457" i="10"/>
  <c r="L468" i="10" s="1"/>
  <c r="K457" i="10"/>
  <c r="K468" i="10" s="1"/>
  <c r="J457" i="10"/>
  <c r="J468" i="10" s="1"/>
  <c r="L456" i="10"/>
  <c r="L467" i="10" s="1"/>
  <c r="K456" i="10"/>
  <c r="K467" i="10" s="1"/>
  <c r="J456" i="10"/>
  <c r="J467" i="10" s="1"/>
  <c r="I453" i="10"/>
  <c r="I452" i="10"/>
  <c r="I450" i="10"/>
  <c r="I449" i="10"/>
  <c r="I448" i="10"/>
  <c r="I447" i="10"/>
  <c r="I446" i="10"/>
  <c r="I445" i="10"/>
  <c r="U443" i="10"/>
  <c r="T443" i="10"/>
  <c r="P443" i="10"/>
  <c r="O443" i="10"/>
  <c r="N443" i="10"/>
  <c r="M443" i="10"/>
  <c r="L443" i="10"/>
  <c r="K443" i="10"/>
  <c r="J443" i="10"/>
  <c r="I443" i="10"/>
  <c r="H443" i="10"/>
  <c r="G443" i="10"/>
  <c r="F443" i="10"/>
  <c r="L425" i="10"/>
  <c r="K425" i="10"/>
  <c r="J425" i="10"/>
  <c r="L424" i="10"/>
  <c r="K424" i="10"/>
  <c r="J424" i="10"/>
  <c r="L422" i="10"/>
  <c r="K422" i="10"/>
  <c r="J422" i="10"/>
  <c r="L421" i="10"/>
  <c r="M432" i="10" s="1"/>
  <c r="K421" i="10"/>
  <c r="J421" i="10"/>
  <c r="L420" i="10"/>
  <c r="M431" i="10" s="1"/>
  <c r="K420" i="10"/>
  <c r="J420" i="10"/>
  <c r="L419" i="10"/>
  <c r="K419" i="10"/>
  <c r="J419" i="10"/>
  <c r="L418" i="10"/>
  <c r="M429" i="10" s="1"/>
  <c r="K418" i="10"/>
  <c r="J418" i="10"/>
  <c r="L417" i="10"/>
  <c r="K417" i="10"/>
  <c r="J417" i="10"/>
  <c r="L405" i="10"/>
  <c r="K405" i="10"/>
  <c r="J405" i="10"/>
  <c r="I405" i="10"/>
  <c r="AB402" i="10"/>
  <c r="Z402" i="10"/>
  <c r="L402" i="10"/>
  <c r="K402" i="10"/>
  <c r="AB400" i="10"/>
  <c r="Z400" i="10"/>
  <c r="L400" i="10"/>
  <c r="K400" i="10"/>
  <c r="D400" i="10"/>
  <c r="B400" i="10"/>
  <c r="D399" i="10"/>
  <c r="B399" i="10"/>
  <c r="AB398" i="10"/>
  <c r="Z398" i="10"/>
  <c r="L398" i="10"/>
  <c r="K398" i="10"/>
  <c r="D398" i="10"/>
  <c r="B398" i="10"/>
  <c r="AB397" i="10"/>
  <c r="Z397" i="10"/>
  <c r="L397" i="10"/>
  <c r="K397" i="10"/>
  <c r="D397" i="10"/>
  <c r="B397" i="10"/>
  <c r="AB396" i="10"/>
  <c r="Z396" i="10"/>
  <c r="L396" i="10"/>
  <c r="K396" i="10"/>
  <c r="D396" i="10"/>
  <c r="B396" i="10"/>
  <c r="AB395" i="10"/>
  <c r="Z395" i="10"/>
  <c r="L395" i="10"/>
  <c r="K395" i="10"/>
  <c r="D395" i="10"/>
  <c r="B395" i="10"/>
  <c r="AB394" i="10"/>
  <c r="Z394" i="10"/>
  <c r="L394" i="10"/>
  <c r="K394" i="10"/>
  <c r="D394" i="10"/>
  <c r="B394" i="10"/>
  <c r="AB393" i="10"/>
  <c r="Z393" i="10"/>
  <c r="L393" i="10"/>
  <c r="K393" i="10"/>
  <c r="D393" i="10"/>
  <c r="B393" i="10"/>
  <c r="BR390" i="10"/>
  <c r="BO390" i="10"/>
  <c r="BP390" i="10" s="1"/>
  <c r="BK390" i="10"/>
  <c r="BL390" i="10" s="1"/>
  <c r="BG390" i="10"/>
  <c r="BH390" i="10" s="1"/>
  <c r="AC390" i="10"/>
  <c r="AA390" i="10"/>
  <c r="Y390" i="10"/>
  <c r="I390" i="10"/>
  <c r="AC389" i="10"/>
  <c r="AA389" i="10"/>
  <c r="Y389" i="10"/>
  <c r="N389" i="10"/>
  <c r="I389" i="10"/>
  <c r="I424" i="10" s="1"/>
  <c r="H389" i="10"/>
  <c r="G389" i="10"/>
  <c r="G400" i="10" s="1"/>
  <c r="I388" i="10"/>
  <c r="H388" i="10"/>
  <c r="G388" i="10"/>
  <c r="G399" i="10" s="1"/>
  <c r="AC387" i="10"/>
  <c r="AA387" i="10"/>
  <c r="Y387" i="10"/>
  <c r="N387" i="10"/>
  <c r="I387" i="10"/>
  <c r="H387" i="10"/>
  <c r="G387" i="10"/>
  <c r="G398" i="10" s="1"/>
  <c r="AC386" i="10"/>
  <c r="AA386" i="10"/>
  <c r="Y386" i="10"/>
  <c r="I386" i="10"/>
  <c r="I421" i="10" s="1"/>
  <c r="H386" i="10"/>
  <c r="H493" i="10" s="1"/>
  <c r="G386" i="10"/>
  <c r="G397" i="10" s="1"/>
  <c r="AC385" i="10"/>
  <c r="AA385" i="10"/>
  <c r="Y385" i="10"/>
  <c r="N385" i="10"/>
  <c r="I385" i="10"/>
  <c r="J396" i="10" s="1"/>
  <c r="H385" i="10"/>
  <c r="H492" i="10" s="1"/>
  <c r="G385" i="10"/>
  <c r="AC384" i="10"/>
  <c r="AA384" i="10"/>
  <c r="Y384" i="10"/>
  <c r="I384" i="10"/>
  <c r="I491" i="10" s="1"/>
  <c r="H384" i="10"/>
  <c r="G384" i="10"/>
  <c r="AC383" i="10"/>
  <c r="AA383" i="10"/>
  <c r="Y383" i="10"/>
  <c r="N383" i="10"/>
  <c r="I383" i="10"/>
  <c r="I490" i="10" s="1"/>
  <c r="H383" i="10"/>
  <c r="H490" i="10" s="1"/>
  <c r="G383" i="10"/>
  <c r="G394" i="10" s="1"/>
  <c r="BO382" i="10"/>
  <c r="BP382" i="10" s="1"/>
  <c r="BK382" i="10"/>
  <c r="BL382" i="10" s="1"/>
  <c r="BG382" i="10"/>
  <c r="BH382" i="10" s="1"/>
  <c r="AC382" i="10"/>
  <c r="AA382" i="10"/>
  <c r="Y382" i="10"/>
  <c r="V382" i="10"/>
  <c r="X393" i="10" s="1"/>
  <c r="I382" i="10"/>
  <c r="I340" i="10" s="1"/>
  <c r="H382" i="10"/>
  <c r="H332" i="10" s="1"/>
  <c r="G382" i="10"/>
  <c r="G332" i="10" s="1"/>
  <c r="BL381" i="10"/>
  <c r="BM381" i="10" s="1"/>
  <c r="BK381" i="10"/>
  <c r="BG381" i="10"/>
  <c r="L381" i="10"/>
  <c r="L391" i="10" s="1"/>
  <c r="K381" i="10"/>
  <c r="J381" i="10"/>
  <c r="F381" i="10"/>
  <c r="F391" i="10" s="1"/>
  <c r="BS380" i="10"/>
  <c r="U380" i="10"/>
  <c r="T380" i="10"/>
  <c r="P380" i="10"/>
  <c r="O380" i="10"/>
  <c r="N380" i="10"/>
  <c r="M380" i="10"/>
  <c r="L380" i="10"/>
  <c r="K380" i="10"/>
  <c r="J380" i="10"/>
  <c r="I380" i="10"/>
  <c r="H380" i="10"/>
  <c r="G380" i="10"/>
  <c r="F380" i="10"/>
  <c r="M369" i="10"/>
  <c r="L369" i="10"/>
  <c r="M366" i="10"/>
  <c r="N366" i="10" s="1"/>
  <c r="N367" i="10" s="1"/>
  <c r="L366" i="10"/>
  <c r="L354" i="10"/>
  <c r="M353" i="10"/>
  <c r="M352" i="10"/>
  <c r="L352" i="10"/>
  <c r="K11" i="83"/>
  <c r="L340" i="10"/>
  <c r="L346" i="10" s="1"/>
  <c r="K340" i="10"/>
  <c r="K346" i="10" s="1"/>
  <c r="J340" i="10"/>
  <c r="L332" i="10"/>
  <c r="K332" i="10"/>
  <c r="J332" i="10"/>
  <c r="L330" i="10"/>
  <c r="K330" i="10"/>
  <c r="J330" i="10"/>
  <c r="I330" i="10"/>
  <c r="H330" i="10"/>
  <c r="G330" i="10"/>
  <c r="L323" i="10"/>
  <c r="L315" i="10"/>
  <c r="M315" i="10" s="1"/>
  <c r="N315" i="10" s="1"/>
  <c r="M313" i="10"/>
  <c r="L310" i="10"/>
  <c r="K310" i="10"/>
  <c r="J310" i="10"/>
  <c r="L294" i="10"/>
  <c r="M294" i="10" s="1"/>
  <c r="N294" i="10" s="1"/>
  <c r="O294" i="10" s="1"/>
  <c r="P294" i="10" s="1"/>
  <c r="O269" i="10"/>
  <c r="O288" i="10" s="1"/>
  <c r="N269" i="10"/>
  <c r="N288" i="10" s="1"/>
  <c r="L269" i="10"/>
  <c r="L288" i="10" s="1"/>
  <c r="M289" i="10" s="1"/>
  <c r="K269" i="10"/>
  <c r="K288" i="10" s="1"/>
  <c r="K301" i="10" s="1"/>
  <c r="J269" i="10"/>
  <c r="I269" i="10"/>
  <c r="I288" i="10" s="1"/>
  <c r="O268" i="10"/>
  <c r="N268" i="10"/>
  <c r="L268" i="10"/>
  <c r="K268" i="10"/>
  <c r="J268" i="10"/>
  <c r="I268" i="10"/>
  <c r="P267" i="10"/>
  <c r="K263" i="10"/>
  <c r="L263" i="10" s="1"/>
  <c r="M263" i="10" s="1"/>
  <c r="N263" i="10" s="1"/>
  <c r="O263" i="10" s="1"/>
  <c r="P263" i="10" s="1"/>
  <c r="Z260" i="10"/>
  <c r="Z16" i="10" s="1"/>
  <c r="Y8" i="66" s="1"/>
  <c r="X260" i="10"/>
  <c r="X16" i="10" s="1"/>
  <c r="W8" i="66" s="1"/>
  <c r="V260" i="10"/>
  <c r="V16" i="10" s="1"/>
  <c r="U8" i="66" s="1"/>
  <c r="U260" i="10"/>
  <c r="AZ260" i="10" s="1"/>
  <c r="J260" i="10"/>
  <c r="I260" i="10"/>
  <c r="H260" i="10"/>
  <c r="G260" i="10"/>
  <c r="G16" i="10" s="1"/>
  <c r="AE258" i="10"/>
  <c r="AD258" i="10"/>
  <c r="AC258" i="10"/>
  <c r="AB258" i="10"/>
  <c r="AA258" i="10"/>
  <c r="Z258" i="10"/>
  <c r="Y258" i="10"/>
  <c r="X258" i="10"/>
  <c r="W258" i="10"/>
  <c r="V258" i="10"/>
  <c r="U258" i="10"/>
  <c r="I252" i="10"/>
  <c r="H252" i="10"/>
  <c r="G252" i="10"/>
  <c r="I245" i="10"/>
  <c r="H245" i="10"/>
  <c r="G245" i="10"/>
  <c r="I243" i="10"/>
  <c r="I14" i="10" s="1"/>
  <c r="H243" i="10"/>
  <c r="G243" i="10"/>
  <c r="AE241" i="10"/>
  <c r="AD241" i="10"/>
  <c r="AC241" i="10"/>
  <c r="AB241" i="10"/>
  <c r="AA241" i="10"/>
  <c r="Z241" i="10"/>
  <c r="Y241" i="10"/>
  <c r="X241" i="10"/>
  <c r="W241" i="10"/>
  <c r="V241" i="10"/>
  <c r="P241" i="10"/>
  <c r="O241" i="10"/>
  <c r="N241" i="10"/>
  <c r="M241" i="10"/>
  <c r="L241" i="10"/>
  <c r="K241" i="10"/>
  <c r="J241" i="10"/>
  <c r="I241" i="10"/>
  <c r="H241" i="10"/>
  <c r="G241" i="10"/>
  <c r="F241" i="10"/>
  <c r="L227" i="10"/>
  <c r="M228" i="10" s="1"/>
  <c r="K227" i="10"/>
  <c r="J227" i="10"/>
  <c r="AD218" i="10"/>
  <c r="AD219" i="10" s="1"/>
  <c r="AB218" i="10"/>
  <c r="AB219" i="10" s="1"/>
  <c r="N218" i="10"/>
  <c r="O218" i="10" s="1"/>
  <c r="P218" i="10" s="1"/>
  <c r="L216" i="10"/>
  <c r="K216" i="10"/>
  <c r="I211" i="10"/>
  <c r="I214" i="10" s="1"/>
  <c r="H211" i="10"/>
  <c r="H214" i="10" s="1"/>
  <c r="G211" i="10"/>
  <c r="G214" i="10" s="1"/>
  <c r="AD206" i="10"/>
  <c r="AD204" i="10"/>
  <c r="AE203" i="10"/>
  <c r="AB202" i="10"/>
  <c r="L202" i="10"/>
  <c r="K202" i="10"/>
  <c r="AD201" i="10"/>
  <c r="AD202" i="10" s="1"/>
  <c r="AC201" i="10"/>
  <c r="AA201" i="10"/>
  <c r="I201" i="10"/>
  <c r="H201" i="10"/>
  <c r="G201" i="10"/>
  <c r="G659" i="10" s="1"/>
  <c r="G662" i="10" s="1"/>
  <c r="P197" i="10"/>
  <c r="M196" i="10"/>
  <c r="M775" i="10"/>
  <c r="M189" i="10"/>
  <c r="AE188" i="10"/>
  <c r="AC188" i="10"/>
  <c r="N188" i="10"/>
  <c r="BR178" i="10"/>
  <c r="BN178" i="10"/>
  <c r="BJ178" i="10"/>
  <c r="L178" i="10"/>
  <c r="L182" i="10"/>
  <c r="L229" i="10" s="1"/>
  <c r="K182" i="10"/>
  <c r="K229" i="10" s="1"/>
  <c r="I182" i="10"/>
  <c r="G182" i="10"/>
  <c r="BP177" i="10"/>
  <c r="BP12" i="10" s="1"/>
  <c r="BO177" i="10"/>
  <c r="BO12" i="10" s="1"/>
  <c r="AZ177" i="10"/>
  <c r="AC177" i="10"/>
  <c r="AC12" i="10" s="1"/>
  <c r="AB6" i="66" s="1"/>
  <c r="Z177" i="10"/>
  <c r="M125" i="11" s="1"/>
  <c r="AI126" i="11" s="1"/>
  <c r="X177" i="10"/>
  <c r="V177" i="10"/>
  <c r="BD177" i="10" s="1"/>
  <c r="BD12" i="10" s="1"/>
  <c r="AF6" i="66" s="1"/>
  <c r="U177" i="10"/>
  <c r="J177" i="10"/>
  <c r="J182" i="10" s="1"/>
  <c r="J183" i="10" s="1"/>
  <c r="BW175" i="10"/>
  <c r="BV175" i="10"/>
  <c r="BU175" i="10"/>
  <c r="BT175" i="10"/>
  <c r="BS175" i="10"/>
  <c r="BR175" i="10"/>
  <c r="BQ175" i="10"/>
  <c r="BP175" i="10"/>
  <c r="BO175" i="10"/>
  <c r="BN175" i="10"/>
  <c r="BM175" i="10"/>
  <c r="BL175" i="10"/>
  <c r="BK175" i="10"/>
  <c r="BJ175" i="10"/>
  <c r="AZ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P175" i="10"/>
  <c r="P258" i="10" s="1"/>
  <c r="O175" i="10"/>
  <c r="O258" i="10" s="1"/>
  <c r="N175" i="10"/>
  <c r="N258" i="10" s="1"/>
  <c r="M175" i="10"/>
  <c r="L175" i="10"/>
  <c r="L258" i="10" s="1"/>
  <c r="K175" i="10"/>
  <c r="K258" i="10" s="1"/>
  <c r="J175" i="10"/>
  <c r="J258" i="10" s="1"/>
  <c r="I175" i="10"/>
  <c r="I258" i="10" s="1"/>
  <c r="H175" i="10"/>
  <c r="H258" i="10" s="1"/>
  <c r="G175" i="10"/>
  <c r="G258" i="10" s="1"/>
  <c r="F175" i="10"/>
  <c r="F258" i="10" s="1"/>
  <c r="D173" i="10"/>
  <c r="B173" i="10"/>
  <c r="D172" i="10"/>
  <c r="B172" i="10"/>
  <c r="I171" i="10"/>
  <c r="H171" i="10"/>
  <c r="D171" i="10"/>
  <c r="B171" i="10"/>
  <c r="I170" i="10"/>
  <c r="H170" i="10"/>
  <c r="D170" i="10"/>
  <c r="B170" i="10"/>
  <c r="I169" i="10"/>
  <c r="H169" i="10"/>
  <c r="D169" i="10"/>
  <c r="B169" i="10"/>
  <c r="I168" i="10"/>
  <c r="H168" i="10"/>
  <c r="D168" i="10"/>
  <c r="B168" i="10"/>
  <c r="I167" i="10"/>
  <c r="H167" i="10"/>
  <c r="D167" i="10"/>
  <c r="B167" i="10"/>
  <c r="D150" i="10"/>
  <c r="D157" i="10" s="1"/>
  <c r="B150" i="10"/>
  <c r="B157" i="10" s="1"/>
  <c r="D149" i="10"/>
  <c r="D156" i="10" s="1"/>
  <c r="B149" i="10"/>
  <c r="B156" i="10" s="1"/>
  <c r="D148" i="10"/>
  <c r="D155" i="10" s="1"/>
  <c r="B148" i="10"/>
  <c r="B155" i="10" s="1"/>
  <c r="D147" i="10"/>
  <c r="D154" i="10" s="1"/>
  <c r="B147" i="10"/>
  <c r="B154" i="10" s="1"/>
  <c r="D146" i="10"/>
  <c r="D153" i="10" s="1"/>
  <c r="B146" i="10"/>
  <c r="B153" i="10" s="1"/>
  <c r="L144" i="10"/>
  <c r="K144" i="10"/>
  <c r="L137" i="10"/>
  <c r="K137" i="10"/>
  <c r="K736" i="10" s="1"/>
  <c r="J137" i="10"/>
  <c r="L135" i="10"/>
  <c r="M136" i="10" s="1"/>
  <c r="K135" i="10"/>
  <c r="J135" i="10"/>
  <c r="I132" i="10"/>
  <c r="H132" i="10"/>
  <c r="G132" i="10"/>
  <c r="I131" i="10"/>
  <c r="H131" i="10"/>
  <c r="G131" i="10"/>
  <c r="I130" i="10"/>
  <c r="H130" i="10"/>
  <c r="G130" i="10"/>
  <c r="I129" i="10"/>
  <c r="H129" i="10"/>
  <c r="G129" i="10"/>
  <c r="H128" i="10"/>
  <c r="G128" i="10"/>
  <c r="I122" i="10"/>
  <c r="I128" i="10" s="1"/>
  <c r="I121" i="10"/>
  <c r="I119" i="10" s="1"/>
  <c r="G120" i="10"/>
  <c r="G119" i="10" s="1"/>
  <c r="H119" i="10"/>
  <c r="D118" i="10"/>
  <c r="D127" i="10" s="1"/>
  <c r="D133" i="10" s="1"/>
  <c r="B118" i="10"/>
  <c r="B127" i="10" s="1"/>
  <c r="B133" i="10" s="1"/>
  <c r="D117" i="10"/>
  <c r="D126" i="10" s="1"/>
  <c r="D132" i="10" s="1"/>
  <c r="B117" i="10"/>
  <c r="B126" i="10" s="1"/>
  <c r="B132" i="10" s="1"/>
  <c r="D116" i="10"/>
  <c r="D125" i="10" s="1"/>
  <c r="D131" i="10" s="1"/>
  <c r="B116" i="10"/>
  <c r="B125" i="10" s="1"/>
  <c r="B131" i="10" s="1"/>
  <c r="D115" i="10"/>
  <c r="D124" i="10" s="1"/>
  <c r="D130" i="10" s="1"/>
  <c r="B115" i="10"/>
  <c r="B124" i="10" s="1"/>
  <c r="B130" i="10" s="1"/>
  <c r="D114" i="10"/>
  <c r="D123" i="10" s="1"/>
  <c r="D129" i="10" s="1"/>
  <c r="B114" i="10"/>
  <c r="B123" i="10" s="1"/>
  <c r="B129" i="10" s="1"/>
  <c r="AD107" i="10"/>
  <c r="AB107" i="10"/>
  <c r="L107" i="10"/>
  <c r="K107" i="10"/>
  <c r="J107" i="10"/>
  <c r="I107" i="10"/>
  <c r="H107" i="10"/>
  <c r="AC106" i="10"/>
  <c r="AA106" i="10"/>
  <c r="N106" i="10"/>
  <c r="AA132" i="11" s="1"/>
  <c r="AE106" i="10"/>
  <c r="BR99" i="10"/>
  <c r="BN99" i="10"/>
  <c r="BJ99" i="10"/>
  <c r="AB99" i="10"/>
  <c r="U99" i="10"/>
  <c r="L99" i="10"/>
  <c r="K99" i="10"/>
  <c r="I92" i="10"/>
  <c r="I91" i="10"/>
  <c r="H91" i="10"/>
  <c r="G91" i="10"/>
  <c r="I90" i="10"/>
  <c r="H90" i="10"/>
  <c r="G90" i="10"/>
  <c r="I89" i="10"/>
  <c r="H89" i="10"/>
  <c r="G89" i="10"/>
  <c r="I88" i="10"/>
  <c r="H88" i="10"/>
  <c r="G88" i="10"/>
  <c r="L87" i="10"/>
  <c r="L93" i="10" s="1"/>
  <c r="K87" i="10"/>
  <c r="K93" i="10" s="1"/>
  <c r="H86" i="10"/>
  <c r="G86" i="10"/>
  <c r="D86" i="10"/>
  <c r="D92" i="10" s="1"/>
  <c r="D98" i="10" s="1"/>
  <c r="D104" i="10" s="1"/>
  <c r="B86" i="10"/>
  <c r="B92" i="10" s="1"/>
  <c r="B98" i="10" s="1"/>
  <c r="B104" i="10" s="1"/>
  <c r="D85" i="10"/>
  <c r="D91" i="10" s="1"/>
  <c r="D97" i="10" s="1"/>
  <c r="D103" i="10" s="1"/>
  <c r="B85" i="10"/>
  <c r="B91" i="10" s="1"/>
  <c r="B97" i="10" s="1"/>
  <c r="B103" i="10" s="1"/>
  <c r="D84" i="10"/>
  <c r="D90" i="10" s="1"/>
  <c r="D96" i="10" s="1"/>
  <c r="D102" i="10" s="1"/>
  <c r="B84" i="10"/>
  <c r="B90" i="10" s="1"/>
  <c r="B96" i="10" s="1"/>
  <c r="B102" i="10" s="1"/>
  <c r="D83" i="10"/>
  <c r="D89" i="10" s="1"/>
  <c r="D95" i="10" s="1"/>
  <c r="D101" i="10" s="1"/>
  <c r="B83" i="10"/>
  <c r="B89" i="10" s="1"/>
  <c r="B95" i="10" s="1"/>
  <c r="B101" i="10" s="1"/>
  <c r="D82" i="10"/>
  <c r="D88" i="10" s="1"/>
  <c r="D94" i="10" s="1"/>
  <c r="D100" i="10" s="1"/>
  <c r="B82" i="10"/>
  <c r="B88" i="10" s="1"/>
  <c r="B94" i="10" s="1"/>
  <c r="B100" i="10" s="1"/>
  <c r="L81" i="10"/>
  <c r="L79" i="10"/>
  <c r="M79" i="10" s="1"/>
  <c r="J79" i="10"/>
  <c r="I79" i="10"/>
  <c r="I78" i="10"/>
  <c r="H78" i="10"/>
  <c r="H142" i="10" s="1"/>
  <c r="G78" i="10"/>
  <c r="G142" i="10" s="1"/>
  <c r="K77" i="10"/>
  <c r="L77" i="10" s="1"/>
  <c r="M77" i="10" s="1"/>
  <c r="I77" i="10"/>
  <c r="H77" i="10"/>
  <c r="G77" i="10"/>
  <c r="G141" i="10" s="1"/>
  <c r="K76" i="10"/>
  <c r="I76" i="10"/>
  <c r="H76" i="10"/>
  <c r="G76" i="10"/>
  <c r="K75" i="10"/>
  <c r="L75" i="10" s="1"/>
  <c r="M75" i="10" s="1"/>
  <c r="I75" i="10"/>
  <c r="I139" i="10" s="1"/>
  <c r="H75" i="10"/>
  <c r="H139" i="10" s="1"/>
  <c r="G75" i="10"/>
  <c r="BP74" i="10"/>
  <c r="BP11" i="10" s="1"/>
  <c r="AR5" i="66" s="1"/>
  <c r="BO74" i="10"/>
  <c r="BO11" i="10" s="1"/>
  <c r="AQ5" i="66" s="1"/>
  <c r="BL74" i="10"/>
  <c r="BK74" i="10"/>
  <c r="BK11" i="10" s="1"/>
  <c r="AZ74" i="10"/>
  <c r="AC74" i="10"/>
  <c r="AA74" i="10"/>
  <c r="X74" i="10"/>
  <c r="Z99" i="10" s="1"/>
  <c r="V74" i="10"/>
  <c r="BD74" i="10" s="1"/>
  <c r="BD11" i="10" s="1"/>
  <c r="U74" i="10"/>
  <c r="U73" i="10"/>
  <c r="BV72" i="10"/>
  <c r="BS72" i="10"/>
  <c r="AZ72" i="10"/>
  <c r="P72" i="10"/>
  <c r="O72" i="10"/>
  <c r="N72" i="10"/>
  <c r="L72" i="10"/>
  <c r="K72" i="10"/>
  <c r="J72" i="10"/>
  <c r="I72" i="10"/>
  <c r="H72" i="10"/>
  <c r="G72" i="10"/>
  <c r="F72" i="10"/>
  <c r="AZ68" i="10"/>
  <c r="U67" i="10"/>
  <c r="AZ67" i="10" s="1"/>
  <c r="U66" i="10"/>
  <c r="AZ66" i="10" s="1"/>
  <c r="U65" i="10"/>
  <c r="AZ65" i="10" s="1"/>
  <c r="BX64" i="10"/>
  <c r="BW64" i="10"/>
  <c r="BV64" i="10"/>
  <c r="U64" i="10"/>
  <c r="AZ64" i="10" s="1"/>
  <c r="U63" i="10"/>
  <c r="AZ63" i="10" s="1"/>
  <c r="U62" i="10"/>
  <c r="AZ62" i="10" s="1"/>
  <c r="U61" i="10"/>
  <c r="AZ61" i="10" s="1"/>
  <c r="U60" i="10"/>
  <c r="AZ60" i="10" s="1"/>
  <c r="U59" i="10"/>
  <c r="AZ59" i="10" s="1"/>
  <c r="AG57" i="10"/>
  <c r="AF57" i="10"/>
  <c r="Z57" i="10"/>
  <c r="X57" i="10"/>
  <c r="V57" i="10"/>
  <c r="U57" i="10"/>
  <c r="AZ57" i="10" s="1"/>
  <c r="U56" i="10"/>
  <c r="AZ56" i="10" s="1"/>
  <c r="U55" i="10"/>
  <c r="AZ55" i="10" s="1"/>
  <c r="U54" i="10"/>
  <c r="AZ54" i="10" s="1"/>
  <c r="U53" i="10"/>
  <c r="AZ53" i="10" s="1"/>
  <c r="U50" i="10"/>
  <c r="AZ50" i="10" s="1"/>
  <c r="AD49" i="10"/>
  <c r="AD594" i="10" s="1"/>
  <c r="AB49" i="10"/>
  <c r="AA69" i="66" s="1"/>
  <c r="U49" i="10"/>
  <c r="AZ49" i="10" s="1"/>
  <c r="U48" i="10"/>
  <c r="AZ48" i="10" s="1"/>
  <c r="U47" i="10"/>
  <c r="AZ47" i="10" s="1"/>
  <c r="U46" i="10"/>
  <c r="AZ46" i="10" s="1"/>
  <c r="U45" i="10"/>
  <c r="AZ45" i="10" s="1"/>
  <c r="U40" i="10"/>
  <c r="AZ40" i="10" s="1"/>
  <c r="F38" i="10"/>
  <c r="F37" i="10"/>
  <c r="F36" i="10"/>
  <c r="U35" i="10"/>
  <c r="AZ35" i="10" s="1"/>
  <c r="U29" i="10"/>
  <c r="AZ29" i="10" s="1"/>
  <c r="P26" i="10"/>
  <c r="O26" i="10"/>
  <c r="N26" i="10"/>
  <c r="L26" i="10"/>
  <c r="K26" i="10"/>
  <c r="J26" i="10"/>
  <c r="L25" i="10"/>
  <c r="K25" i="10"/>
  <c r="J25" i="10"/>
  <c r="U23" i="10"/>
  <c r="AZ23" i="10" s="1"/>
  <c r="D22" i="10"/>
  <c r="B22" i="10"/>
  <c r="B27" i="10" s="1"/>
  <c r="B33" i="10" s="1"/>
  <c r="B39" i="10" s="1"/>
  <c r="B44" i="10" s="1"/>
  <c r="D21" i="10"/>
  <c r="D26" i="10" s="1"/>
  <c r="D32" i="10" s="1"/>
  <c r="D38" i="10" s="1"/>
  <c r="D43" i="10" s="1"/>
  <c r="B21" i="10"/>
  <c r="B26" i="10" s="1"/>
  <c r="B32" i="10" s="1"/>
  <c r="B38" i="10" s="1"/>
  <c r="B43" i="10" s="1"/>
  <c r="D20" i="10"/>
  <c r="U20" i="10" s="1"/>
  <c r="AZ20" i="10" s="1"/>
  <c r="B20" i="10"/>
  <c r="B25" i="10" s="1"/>
  <c r="B31" i="10" s="1"/>
  <c r="B37" i="10" s="1"/>
  <c r="B42" i="10" s="1"/>
  <c r="D19" i="10"/>
  <c r="D24" i="10" s="1"/>
  <c r="D30" i="10" s="1"/>
  <c r="D36" i="10" s="1"/>
  <c r="D41" i="10" s="1"/>
  <c r="B19" i="10"/>
  <c r="B24" i="10" s="1"/>
  <c r="B30" i="10" s="1"/>
  <c r="B36" i="10" s="1"/>
  <c r="B41" i="10" s="1"/>
  <c r="U18" i="10"/>
  <c r="AZ18" i="10" s="1"/>
  <c r="BX16" i="10"/>
  <c r="BW16" i="10"/>
  <c r="BV16" i="10"/>
  <c r="U16" i="10"/>
  <c r="AZ16" i="10" s="1"/>
  <c r="AG14" i="10"/>
  <c r="AF14" i="10"/>
  <c r="AE14" i="10"/>
  <c r="AD14" i="10"/>
  <c r="AC14" i="10"/>
  <c r="AB7" i="66" s="1"/>
  <c r="AB14" i="10"/>
  <c r="AA7" i="66" s="1"/>
  <c r="AA14" i="10"/>
  <c r="Z7" i="66" s="1"/>
  <c r="Z14" i="10"/>
  <c r="Y7" i="66" s="1"/>
  <c r="Y14" i="10"/>
  <c r="X7" i="66" s="1"/>
  <c r="X14" i="10"/>
  <c r="W7" i="66" s="1"/>
  <c r="W14" i="10"/>
  <c r="BE14" i="10" s="1"/>
  <c r="AG7" i="66" s="1"/>
  <c r="V14" i="10"/>
  <c r="U7" i="66" s="1"/>
  <c r="U14" i="10"/>
  <c r="P14" i="10"/>
  <c r="O14" i="10"/>
  <c r="N14" i="10"/>
  <c r="L14" i="10"/>
  <c r="K14" i="10"/>
  <c r="J14" i="10"/>
  <c r="BR12" i="10"/>
  <c r="BN12" i="10"/>
  <c r="AP6" i="66" s="1"/>
  <c r="BJ12" i="10"/>
  <c r="BF12" i="10"/>
  <c r="AH6" i="66" s="1"/>
  <c r="AB12" i="10"/>
  <c r="U12" i="10"/>
  <c r="AZ12" i="10" s="1"/>
  <c r="L12" i="10"/>
  <c r="I73" i="83" s="1"/>
  <c r="K12" i="10"/>
  <c r="G6" i="66" s="1"/>
  <c r="BR11" i="10"/>
  <c r="AT5" i="66" s="1"/>
  <c r="BN11" i="10"/>
  <c r="BJ11" i="10"/>
  <c r="BF11" i="10"/>
  <c r="AH5" i="66" s="1"/>
  <c r="AB11" i="10"/>
  <c r="Z11" i="10"/>
  <c r="U11" i="10"/>
  <c r="AZ11" i="10" s="1"/>
  <c r="L11" i="10"/>
  <c r="K11" i="10"/>
  <c r="J11" i="10"/>
  <c r="K5" i="4" s="1"/>
  <c r="AZ10" i="10"/>
  <c r="U10" i="10"/>
  <c r="U9" i="10"/>
  <c r="AZ9" i="10" s="1"/>
  <c r="I247" i="12"/>
  <c r="H247" i="12"/>
  <c r="G247" i="12"/>
  <c r="F247" i="12"/>
  <c r="E247" i="12"/>
  <c r="D247" i="12"/>
  <c r="C247" i="12"/>
  <c r="G235" i="12"/>
  <c r="F235" i="12"/>
  <c r="D235" i="12"/>
  <c r="C235" i="12"/>
  <c r="G234" i="12"/>
  <c r="F234" i="12"/>
  <c r="E234" i="12"/>
  <c r="D234" i="12"/>
  <c r="G232" i="12"/>
  <c r="F232" i="12"/>
  <c r="E232" i="12"/>
  <c r="D232" i="12"/>
  <c r="C232" i="12"/>
  <c r="M219" i="12"/>
  <c r="L219" i="12"/>
  <c r="K219" i="12"/>
  <c r="M192" i="12"/>
  <c r="L192" i="12"/>
  <c r="K192" i="12"/>
  <c r="I192" i="12"/>
  <c r="H192" i="12"/>
  <c r="G192" i="12"/>
  <c r="F192" i="12"/>
  <c r="E192" i="12"/>
  <c r="D192" i="12"/>
  <c r="C192" i="12"/>
  <c r="F161" i="12"/>
  <c r="P161" i="12" s="1"/>
  <c r="X160" i="12"/>
  <c r="W158" i="12"/>
  <c r="U158" i="12"/>
  <c r="S158" i="12"/>
  <c r="Q158" i="12"/>
  <c r="O158" i="12"/>
  <c r="I158" i="12"/>
  <c r="H158" i="12"/>
  <c r="G158" i="12"/>
  <c r="F158" i="12"/>
  <c r="E158" i="12"/>
  <c r="D158" i="12"/>
  <c r="C158" i="12"/>
  <c r="E149" i="12"/>
  <c r="X128" i="12"/>
  <c r="W128" i="12"/>
  <c r="V128" i="12"/>
  <c r="U128" i="12"/>
  <c r="T128" i="12"/>
  <c r="S128" i="12"/>
  <c r="R128" i="12"/>
  <c r="Q128" i="12"/>
  <c r="P128" i="12"/>
  <c r="O128" i="12"/>
  <c r="M128" i="12"/>
  <c r="L128" i="12"/>
  <c r="K128" i="12"/>
  <c r="I128" i="12"/>
  <c r="H128" i="12"/>
  <c r="G128" i="12"/>
  <c r="F128" i="12"/>
  <c r="E128" i="12"/>
  <c r="D128" i="12"/>
  <c r="C128" i="12"/>
  <c r="M124" i="12"/>
  <c r="L124" i="12"/>
  <c r="K124" i="12"/>
  <c r="I124" i="12"/>
  <c r="H124" i="12"/>
  <c r="G124" i="12"/>
  <c r="F124" i="12"/>
  <c r="E124" i="12"/>
  <c r="D124" i="12"/>
  <c r="C124" i="12"/>
  <c r="M119" i="12"/>
  <c r="L119" i="12"/>
  <c r="K119" i="12"/>
  <c r="I119" i="12"/>
  <c r="H119" i="12"/>
  <c r="G119" i="12"/>
  <c r="F119" i="12"/>
  <c r="E119" i="12"/>
  <c r="D119" i="12"/>
  <c r="C119" i="12"/>
  <c r="C112" i="12"/>
  <c r="I104" i="12"/>
  <c r="H104" i="12"/>
  <c r="G104" i="12"/>
  <c r="F104" i="12"/>
  <c r="E104" i="12"/>
  <c r="D104" i="12"/>
  <c r="C104" i="12"/>
  <c r="C105" i="12" s="1"/>
  <c r="D105" i="12" s="1"/>
  <c r="E105" i="12" s="1"/>
  <c r="F105" i="12" s="1"/>
  <c r="G105" i="12" s="1"/>
  <c r="H105" i="12" s="1"/>
  <c r="I105" i="12" s="1"/>
  <c r="J105" i="12" s="1"/>
  <c r="O79" i="12"/>
  <c r="P79" i="12" s="1"/>
  <c r="Q79" i="12" s="1"/>
  <c r="R79" i="12" s="1"/>
  <c r="S79" i="12" s="1"/>
  <c r="T79" i="12" s="1"/>
  <c r="U79" i="12" s="1"/>
  <c r="V79" i="12" s="1"/>
  <c r="W79" i="12" s="1"/>
  <c r="X79" i="12" s="1"/>
  <c r="Y79" i="12" s="1"/>
  <c r="X75" i="12"/>
  <c r="W75" i="12"/>
  <c r="V75" i="12"/>
  <c r="U75" i="12"/>
  <c r="T75" i="12"/>
  <c r="S75" i="12"/>
  <c r="R75" i="12"/>
  <c r="Q75" i="12"/>
  <c r="P75" i="12"/>
  <c r="O75" i="12"/>
  <c r="M75" i="12"/>
  <c r="L75" i="12"/>
  <c r="K75" i="12"/>
  <c r="I75" i="12"/>
  <c r="H75" i="12"/>
  <c r="G75" i="12"/>
  <c r="F75" i="12"/>
  <c r="E75" i="12"/>
  <c r="D75" i="12"/>
  <c r="C75" i="12"/>
  <c r="G66" i="12"/>
  <c r="I55" i="12"/>
  <c r="H55" i="12"/>
  <c r="G55" i="12"/>
  <c r="F55" i="12"/>
  <c r="E55" i="12"/>
  <c r="D55" i="12"/>
  <c r="C55" i="12"/>
  <c r="W54" i="12"/>
  <c r="U54" i="12"/>
  <c r="W53" i="12"/>
  <c r="U53" i="12"/>
  <c r="W49" i="12"/>
  <c r="U49" i="12"/>
  <c r="W48" i="12"/>
  <c r="U48" i="12"/>
  <c r="W46" i="12"/>
  <c r="U46" i="12"/>
  <c r="I46" i="12"/>
  <c r="L58" i="10" s="1"/>
  <c r="AC58" i="10" s="1"/>
  <c r="V46" i="12" s="1"/>
  <c r="H46" i="12"/>
  <c r="K58" i="10" s="1"/>
  <c r="G46" i="12"/>
  <c r="J58" i="10" s="1"/>
  <c r="F46" i="12"/>
  <c r="I58" i="10" s="1"/>
  <c r="E46" i="12"/>
  <c r="H58" i="10" s="1"/>
  <c r="D46" i="12"/>
  <c r="G58" i="10" s="1"/>
  <c r="C46" i="12"/>
  <c r="F58" i="10" s="1"/>
  <c r="W42" i="12"/>
  <c r="X42" i="12" s="1"/>
  <c r="Y42" i="12" s="1"/>
  <c r="U42" i="12"/>
  <c r="X41" i="12"/>
  <c r="Y41" i="12" s="1"/>
  <c r="W38" i="12"/>
  <c r="U38" i="12"/>
  <c r="W34" i="12"/>
  <c r="U34" i="12"/>
  <c r="S34" i="12"/>
  <c r="Q34" i="12"/>
  <c r="W33" i="12"/>
  <c r="U33" i="12"/>
  <c r="S33" i="12"/>
  <c r="Q33" i="12"/>
  <c r="W29" i="12"/>
  <c r="U29" i="12"/>
  <c r="W28" i="12"/>
  <c r="U28" i="12"/>
  <c r="I17" i="12"/>
  <c r="H17" i="12"/>
  <c r="G17" i="12"/>
  <c r="F17" i="12"/>
  <c r="E17" i="12"/>
  <c r="D17" i="12"/>
  <c r="C17" i="12"/>
  <c r="W11" i="12"/>
  <c r="V11" i="12"/>
  <c r="U11" i="12"/>
  <c r="T11" i="12"/>
  <c r="S11" i="12"/>
  <c r="R11" i="12"/>
  <c r="Q11" i="12"/>
  <c r="P11" i="12"/>
  <c r="O11" i="12"/>
  <c r="M11" i="12"/>
  <c r="L11" i="12"/>
  <c r="K11" i="12"/>
  <c r="I11" i="12"/>
  <c r="H11" i="12"/>
  <c r="G11" i="12"/>
  <c r="F11" i="12"/>
  <c r="E11" i="12"/>
  <c r="D11" i="12"/>
  <c r="C11" i="12"/>
  <c r="A3" i="12"/>
  <c r="A2" i="12"/>
  <c r="AA86" i="66"/>
  <c r="Z86" i="66"/>
  <c r="Y86" i="66"/>
  <c r="AA85" i="66"/>
  <c r="Z85" i="66"/>
  <c r="Y85" i="66"/>
  <c r="E83" i="66"/>
  <c r="D83" i="66"/>
  <c r="C83" i="66"/>
  <c r="AA79" i="66"/>
  <c r="AA76" i="66"/>
  <c r="AH73" i="66"/>
  <c r="AD73" i="66"/>
  <c r="W73" i="66"/>
  <c r="AA71" i="66"/>
  <c r="B62" i="66"/>
  <c r="BA39" i="66"/>
  <c r="BA54" i="66" s="1"/>
  <c r="BA62" i="66" s="1"/>
  <c r="AZ39" i="66"/>
  <c r="AZ54" i="66" s="1"/>
  <c r="AZ62" i="66" s="1"/>
  <c r="AY39" i="66"/>
  <c r="AY54" i="66" s="1"/>
  <c r="AY62" i="66" s="1"/>
  <c r="AX39" i="66"/>
  <c r="AX54" i="66" s="1"/>
  <c r="AX62" i="66" s="1"/>
  <c r="AW39" i="66"/>
  <c r="AW54" i="66" s="1"/>
  <c r="AW62" i="66" s="1"/>
  <c r="AV39" i="66"/>
  <c r="AV54" i="66" s="1"/>
  <c r="AV62" i="66" s="1"/>
  <c r="AU39" i="66"/>
  <c r="AU54" i="66" s="1"/>
  <c r="AU62" i="66" s="1"/>
  <c r="AT39" i="66"/>
  <c r="AT54" i="66" s="1"/>
  <c r="AT62" i="66" s="1"/>
  <c r="AS39" i="66"/>
  <c r="AS54" i="66" s="1"/>
  <c r="AS62" i="66" s="1"/>
  <c r="AR39" i="66"/>
  <c r="AR54" i="66" s="1"/>
  <c r="AR62" i="66" s="1"/>
  <c r="AQ39" i="66"/>
  <c r="AQ54" i="66" s="1"/>
  <c r="AQ62" i="66" s="1"/>
  <c r="AP39" i="66"/>
  <c r="AP54" i="66" s="1"/>
  <c r="AP62" i="66" s="1"/>
  <c r="AO39" i="66"/>
  <c r="AO54" i="66" s="1"/>
  <c r="AO62" i="66" s="1"/>
  <c r="AN39" i="66"/>
  <c r="AN54" i="66" s="1"/>
  <c r="AN62" i="66" s="1"/>
  <c r="AM39" i="66"/>
  <c r="AM54" i="66" s="1"/>
  <c r="AM62" i="66" s="1"/>
  <c r="AL39" i="66"/>
  <c r="AL54" i="66" s="1"/>
  <c r="AL62" i="66" s="1"/>
  <c r="AK39" i="66"/>
  <c r="AK54" i="66" s="1"/>
  <c r="AK62" i="66" s="1"/>
  <c r="AJ39" i="66"/>
  <c r="AJ54" i="66" s="1"/>
  <c r="AJ62" i="66" s="1"/>
  <c r="AI39" i="66"/>
  <c r="AI54" i="66" s="1"/>
  <c r="AI62" i="66" s="1"/>
  <c r="AH39" i="66"/>
  <c r="AH54" i="66" s="1"/>
  <c r="AH62" i="66" s="1"/>
  <c r="AG39" i="66"/>
  <c r="AG54" i="66" s="1"/>
  <c r="AG62" i="66" s="1"/>
  <c r="AF39" i="66"/>
  <c r="AF54" i="66" s="1"/>
  <c r="AF62" i="66" s="1"/>
  <c r="AE39" i="66"/>
  <c r="AE54" i="66" s="1"/>
  <c r="AE62" i="66" s="1"/>
  <c r="AD39" i="66"/>
  <c r="AD54" i="66" s="1"/>
  <c r="AD62" i="66" s="1"/>
  <c r="AB39" i="66"/>
  <c r="AB54" i="66" s="1"/>
  <c r="AB62" i="66" s="1"/>
  <c r="AA39" i="66"/>
  <c r="AA54" i="66" s="1"/>
  <c r="AA62" i="66" s="1"/>
  <c r="Z39" i="66"/>
  <c r="Z54" i="66" s="1"/>
  <c r="Z62" i="66" s="1"/>
  <c r="Y39" i="66"/>
  <c r="Y54" i="66" s="1"/>
  <c r="Y62" i="66" s="1"/>
  <c r="X39" i="66"/>
  <c r="X54" i="66" s="1"/>
  <c r="X62" i="66" s="1"/>
  <c r="W39" i="66"/>
  <c r="W54" i="66" s="1"/>
  <c r="W62" i="66" s="1"/>
  <c r="V39" i="66"/>
  <c r="V54" i="66" s="1"/>
  <c r="V62" i="66" s="1"/>
  <c r="U39" i="66"/>
  <c r="U54" i="66" s="1"/>
  <c r="U62" i="66" s="1"/>
  <c r="M39" i="66"/>
  <c r="M54" i="66" s="1"/>
  <c r="M62" i="66" s="1"/>
  <c r="L39" i="66"/>
  <c r="L54" i="66" s="1"/>
  <c r="L62" i="66" s="1"/>
  <c r="K39" i="66"/>
  <c r="K54" i="66" s="1"/>
  <c r="K62" i="66" s="1"/>
  <c r="J39" i="66"/>
  <c r="J54" i="66" s="1"/>
  <c r="J62" i="66" s="1"/>
  <c r="H39" i="66"/>
  <c r="H54" i="66" s="1"/>
  <c r="H62" i="66" s="1"/>
  <c r="G39" i="66"/>
  <c r="G54" i="66" s="1"/>
  <c r="G62" i="66" s="1"/>
  <c r="F39" i="66"/>
  <c r="F54" i="66" s="1"/>
  <c r="F62" i="66" s="1"/>
  <c r="E39" i="66"/>
  <c r="E54" i="66" s="1"/>
  <c r="E62" i="66" s="1"/>
  <c r="D39" i="66"/>
  <c r="D54" i="66" s="1"/>
  <c r="D62" i="66" s="1"/>
  <c r="C39" i="66"/>
  <c r="C54" i="66" s="1"/>
  <c r="C62" i="66" s="1"/>
  <c r="A27" i="66"/>
  <c r="A35" i="66" s="1"/>
  <c r="A43" i="66" s="1"/>
  <c r="A50" i="66" s="1"/>
  <c r="A58" i="66" s="1"/>
  <c r="B17" i="66"/>
  <c r="B15" i="66"/>
  <c r="A15" i="66"/>
  <c r="B13" i="66"/>
  <c r="B12" i="66"/>
  <c r="AE8" i="66"/>
  <c r="AD8" i="66"/>
  <c r="B8" i="66"/>
  <c r="A8" i="66"/>
  <c r="AK7" i="66"/>
  <c r="AJ7" i="66"/>
  <c r="AI7" i="66"/>
  <c r="AH7" i="66"/>
  <c r="AF7" i="66"/>
  <c r="AE7" i="66"/>
  <c r="AD7" i="66"/>
  <c r="H7" i="66"/>
  <c r="H58" i="66" s="1"/>
  <c r="B7" i="66"/>
  <c r="AE6" i="66"/>
  <c r="AD6" i="66"/>
  <c r="B6" i="66"/>
  <c r="A6" i="66"/>
  <c r="A25" i="66" s="1"/>
  <c r="A34" i="66" s="1"/>
  <c r="A42" i="66" s="1"/>
  <c r="A49" i="66" s="1"/>
  <c r="A57" i="66" s="1"/>
  <c r="AE5" i="66"/>
  <c r="AD5" i="66"/>
  <c r="B5" i="66"/>
  <c r="A5" i="66"/>
  <c r="A24" i="66" s="1"/>
  <c r="A33" i="66" s="1"/>
  <c r="A41" i="66" s="1"/>
  <c r="A48" i="66" s="1"/>
  <c r="A56" i="66" s="1"/>
  <c r="A12" i="63"/>
  <c r="V219" i="11" l="1"/>
  <c r="V216" i="11" s="1"/>
  <c r="U216" i="11"/>
  <c r="V92" i="11"/>
  <c r="Z93" i="11" s="1"/>
  <c r="O383" i="10"/>
  <c r="P383" i="10" s="1"/>
  <c r="AA218" i="11"/>
  <c r="O389" i="10"/>
  <c r="P389" i="10" s="1"/>
  <c r="AA225" i="11"/>
  <c r="O385" i="10"/>
  <c r="P385" i="10" s="1"/>
  <c r="AA220" i="11"/>
  <c r="O387" i="10"/>
  <c r="P387" i="10" s="1"/>
  <c r="AA222" i="11"/>
  <c r="Z236" i="11"/>
  <c r="O812" i="10"/>
  <c r="P812" i="10"/>
  <c r="AZ80" i="66"/>
  <c r="AM30" i="18"/>
  <c r="AF773" i="10"/>
  <c r="I760" i="10"/>
  <c r="J760" i="10" s="1"/>
  <c r="O106" i="10"/>
  <c r="P106" i="10" s="1"/>
  <c r="W219" i="11"/>
  <c r="Y236" i="11"/>
  <c r="U102" i="11"/>
  <c r="BS383" i="10" s="1"/>
  <c r="AD389" i="10"/>
  <c r="AD400" i="10" s="1"/>
  <c r="Y242" i="11"/>
  <c r="Y7" i="11"/>
  <c r="Y35" i="11"/>
  <c r="BS12" i="10"/>
  <c r="AU6" i="66" s="1"/>
  <c r="U100" i="11"/>
  <c r="Y93" i="11"/>
  <c r="H8" i="18"/>
  <c r="I272" i="11"/>
  <c r="AY80" i="66"/>
  <c r="AL30" i="18"/>
  <c r="BR47" i="10"/>
  <c r="AT68" i="66" s="1"/>
  <c r="F120" i="66"/>
  <c r="J656" i="10"/>
  <c r="K656" i="10"/>
  <c r="Z39" i="11"/>
  <c r="AA39" i="11"/>
  <c r="Y39" i="11"/>
  <c r="T255" i="11"/>
  <c r="X233" i="11"/>
  <c r="M9" i="83"/>
  <c r="P360" i="10"/>
  <c r="F72" i="12"/>
  <c r="V160" i="12"/>
  <c r="H189" i="12"/>
  <c r="I189" i="12"/>
  <c r="I190" i="12" s="1"/>
  <c r="Z32" i="24"/>
  <c r="Z33" i="24" s="1"/>
  <c r="G120" i="66"/>
  <c r="I659" i="10"/>
  <c r="I662" i="10" s="1"/>
  <c r="J663" i="10" s="1"/>
  <c r="I691" i="10"/>
  <c r="AX80" i="66"/>
  <c r="AK30" i="18"/>
  <c r="M49" i="24"/>
  <c r="Y49" i="24"/>
  <c r="H72" i="12"/>
  <c r="I72" i="12"/>
  <c r="H762" i="10"/>
  <c r="C72" i="12"/>
  <c r="F76" i="11"/>
  <c r="BD68" i="10" s="1"/>
  <c r="D36" i="38"/>
  <c r="D6" i="38" s="1"/>
  <c r="J36" i="38"/>
  <c r="J6" i="38" s="1"/>
  <c r="C49" i="24"/>
  <c r="C47" i="12" s="1"/>
  <c r="F28" i="4" s="1"/>
  <c r="I49" i="24"/>
  <c r="I47" i="12" s="1"/>
  <c r="M28" i="4" s="1"/>
  <c r="AM28" i="4" s="1"/>
  <c r="Q49" i="24"/>
  <c r="W49" i="24"/>
  <c r="AC49" i="24"/>
  <c r="V32" i="24"/>
  <c r="V33" i="24" s="1"/>
  <c r="H239" i="24"/>
  <c r="H198" i="12" s="1"/>
  <c r="P239" i="24"/>
  <c r="V239" i="24"/>
  <c r="AB239" i="24"/>
  <c r="AC313" i="24"/>
  <c r="P74" i="24"/>
  <c r="F106" i="24"/>
  <c r="F140" i="12" s="1"/>
  <c r="F142" i="12" s="1"/>
  <c r="O32" i="24"/>
  <c r="U32" i="24"/>
  <c r="U33" i="24" s="1"/>
  <c r="E32" i="24"/>
  <c r="E34" i="12" s="1"/>
  <c r="J20" i="4" s="1"/>
  <c r="AJ20" i="4" s="1"/>
  <c r="T313" i="24"/>
  <c r="Z313" i="24"/>
  <c r="C236" i="12"/>
  <c r="C237" i="12" s="1"/>
  <c r="D27" i="12"/>
  <c r="G16" i="4" s="1"/>
  <c r="D236" i="12"/>
  <c r="D237" i="12" s="1"/>
  <c r="N13" i="10"/>
  <c r="O7" i="4" s="1"/>
  <c r="AO7" i="4" s="1"/>
  <c r="M27" i="24"/>
  <c r="Y27" i="24"/>
  <c r="C239" i="24"/>
  <c r="C198" i="12" s="1"/>
  <c r="I239" i="24"/>
  <c r="I198" i="12" s="1"/>
  <c r="Q239" i="24"/>
  <c r="W239" i="24"/>
  <c r="AC239" i="24"/>
  <c r="V35" i="82"/>
  <c r="X32" i="82"/>
  <c r="Y32" i="82" s="1"/>
  <c r="Y35" i="82" s="1"/>
  <c r="F69" i="82"/>
  <c r="F12" i="81"/>
  <c r="I27" i="83"/>
  <c r="I72" i="66"/>
  <c r="I20" i="66"/>
  <c r="W177" i="11"/>
  <c r="W195" i="11" s="1"/>
  <c r="AA49" i="24"/>
  <c r="G189" i="12"/>
  <c r="G190" i="12" s="1"/>
  <c r="E236" i="12"/>
  <c r="E237" i="12" s="1"/>
  <c r="G236" i="12"/>
  <c r="G237" i="12" s="1"/>
  <c r="AB27" i="24"/>
  <c r="V42" i="12"/>
  <c r="O106" i="24"/>
  <c r="E175" i="24"/>
  <c r="E148" i="12" s="1"/>
  <c r="F32" i="24"/>
  <c r="F34" i="12" s="1"/>
  <c r="F196" i="12" s="1"/>
  <c r="N32" i="24"/>
  <c r="N33" i="24" s="1"/>
  <c r="T32" i="24"/>
  <c r="T33" i="24" s="1"/>
  <c r="D239" i="24"/>
  <c r="D198" i="12" s="1"/>
  <c r="L239" i="24"/>
  <c r="R239" i="24"/>
  <c r="X239" i="24"/>
  <c r="AD239" i="24"/>
  <c r="I36" i="38"/>
  <c r="I6" i="38" s="1"/>
  <c r="U174" i="11"/>
  <c r="U193" i="11" s="1"/>
  <c r="T193" i="11" s="1"/>
  <c r="T194" i="11" s="1"/>
  <c r="X202" i="11" s="1"/>
  <c r="R182" i="11"/>
  <c r="BT13" i="10"/>
  <c r="AV7" i="66" s="1"/>
  <c r="BV11" i="10"/>
  <c r="H5" i="66"/>
  <c r="I41" i="66" s="1"/>
  <c r="U101" i="11"/>
  <c r="BS382" i="10" s="1"/>
  <c r="AQ126" i="11"/>
  <c r="BT15" i="10"/>
  <c r="AV8" i="66" s="1"/>
  <c r="H760" i="10"/>
  <c r="G762" i="10"/>
  <c r="G760" i="10"/>
  <c r="I763" i="10"/>
  <c r="J763" i="10" s="1"/>
  <c r="K763" i="10" s="1"/>
  <c r="L763" i="10" s="1"/>
  <c r="M763" i="10" s="1"/>
  <c r="N763" i="10" s="1"/>
  <c r="O763" i="10" s="1"/>
  <c r="P763" i="10" s="1"/>
  <c r="BV60" i="10"/>
  <c r="L287" i="11"/>
  <c r="BS11" i="10"/>
  <c r="AU5" i="66" s="1"/>
  <c r="U66" i="11"/>
  <c r="BS62" i="10" s="1"/>
  <c r="AH28" i="18" s="1"/>
  <c r="N67" i="11"/>
  <c r="T111" i="11"/>
  <c r="S175" i="11"/>
  <c r="M239" i="11"/>
  <c r="M242" i="11"/>
  <c r="L286" i="11"/>
  <c r="BR56" i="10"/>
  <c r="S64" i="11"/>
  <c r="BQ60" i="10" s="1"/>
  <c r="R65" i="11"/>
  <c r="L216" i="11"/>
  <c r="L253" i="11" s="1"/>
  <c r="M7" i="11"/>
  <c r="BS390" i="10"/>
  <c r="U11" i="11"/>
  <c r="Q238" i="11"/>
  <c r="AD384" i="10"/>
  <c r="AD395" i="10" s="1"/>
  <c r="BR60" i="10"/>
  <c r="BS74" i="10"/>
  <c r="AD385" i="10"/>
  <c r="AE385" i="10" s="1"/>
  <c r="AE396" i="10" s="1"/>
  <c r="AL124" i="11"/>
  <c r="Q150" i="11"/>
  <c r="Q176" i="11"/>
  <c r="P282" i="11"/>
  <c r="M264" i="11"/>
  <c r="U8" i="11"/>
  <c r="V91" i="11"/>
  <c r="M237" i="11"/>
  <c r="M266" i="11"/>
  <c r="N266" i="11" s="1"/>
  <c r="Q226" i="11"/>
  <c r="Q243" i="11" s="1"/>
  <c r="V178" i="11"/>
  <c r="N220" i="11"/>
  <c r="O220" i="11" s="1"/>
  <c r="M224" i="11"/>
  <c r="M216" i="11" s="1"/>
  <c r="S54" i="11"/>
  <c r="BQ49" i="10" s="1"/>
  <c r="E58" i="11"/>
  <c r="BC53" i="10" s="1"/>
  <c r="R24" i="18" s="1"/>
  <c r="K58" i="11"/>
  <c r="Q58" i="11"/>
  <c r="BO53" i="10" s="1"/>
  <c r="AD24" i="18" s="1"/>
  <c r="I60" i="11"/>
  <c r="BG56" i="10" s="1"/>
  <c r="X56" i="10" s="1"/>
  <c r="Q43" i="12" s="1"/>
  <c r="O60" i="11"/>
  <c r="BM56" i="10" s="1"/>
  <c r="U60" i="11"/>
  <c r="G61" i="11"/>
  <c r="M61" i="11"/>
  <c r="S61" i="11"/>
  <c r="F63" i="11"/>
  <c r="BD59" i="10" s="1"/>
  <c r="R63" i="11"/>
  <c r="BP59" i="10" s="1"/>
  <c r="E64" i="11"/>
  <c r="BC60" i="10" s="1"/>
  <c r="V60" i="10" s="1"/>
  <c r="O49" i="12" s="1"/>
  <c r="K64" i="11"/>
  <c r="Q64" i="11"/>
  <c r="BO60" i="10" s="1"/>
  <c r="J65" i="11"/>
  <c r="V65" i="11"/>
  <c r="I66" i="11"/>
  <c r="BG62" i="10" s="1"/>
  <c r="V28" i="18" s="1"/>
  <c r="O66" i="11"/>
  <c r="BM62" i="10" s="1"/>
  <c r="AB28" i="18" s="1"/>
  <c r="U9" i="11"/>
  <c r="O175" i="11"/>
  <c r="S222" i="11"/>
  <c r="N226" i="11"/>
  <c r="O226" i="11" s="1"/>
  <c r="P176" i="11"/>
  <c r="I224" i="11"/>
  <c r="I216" i="11" s="1"/>
  <c r="I251" i="11" s="1"/>
  <c r="T246" i="11"/>
  <c r="M268" i="11"/>
  <c r="L271" i="11"/>
  <c r="P285" i="11" s="1"/>
  <c r="M122" i="11"/>
  <c r="U146" i="11"/>
  <c r="T256" i="11"/>
  <c r="T252" i="11"/>
  <c r="Q271" i="11"/>
  <c r="V58" i="11"/>
  <c r="Q147" i="11"/>
  <c r="U148" i="11" s="1"/>
  <c r="L176" i="11"/>
  <c r="P253" i="11"/>
  <c r="T282" i="11"/>
  <c r="H176" i="11"/>
  <c r="T254" i="11"/>
  <c r="H26" i="66"/>
  <c r="I43" i="66"/>
  <c r="D100" i="66"/>
  <c r="E100" i="66"/>
  <c r="G763" i="10"/>
  <c r="S115" i="83"/>
  <c r="N116" i="83"/>
  <c r="O116" i="83"/>
  <c r="L151" i="10"/>
  <c r="G761" i="10"/>
  <c r="K183" i="10"/>
  <c r="I229" i="10"/>
  <c r="H761" i="10"/>
  <c r="S107" i="11"/>
  <c r="L183" i="10"/>
  <c r="J12" i="10"/>
  <c r="K6" i="4" s="1"/>
  <c r="H94" i="10"/>
  <c r="Y177" i="10"/>
  <c r="Y12" i="10" s="1"/>
  <c r="H333" i="10"/>
  <c r="H100" i="10"/>
  <c r="K431" i="10"/>
  <c r="J734" i="10"/>
  <c r="H271" i="10"/>
  <c r="K436" i="10"/>
  <c r="K32" i="10"/>
  <c r="G15" i="66" s="1"/>
  <c r="H763" i="10"/>
  <c r="W26" i="12"/>
  <c r="K311" i="10"/>
  <c r="I103" i="10"/>
  <c r="K271" i="10"/>
  <c r="K272" i="10" s="1"/>
  <c r="L333" i="10"/>
  <c r="V11" i="10"/>
  <c r="U5" i="66" s="1"/>
  <c r="N32" i="10"/>
  <c r="N38" i="10" s="1"/>
  <c r="L271" i="10"/>
  <c r="M272" i="10" s="1"/>
  <c r="L335" i="10"/>
  <c r="L336" i="10" s="1"/>
  <c r="I761" i="10"/>
  <c r="J761" i="10" s="1"/>
  <c r="K761" i="10" s="1"/>
  <c r="L761" i="10" s="1"/>
  <c r="M761" i="10" s="1"/>
  <c r="N761" i="10" s="1"/>
  <c r="O761" i="10" s="1"/>
  <c r="P761" i="10" s="1"/>
  <c r="X12" i="10"/>
  <c r="W6" i="66" s="1"/>
  <c r="Y74" i="10"/>
  <c r="Y11" i="10" s="1"/>
  <c r="X5" i="66" s="1"/>
  <c r="U47" i="12"/>
  <c r="U19" i="10"/>
  <c r="AZ19" i="10" s="1"/>
  <c r="H331" i="10"/>
  <c r="AC393" i="10"/>
  <c r="K429" i="10"/>
  <c r="G494" i="10"/>
  <c r="V7" i="66"/>
  <c r="X11" i="10"/>
  <c r="W5" i="66" s="1"/>
  <c r="M15" i="66"/>
  <c r="AG16" i="10"/>
  <c r="I94" i="10"/>
  <c r="J94" i="10" s="1"/>
  <c r="J88" i="10" s="1"/>
  <c r="J82" i="10" s="1"/>
  <c r="AC397" i="10"/>
  <c r="AA398" i="10"/>
  <c r="BH74" i="10"/>
  <c r="BH11" i="10" s="1"/>
  <c r="AB97" i="10"/>
  <c r="G97" i="10"/>
  <c r="H246" i="10"/>
  <c r="K19" i="10"/>
  <c r="V12" i="10"/>
  <c r="U6" i="66" s="1"/>
  <c r="I102" i="10"/>
  <c r="J103" i="10"/>
  <c r="I142" i="10"/>
  <c r="J142" i="10" s="1"/>
  <c r="K142" i="10" s="1"/>
  <c r="L142" i="10" s="1"/>
  <c r="I246" i="10"/>
  <c r="J331" i="10"/>
  <c r="O351" i="10"/>
  <c r="O353" i="10" s="1"/>
  <c r="J432" i="10"/>
  <c r="I460" i="10"/>
  <c r="I471" i="10" s="1"/>
  <c r="Y596" i="10"/>
  <c r="BJ19" i="10"/>
  <c r="L325" i="10"/>
  <c r="BG383" i="10"/>
  <c r="BH383" i="10" s="1"/>
  <c r="A13" i="66"/>
  <c r="H400" i="10"/>
  <c r="I457" i="10"/>
  <c r="I468" i="10" s="1"/>
  <c r="L633" i="10"/>
  <c r="BH381" i="10"/>
  <c r="AC398" i="10"/>
  <c r="H397" i="10"/>
  <c r="AL5" i="66"/>
  <c r="BR20" i="10"/>
  <c r="N21" i="10"/>
  <c r="I133" i="10"/>
  <c r="H173" i="10"/>
  <c r="I420" i="10"/>
  <c r="J431" i="10" s="1"/>
  <c r="L431" i="10"/>
  <c r="O107" i="11"/>
  <c r="L610" i="10"/>
  <c r="L621" i="10" s="1"/>
  <c r="K610" i="10"/>
  <c r="K621" i="10" s="1"/>
  <c r="I613" i="10"/>
  <c r="I610" i="10" s="1"/>
  <c r="I621" i="10" s="1"/>
  <c r="K31" i="10"/>
  <c r="K42" i="10" s="1"/>
  <c r="K782" i="10" s="1"/>
  <c r="BG74" i="10"/>
  <c r="BG11" i="10" s="1"/>
  <c r="AI5" i="66" s="1"/>
  <c r="H102" i="10"/>
  <c r="H82" i="10"/>
  <c r="H146" i="10" s="1"/>
  <c r="H153" i="10" s="1"/>
  <c r="G84" i="10"/>
  <c r="G148" i="10" s="1"/>
  <c r="G155" i="10" s="1"/>
  <c r="G96" i="10"/>
  <c r="AE201" i="10"/>
  <c r="AE202" i="10" s="1"/>
  <c r="L228" i="10"/>
  <c r="J229" i="10"/>
  <c r="I247" i="10"/>
  <c r="AC395" i="10"/>
  <c r="L429" i="10"/>
  <c r="K433" i="10"/>
  <c r="H507" i="10"/>
  <c r="K509" i="10"/>
  <c r="I664" i="10"/>
  <c r="G714" i="10"/>
  <c r="J731" i="10"/>
  <c r="AD220" i="10"/>
  <c r="J394" i="10"/>
  <c r="AL80" i="66"/>
  <c r="H97" i="10"/>
  <c r="H202" i="10"/>
  <c r="BN20" i="10"/>
  <c r="I82" i="10"/>
  <c r="I146" i="10" s="1"/>
  <c r="I153" i="10" s="1"/>
  <c r="L136" i="10"/>
  <c r="H141" i="10"/>
  <c r="H172" i="10"/>
  <c r="BL177" i="10"/>
  <c r="BP178" i="10" s="1"/>
  <c r="I244" i="10"/>
  <c r="AA397" i="10"/>
  <c r="K633" i="10"/>
  <c r="M705" i="10"/>
  <c r="M664" i="10" s="1"/>
  <c r="T158" i="12"/>
  <c r="I27" i="24"/>
  <c r="N71" i="24"/>
  <c r="G199" i="12"/>
  <c r="E343" i="24"/>
  <c r="E216" i="12" s="1"/>
  <c r="M343" i="24"/>
  <c r="M354" i="24" s="1"/>
  <c r="M356" i="24" s="1"/>
  <c r="S343" i="24"/>
  <c r="S354" i="24" s="1"/>
  <c r="S356" i="24" s="1"/>
  <c r="Y343" i="24"/>
  <c r="Y354" i="24" s="1"/>
  <c r="Y356" i="24" s="1"/>
  <c r="U170" i="24"/>
  <c r="S147" i="12" s="1"/>
  <c r="C27" i="24"/>
  <c r="I48" i="12"/>
  <c r="L59" i="10" s="1"/>
  <c r="AC59" i="10" s="1"/>
  <c r="V48" i="12" s="1"/>
  <c r="D72" i="12"/>
  <c r="D18" i="24"/>
  <c r="R18" i="24"/>
  <c r="X18" i="24"/>
  <c r="BN29" i="10" s="1"/>
  <c r="N27" i="24"/>
  <c r="T27" i="24"/>
  <c r="Z27" i="24"/>
  <c r="R71" i="24"/>
  <c r="M106" i="24"/>
  <c r="O140" i="12" s="1"/>
  <c r="O142" i="12" s="1"/>
  <c r="O118" i="24"/>
  <c r="O127" i="24" s="1"/>
  <c r="U118" i="24"/>
  <c r="S143" i="12" s="1"/>
  <c r="AC170" i="24"/>
  <c r="W147" i="12" s="1"/>
  <c r="F190" i="24"/>
  <c r="F153" i="12" s="1"/>
  <c r="AD234" i="24"/>
  <c r="H32" i="24"/>
  <c r="H34" i="12" s="1"/>
  <c r="L20" i="4" s="1"/>
  <c r="AL20" i="4" s="1"/>
  <c r="P32" i="24"/>
  <c r="AB32" i="24"/>
  <c r="AB33" i="24" s="1"/>
  <c r="P158" i="12"/>
  <c r="U106" i="24"/>
  <c r="S140" i="12" s="1"/>
  <c r="S142" i="12" s="1"/>
  <c r="D71" i="24"/>
  <c r="D68" i="12" s="1"/>
  <c r="D69" i="12" s="1"/>
  <c r="E170" i="24"/>
  <c r="E147" i="12" s="1"/>
  <c r="X343" i="24"/>
  <c r="X354" i="24" s="1"/>
  <c r="X356" i="24" s="1"/>
  <c r="E72" i="12"/>
  <c r="E18" i="24"/>
  <c r="M18" i="24"/>
  <c r="S18" i="24"/>
  <c r="G27" i="24"/>
  <c r="O27" i="24"/>
  <c r="U27" i="24"/>
  <c r="AA27" i="24"/>
  <c r="L49" i="24"/>
  <c r="X49" i="24"/>
  <c r="D63" i="24"/>
  <c r="AD71" i="24"/>
  <c r="C313" i="24"/>
  <c r="C209" i="12" s="1"/>
  <c r="I313" i="24"/>
  <c r="I209" i="12" s="1"/>
  <c r="Q313" i="24"/>
  <c r="W313" i="24"/>
  <c r="C343" i="24"/>
  <c r="C216" i="12" s="1"/>
  <c r="I343" i="24"/>
  <c r="I216" i="12" s="1"/>
  <c r="Q343" i="24"/>
  <c r="Q354" i="24" s="1"/>
  <c r="Q356" i="24" s="1"/>
  <c r="W343" i="24"/>
  <c r="W354" i="24" s="1"/>
  <c r="W356" i="24" s="1"/>
  <c r="AC343" i="24"/>
  <c r="AC354" i="24" s="1"/>
  <c r="AC356" i="24" s="1"/>
  <c r="F13" i="17"/>
  <c r="E64" i="66"/>
  <c r="E79" i="66"/>
  <c r="D86" i="66"/>
  <c r="J239" i="12"/>
  <c r="F64" i="66"/>
  <c r="G79" i="66"/>
  <c r="G14" i="12"/>
  <c r="S70" i="11"/>
  <c r="AB106" i="24"/>
  <c r="N118" i="24"/>
  <c r="N127" i="24" s="1"/>
  <c r="R204" i="24"/>
  <c r="D13" i="12"/>
  <c r="F149" i="12"/>
  <c r="P149" i="12" s="1"/>
  <c r="U19" i="11"/>
  <c r="M46" i="24"/>
  <c r="X74" i="24"/>
  <c r="X71" i="24"/>
  <c r="E13" i="12"/>
  <c r="F79" i="12"/>
  <c r="C48" i="12"/>
  <c r="F59" i="10" s="1"/>
  <c r="H46" i="24"/>
  <c r="H45" i="12" s="1"/>
  <c r="P46" i="24"/>
  <c r="V46" i="24"/>
  <c r="AB46" i="24"/>
  <c r="I71" i="24"/>
  <c r="I67" i="12" s="1"/>
  <c r="J64" i="12" s="1"/>
  <c r="J66" i="12" s="1"/>
  <c r="C105" i="24"/>
  <c r="I105" i="24"/>
  <c r="V118" i="24"/>
  <c r="V127" i="24" s="1"/>
  <c r="H148" i="24"/>
  <c r="H131" i="12" s="1"/>
  <c r="P148" i="24"/>
  <c r="V148" i="24"/>
  <c r="AB148" i="24"/>
  <c r="F148" i="24"/>
  <c r="F131" i="12" s="1"/>
  <c r="F61" i="63" s="1"/>
  <c r="Z148" i="24"/>
  <c r="L148" i="24"/>
  <c r="X148" i="24"/>
  <c r="X190" i="24"/>
  <c r="X195" i="24" s="1"/>
  <c r="T204" i="24"/>
  <c r="R343" i="24"/>
  <c r="R354" i="24" s="1"/>
  <c r="R356" i="24" s="1"/>
  <c r="E11" i="11"/>
  <c r="E12" i="11" s="1"/>
  <c r="K32" i="11"/>
  <c r="J56" i="11"/>
  <c r="BH55" i="10" s="1"/>
  <c r="V56" i="11"/>
  <c r="E61" i="11"/>
  <c r="K61" i="11"/>
  <c r="Q46" i="24"/>
  <c r="W46" i="24"/>
  <c r="AC46" i="24"/>
  <c r="AD56" i="10" s="1"/>
  <c r="W43" i="12" s="1"/>
  <c r="C63" i="24"/>
  <c r="I63" i="24"/>
  <c r="L71" i="24"/>
  <c r="D105" i="24"/>
  <c r="G106" i="24"/>
  <c r="G140" i="12" s="1"/>
  <c r="G141" i="12"/>
  <c r="R141" i="12" s="1"/>
  <c r="S106" i="24"/>
  <c r="C118" i="24"/>
  <c r="C143" i="12" s="1"/>
  <c r="I118" i="24"/>
  <c r="Q118" i="24"/>
  <c r="Q143" i="12" s="1"/>
  <c r="W118" i="24"/>
  <c r="W127" i="24" s="1"/>
  <c r="AC118" i="24"/>
  <c r="W143" i="12" s="1"/>
  <c r="G118" i="24"/>
  <c r="G143" i="12" s="1"/>
  <c r="R143" i="12" s="1"/>
  <c r="G108" i="12"/>
  <c r="AA118" i="24"/>
  <c r="AA127" i="24" s="1"/>
  <c r="E118" i="24"/>
  <c r="E143" i="12" s="1"/>
  <c r="E47" i="63" s="1"/>
  <c r="F175" i="24"/>
  <c r="F148" i="12" s="1"/>
  <c r="P148" i="12" s="1"/>
  <c r="G32" i="24"/>
  <c r="G34" i="12" s="1"/>
  <c r="AA19" i="18" s="1"/>
  <c r="AA32" i="24"/>
  <c r="AA33" i="24" s="1"/>
  <c r="T15" i="11"/>
  <c r="H18" i="24"/>
  <c r="P18" i="24"/>
  <c r="V18" i="24"/>
  <c r="AB18" i="24"/>
  <c r="BR29" i="10" s="1"/>
  <c r="AD46" i="24"/>
  <c r="H49" i="24"/>
  <c r="H47" i="12" s="1"/>
  <c r="L28" i="4" s="1"/>
  <c r="AL28" i="4" s="1"/>
  <c r="P49" i="24"/>
  <c r="V49" i="24"/>
  <c r="AB49" i="24"/>
  <c r="H105" i="24"/>
  <c r="X157" i="24"/>
  <c r="O190" i="24"/>
  <c r="O195" i="24" s="1"/>
  <c r="U190" i="24"/>
  <c r="AA190" i="24"/>
  <c r="AA195" i="24" s="1"/>
  <c r="M190" i="24"/>
  <c r="O153" i="12" s="1"/>
  <c r="E234" i="24"/>
  <c r="M234" i="24"/>
  <c r="S234" i="24"/>
  <c r="C32" i="24"/>
  <c r="Q32" i="24"/>
  <c r="Q33" i="24" s="1"/>
  <c r="G234" i="24"/>
  <c r="E300" i="24"/>
  <c r="E208" i="12" s="1"/>
  <c r="S300" i="24"/>
  <c r="Y300" i="24"/>
  <c r="G313" i="24"/>
  <c r="G209" i="12" s="1"/>
  <c r="O313" i="24"/>
  <c r="U313" i="24"/>
  <c r="AA313" i="24"/>
  <c r="E313" i="24"/>
  <c r="E209" i="12" s="1"/>
  <c r="S313" i="24"/>
  <c r="Y313" i="24"/>
  <c r="V112" i="11"/>
  <c r="AQ167" i="11" s="1"/>
  <c r="AQ170" i="11" s="1"/>
  <c r="V104" i="11"/>
  <c r="BT390" i="10"/>
  <c r="R46" i="11"/>
  <c r="N54" i="11"/>
  <c r="BL49" i="10" s="1"/>
  <c r="E59" i="11"/>
  <c r="BC54" i="10" s="1"/>
  <c r="V54" i="10" s="1"/>
  <c r="U62" i="11"/>
  <c r="K59" i="11"/>
  <c r="R224" i="11"/>
  <c r="V241" i="11" s="1"/>
  <c r="AD386" i="10"/>
  <c r="AD397" i="10" s="1"/>
  <c r="U93" i="11"/>
  <c r="M176" i="11"/>
  <c r="S176" i="11"/>
  <c r="J217" i="11"/>
  <c r="K217" i="11" s="1"/>
  <c r="W217" i="11"/>
  <c r="W101" i="11" s="1"/>
  <c r="Q236" i="11"/>
  <c r="J220" i="11"/>
  <c r="K220" i="11" s="1"/>
  <c r="V239" i="11"/>
  <c r="F58" i="11"/>
  <c r="BD53" i="10" s="1"/>
  <c r="S24" i="18" s="1"/>
  <c r="R58" i="11"/>
  <c r="BP53" i="10" s="1"/>
  <c r="Q59" i="11"/>
  <c r="BO54" i="10" s="1"/>
  <c r="J60" i="11"/>
  <c r="BH56" i="10" s="1"/>
  <c r="I62" i="11"/>
  <c r="BG58" i="10" s="1"/>
  <c r="X58" i="10" s="1"/>
  <c r="Q46" i="12" s="1"/>
  <c r="O62" i="11"/>
  <c r="BM58" i="10" s="1"/>
  <c r="W220" i="11"/>
  <c r="U267" i="11"/>
  <c r="BR58" i="10"/>
  <c r="AP76" i="66"/>
  <c r="BS177" i="10"/>
  <c r="AD383" i="10"/>
  <c r="AD394" i="10" s="1"/>
  <c r="K54" i="11"/>
  <c r="F77" i="11"/>
  <c r="R77" i="11"/>
  <c r="U112" i="11"/>
  <c r="N176" i="11"/>
  <c r="T176" i="11"/>
  <c r="R219" i="11"/>
  <c r="R236" i="11" s="1"/>
  <c r="P250" i="11"/>
  <c r="L278" i="11"/>
  <c r="V60" i="11"/>
  <c r="AL69" i="66"/>
  <c r="R61" i="11"/>
  <c r="J63" i="11"/>
  <c r="BH59" i="10" s="1"/>
  <c r="V63" i="11"/>
  <c r="BT59" i="10" s="1"/>
  <c r="O64" i="11"/>
  <c r="BM60" i="10" s="1"/>
  <c r="V64" i="11"/>
  <c r="G66" i="11"/>
  <c r="S66" i="11"/>
  <c r="J35" i="11"/>
  <c r="V35" i="11"/>
  <c r="Q112" i="11"/>
  <c r="AQ125" i="11"/>
  <c r="M175" i="11"/>
  <c r="V182" i="11"/>
  <c r="Z183" i="11" s="1"/>
  <c r="M236" i="11"/>
  <c r="N222" i="11"/>
  <c r="R239" i="11" s="1"/>
  <c r="L241" i="11"/>
  <c r="D15" i="11"/>
  <c r="M17" i="11"/>
  <c r="S17" i="11"/>
  <c r="AI124" i="11"/>
  <c r="P175" i="11"/>
  <c r="N217" i="11"/>
  <c r="O217" i="11" s="1"/>
  <c r="J219" i="11"/>
  <c r="N236" i="11" s="1"/>
  <c r="M234" i="11"/>
  <c r="P685" i="10"/>
  <c r="L559" i="10"/>
  <c r="M509" i="10"/>
  <c r="L509" i="10"/>
  <c r="Q28" i="18"/>
  <c r="AD79" i="66"/>
  <c r="BM74" i="10"/>
  <c r="BM11" i="10" s="1"/>
  <c r="AA11" i="10"/>
  <c r="N216" i="10"/>
  <c r="O216" i="10" s="1"/>
  <c r="P216" i="10" s="1"/>
  <c r="M217" i="10"/>
  <c r="L217" i="10"/>
  <c r="L138" i="10"/>
  <c r="L428" i="10"/>
  <c r="M428" i="10"/>
  <c r="I478" i="10"/>
  <c r="P687" i="10"/>
  <c r="BR381" i="10"/>
  <c r="I173" i="10"/>
  <c r="AC202" i="10"/>
  <c r="L331" i="10"/>
  <c r="K313" i="10" s="1"/>
  <c r="J488" i="10"/>
  <c r="Y381" i="10"/>
  <c r="G491" i="10"/>
  <c r="G395" i="10"/>
  <c r="I425" i="10"/>
  <c r="J436" i="10" s="1"/>
  <c r="I464" i="10"/>
  <c r="I475" i="10" s="1"/>
  <c r="K205" i="11"/>
  <c r="Y478" i="10"/>
  <c r="J335" i="10"/>
  <c r="J336" i="10" s="1"/>
  <c r="G95" i="10"/>
  <c r="G140" i="10"/>
  <c r="G83" i="10"/>
  <c r="G147" i="10" s="1"/>
  <c r="H96" i="10"/>
  <c r="H84" i="10"/>
  <c r="H148" i="10" s="1"/>
  <c r="AT6" i="66"/>
  <c r="AM5" i="66"/>
  <c r="I96" i="10"/>
  <c r="J96" i="10" s="1"/>
  <c r="K96" i="10" s="1"/>
  <c r="L96" i="10" s="1"/>
  <c r="M96" i="10" s="1"/>
  <c r="AC107" i="10"/>
  <c r="L430" i="10"/>
  <c r="M430" i="10"/>
  <c r="D25" i="10"/>
  <c r="D31" i="10" s="1"/>
  <c r="D37" i="10" s="1"/>
  <c r="D42" i="10" s="1"/>
  <c r="AF5" i="66"/>
  <c r="G87" i="10"/>
  <c r="L311" i="10"/>
  <c r="I10" i="83"/>
  <c r="N353" i="10"/>
  <c r="H491" i="10"/>
  <c r="H395" i="10"/>
  <c r="AC396" i="10"/>
  <c r="Y565" i="10"/>
  <c r="K341" i="10"/>
  <c r="J346" i="10"/>
  <c r="K347" i="10" s="1"/>
  <c r="L5" i="4"/>
  <c r="L42" i="4" s="1"/>
  <c r="G5" i="66"/>
  <c r="G14" i="10"/>
  <c r="G177" i="10"/>
  <c r="G183" i="10" s="1"/>
  <c r="L436" i="10"/>
  <c r="M436" i="10"/>
  <c r="Y5" i="66"/>
  <c r="M777" i="10"/>
  <c r="F5" i="66"/>
  <c r="AL65" i="66"/>
  <c r="M21" i="10"/>
  <c r="L32" i="10"/>
  <c r="H15" i="66" s="1"/>
  <c r="D27" i="10"/>
  <c r="D33" i="10" s="1"/>
  <c r="D39" i="10" s="1"/>
  <c r="D44" i="10" s="1"/>
  <c r="U22" i="10"/>
  <c r="AZ22" i="10" s="1"/>
  <c r="H264" i="10"/>
  <c r="H16" i="10"/>
  <c r="H22" i="10" s="1"/>
  <c r="Y260" i="10"/>
  <c r="Y16" i="10" s="1"/>
  <c r="X8" i="66" s="1"/>
  <c r="P268" i="10"/>
  <c r="AA394" i="10"/>
  <c r="AC394" i="10"/>
  <c r="P688" i="10"/>
  <c r="I264" i="10"/>
  <c r="I458" i="10"/>
  <c r="I469" i="10" s="1"/>
  <c r="H511" i="10"/>
  <c r="K731" i="10"/>
  <c r="BL11" i="10"/>
  <c r="BP19" i="10" s="1"/>
  <c r="H14" i="10"/>
  <c r="BO99" i="10"/>
  <c r="BP99" i="10"/>
  <c r="AE107" i="10"/>
  <c r="H177" i="10"/>
  <c r="H216" i="10" s="1"/>
  <c r="H254" i="10"/>
  <c r="L347" i="10"/>
  <c r="M355" i="10"/>
  <c r="I399" i="10"/>
  <c r="L435" i="10"/>
  <c r="M435" i="10"/>
  <c r="I462" i="10"/>
  <c r="L465" i="10"/>
  <c r="G493" i="10"/>
  <c r="L526" i="10"/>
  <c r="L534" i="10" s="1"/>
  <c r="H610" i="10"/>
  <c r="H621" i="10" s="1"/>
  <c r="K663" i="10"/>
  <c r="I707" i="10"/>
  <c r="L727" i="10"/>
  <c r="L731" i="10"/>
  <c r="I3" i="83"/>
  <c r="I12" i="83" s="1"/>
  <c r="L736" i="10"/>
  <c r="L737" i="10" s="1"/>
  <c r="M138" i="10"/>
  <c r="N354" i="10"/>
  <c r="N355" i="10" s="1"/>
  <c r="H509" i="10"/>
  <c r="Y15" i="18"/>
  <c r="I72" i="83"/>
  <c r="I80" i="83" s="1"/>
  <c r="K772" i="10"/>
  <c r="L6" i="4"/>
  <c r="AL71" i="66"/>
  <c r="K78" i="10"/>
  <c r="I97" i="10"/>
  <c r="J97" i="10" s="1"/>
  <c r="J91" i="10" s="1"/>
  <c r="J85" i="10" s="1"/>
  <c r="K136" i="10"/>
  <c r="L145" i="10"/>
  <c r="M151" i="10"/>
  <c r="M145" i="10"/>
  <c r="I177" i="10"/>
  <c r="I179" i="10" s="1"/>
  <c r="J216" i="10"/>
  <c r="K217" i="10" s="1"/>
  <c r="H244" i="10"/>
  <c r="H26" i="10" s="1"/>
  <c r="L317" i="10"/>
  <c r="L318" i="10" s="1"/>
  <c r="I331" i="10"/>
  <c r="K335" i="10"/>
  <c r="K336" i="10" s="1"/>
  <c r="AC381" i="10"/>
  <c r="BQ382" i="10"/>
  <c r="AA395" i="10"/>
  <c r="AC402" i="10"/>
  <c r="H394" i="10"/>
  <c r="P686" i="10"/>
  <c r="L19" i="10"/>
  <c r="M19" i="10"/>
  <c r="M5" i="4"/>
  <c r="H707" i="10"/>
  <c r="I714" i="10"/>
  <c r="K727" i="10"/>
  <c r="K734" i="10"/>
  <c r="AL6" i="66"/>
  <c r="BO19" i="10"/>
  <c r="M20" i="10"/>
  <c r="M6" i="4"/>
  <c r="I16" i="10"/>
  <c r="H247" i="10"/>
  <c r="J288" i="10"/>
  <c r="J301" i="10" s="1"/>
  <c r="BI390" i="10"/>
  <c r="I394" i="10"/>
  <c r="J395" i="10"/>
  <c r="K430" i="10"/>
  <c r="L433" i="10"/>
  <c r="M433" i="10"/>
  <c r="L488" i="10"/>
  <c r="I495" i="10"/>
  <c r="K559" i="10"/>
  <c r="W565" i="10"/>
  <c r="L663" i="10"/>
  <c r="AC726" i="10"/>
  <c r="AC728" i="10" s="1"/>
  <c r="AC730" i="10"/>
  <c r="AC732" i="10" s="1"/>
  <c r="C2" i="80"/>
  <c r="K714" i="10"/>
  <c r="M258" i="10"/>
  <c r="J50" i="12"/>
  <c r="I78" i="66" s="1"/>
  <c r="J37" i="12"/>
  <c r="J87" i="12"/>
  <c r="M105" i="83"/>
  <c r="G68" i="66"/>
  <c r="G95" i="66" s="1"/>
  <c r="H52" i="11"/>
  <c r="BF47" i="10" s="1"/>
  <c r="AH68" i="66" s="1"/>
  <c r="H17" i="11"/>
  <c r="S32" i="24"/>
  <c r="S33" i="24" s="1"/>
  <c r="D68" i="66"/>
  <c r="E95" i="66" s="1"/>
  <c r="D69" i="66"/>
  <c r="D96" i="66" s="1"/>
  <c r="F80" i="66"/>
  <c r="E86" i="66"/>
  <c r="AD86" i="66" s="1"/>
  <c r="E109" i="12"/>
  <c r="I9" i="10"/>
  <c r="F46" i="11"/>
  <c r="BD23" i="10" s="1"/>
  <c r="AF65" i="66" s="1"/>
  <c r="J15" i="11"/>
  <c r="E27" i="12"/>
  <c r="H16" i="4" s="1"/>
  <c r="G31" i="24"/>
  <c r="G33" i="12" s="1"/>
  <c r="AC18" i="18" s="1"/>
  <c r="N46" i="24"/>
  <c r="T46" i="24"/>
  <c r="Z46" i="24"/>
  <c r="F49" i="24"/>
  <c r="F47" i="12" s="1"/>
  <c r="N49" i="24"/>
  <c r="T49" i="24"/>
  <c r="Z49" i="24"/>
  <c r="G148" i="24"/>
  <c r="G131" i="12" s="1"/>
  <c r="O148" i="24"/>
  <c r="U148" i="24"/>
  <c r="S131" i="12" s="1"/>
  <c r="AA148" i="24"/>
  <c r="E148" i="24"/>
  <c r="E131" i="12" s="1"/>
  <c r="M148" i="24"/>
  <c r="O131" i="12" s="1"/>
  <c r="S148" i="24"/>
  <c r="Y148" i="24"/>
  <c r="U131" i="12" s="1"/>
  <c r="U234" i="24"/>
  <c r="F594" i="10"/>
  <c r="D14" i="18"/>
  <c r="H17" i="63"/>
  <c r="L25" i="4"/>
  <c r="AL25" i="4" s="1"/>
  <c r="K53" i="10"/>
  <c r="I24" i="18" s="1"/>
  <c r="B69" i="66"/>
  <c r="C96" i="66" s="1"/>
  <c r="N52" i="11"/>
  <c r="BL47" i="10" s="1"/>
  <c r="AN68" i="66" s="1"/>
  <c r="P35" i="11"/>
  <c r="P70" i="11"/>
  <c r="P71" i="11" s="1"/>
  <c r="E69" i="66"/>
  <c r="F96" i="66" s="1"/>
  <c r="G27" i="12"/>
  <c r="F82" i="17"/>
  <c r="J53" i="10"/>
  <c r="H24" i="18" s="1"/>
  <c r="Y18" i="24"/>
  <c r="AB9" i="10"/>
  <c r="AB579" i="10" s="1"/>
  <c r="M32" i="24"/>
  <c r="M33" i="24" s="1"/>
  <c r="F63" i="24"/>
  <c r="AB170" i="24"/>
  <c r="L53" i="10"/>
  <c r="J24" i="18" s="1"/>
  <c r="L60" i="10"/>
  <c r="AC60" i="10" s="1"/>
  <c r="V49" i="12" s="1"/>
  <c r="T7" i="11"/>
  <c r="T43" i="11"/>
  <c r="X44" i="11" s="1"/>
  <c r="H11" i="11"/>
  <c r="H13" i="11" s="1"/>
  <c r="N11" i="11"/>
  <c r="N21" i="11" s="1"/>
  <c r="H55" i="11"/>
  <c r="G63" i="11"/>
  <c r="M63" i="11"/>
  <c r="BK59" i="10" s="1"/>
  <c r="Z59" i="10" s="1"/>
  <c r="S63" i="11"/>
  <c r="BQ59" i="10" s="1"/>
  <c r="K65" i="11"/>
  <c r="J66" i="11"/>
  <c r="V66" i="11"/>
  <c r="U67" i="11"/>
  <c r="D46" i="24"/>
  <c r="D45" i="12" s="1"/>
  <c r="L46" i="24"/>
  <c r="R46" i="24"/>
  <c r="X46" i="24"/>
  <c r="D49" i="24"/>
  <c r="D47" i="12" s="1"/>
  <c r="G28" i="4" s="1"/>
  <c r="C71" i="24"/>
  <c r="P106" i="24"/>
  <c r="V106" i="24"/>
  <c r="N106" i="24"/>
  <c r="D118" i="24"/>
  <c r="D143" i="12" s="1"/>
  <c r="X118" i="24"/>
  <c r="X127" i="24" s="1"/>
  <c r="AD118" i="24"/>
  <c r="AD127" i="24" s="1"/>
  <c r="P118" i="24"/>
  <c r="P127" i="24" s="1"/>
  <c r="AB118" i="24"/>
  <c r="AB127" i="24" s="1"/>
  <c r="H175" i="24"/>
  <c r="H148" i="12" s="1"/>
  <c r="H41" i="63" s="1"/>
  <c r="P175" i="24"/>
  <c r="V175" i="24"/>
  <c r="AB175" i="24"/>
  <c r="I32" i="24"/>
  <c r="I34" i="12" s="1"/>
  <c r="V34" i="12" s="1"/>
  <c r="Q234" i="24"/>
  <c r="BF9" i="10"/>
  <c r="U8" i="18" s="1"/>
  <c r="S50" i="11"/>
  <c r="BQ45" i="10" s="1"/>
  <c r="T17" i="11"/>
  <c r="G58" i="11"/>
  <c r="S58" i="11"/>
  <c r="BQ53" i="10" s="1"/>
  <c r="J62" i="11"/>
  <c r="BH58" i="10" s="1"/>
  <c r="V62" i="11"/>
  <c r="BT58" i="10" s="1"/>
  <c r="I69" i="11"/>
  <c r="BG64" i="10" s="1"/>
  <c r="AI80" i="66" s="1"/>
  <c r="O69" i="11"/>
  <c r="BM64" i="10" s="1"/>
  <c r="U69" i="11"/>
  <c r="BS64" i="10" s="1"/>
  <c r="V27" i="24"/>
  <c r="Q71" i="24"/>
  <c r="Q74" i="24"/>
  <c r="AD190" i="24"/>
  <c r="AD195" i="24" s="1"/>
  <c r="D204" i="24"/>
  <c r="D162" i="12" s="1"/>
  <c r="L204" i="24"/>
  <c r="X204" i="24"/>
  <c r="AD204" i="24"/>
  <c r="Z204" i="24"/>
  <c r="H300" i="24"/>
  <c r="H208" i="12" s="1"/>
  <c r="P300" i="24"/>
  <c r="V300" i="24"/>
  <c r="AB300" i="24"/>
  <c r="D313" i="24"/>
  <c r="D209" i="12" s="1"/>
  <c r="L313" i="24"/>
  <c r="R313" i="24"/>
  <c r="X313" i="24"/>
  <c r="AD313" i="24"/>
  <c r="G343" i="24"/>
  <c r="O343" i="24"/>
  <c r="U343" i="24"/>
  <c r="U354" i="24" s="1"/>
  <c r="U356" i="24" s="1"/>
  <c r="AA343" i="24"/>
  <c r="AA354" i="24" s="1"/>
  <c r="AA356" i="24" s="1"/>
  <c r="I11" i="11"/>
  <c r="O11" i="11"/>
  <c r="M54" i="11"/>
  <c r="BK49" i="10" s="1"/>
  <c r="Z14" i="18" s="1"/>
  <c r="M32" i="11"/>
  <c r="Q18" i="24"/>
  <c r="W18" i="24"/>
  <c r="AC18" i="24"/>
  <c r="G78" i="12"/>
  <c r="O18" i="24"/>
  <c r="C23" i="24"/>
  <c r="C23" i="12" s="1"/>
  <c r="Q23" i="24"/>
  <c r="W23" i="24"/>
  <c r="AC23" i="24"/>
  <c r="O23" i="24"/>
  <c r="E23" i="24"/>
  <c r="E23" i="12" s="1"/>
  <c r="E46" i="24"/>
  <c r="E45" i="12" s="1"/>
  <c r="S46" i="24"/>
  <c r="Y46" i="24"/>
  <c r="AB56" i="10" s="1"/>
  <c r="U43" i="12" s="1"/>
  <c r="H157" i="24"/>
  <c r="H133" i="12" s="1"/>
  <c r="P157" i="24"/>
  <c r="V157" i="24"/>
  <c r="AB157" i="24"/>
  <c r="C175" i="24"/>
  <c r="C148" i="12" s="1"/>
  <c r="I175" i="24"/>
  <c r="I148" i="12" s="1"/>
  <c r="V148" i="12" s="1"/>
  <c r="Q175" i="24"/>
  <c r="Q148" i="12" s="1"/>
  <c r="W175" i="24"/>
  <c r="AC175" i="24"/>
  <c r="D234" i="24"/>
  <c r="AA239" i="24"/>
  <c r="E239" i="24"/>
  <c r="E198" i="12" s="1"/>
  <c r="S239" i="24"/>
  <c r="M313" i="24"/>
  <c r="H343" i="24"/>
  <c r="H216" i="12" s="1"/>
  <c r="P343" i="24"/>
  <c r="P354" i="24" s="1"/>
  <c r="P356" i="24" s="1"/>
  <c r="V343" i="24"/>
  <c r="V354" i="24" s="1"/>
  <c r="V356" i="24" s="1"/>
  <c r="AB343" i="24"/>
  <c r="AB354" i="24" s="1"/>
  <c r="AB356" i="24" s="1"/>
  <c r="E39" i="38"/>
  <c r="O157" i="24"/>
  <c r="F170" i="24"/>
  <c r="F147" i="12" s="1"/>
  <c r="T170" i="24"/>
  <c r="P190" i="24"/>
  <c r="P195" i="24" s="1"/>
  <c r="V190" i="24"/>
  <c r="V195" i="24" s="1"/>
  <c r="AB190" i="24"/>
  <c r="AB195" i="24" s="1"/>
  <c r="N190" i="24"/>
  <c r="N195" i="24" s="1"/>
  <c r="D300" i="24"/>
  <c r="D208" i="12" s="1"/>
  <c r="X300" i="24"/>
  <c r="F313" i="24"/>
  <c r="F209" i="12" s="1"/>
  <c r="N313" i="24"/>
  <c r="F36" i="38"/>
  <c r="F6" i="38" s="1"/>
  <c r="G17" i="11"/>
  <c r="F50" i="11"/>
  <c r="BD45" i="10" s="1"/>
  <c r="Q50" i="11"/>
  <c r="BO45" i="10" s="1"/>
  <c r="O52" i="11"/>
  <c r="BM47" i="10" s="1"/>
  <c r="AO68" i="66" s="1"/>
  <c r="E19" i="11"/>
  <c r="G59" i="11"/>
  <c r="J61" i="11"/>
  <c r="V61" i="11"/>
  <c r="AD61" i="11" s="1"/>
  <c r="N64" i="11"/>
  <c r="BL60" i="10" s="1"/>
  <c r="G65" i="11"/>
  <c r="M65" i="11"/>
  <c r="S65" i="11"/>
  <c r="F66" i="11"/>
  <c r="BD62" i="10" s="1"/>
  <c r="R66" i="11"/>
  <c r="BP62" i="10" s="1"/>
  <c r="E67" i="11"/>
  <c r="K67" i="11"/>
  <c r="Q67" i="11"/>
  <c r="J69" i="11"/>
  <c r="BH64" i="10" s="1"/>
  <c r="V69" i="11"/>
  <c r="BT64" i="10" s="1"/>
  <c r="AV80" i="66" s="1"/>
  <c r="O70" i="11"/>
  <c r="G76" i="11"/>
  <c r="BE68" i="10" s="1"/>
  <c r="M76" i="11"/>
  <c r="BK68" i="10" s="1"/>
  <c r="S76" i="11"/>
  <c r="BQ68" i="10" s="1"/>
  <c r="E77" i="11"/>
  <c r="K77" i="11"/>
  <c r="Q77" i="11"/>
  <c r="O46" i="24"/>
  <c r="U46" i="24"/>
  <c r="AA46" i="24"/>
  <c r="M118" i="24"/>
  <c r="O143" i="12" s="1"/>
  <c r="C204" i="24"/>
  <c r="C162" i="12" s="1"/>
  <c r="I204" i="24"/>
  <c r="I162" i="12" s="1"/>
  <c r="V162" i="12" s="1"/>
  <c r="Q204" i="24"/>
  <c r="Q162" i="12" s="1"/>
  <c r="W204" i="24"/>
  <c r="AC204" i="24"/>
  <c r="W162" i="12" s="1"/>
  <c r="O204" i="24"/>
  <c r="U204" i="24"/>
  <c r="S162" i="12" s="1"/>
  <c r="AA204" i="24"/>
  <c r="D343" i="24"/>
  <c r="D216" i="12" s="1"/>
  <c r="L343" i="24"/>
  <c r="L354" i="24" s="1"/>
  <c r="L356" i="24" s="1"/>
  <c r="AD343" i="24"/>
  <c r="AD354" i="24" s="1"/>
  <c r="AD356" i="24" s="1"/>
  <c r="G39" i="38"/>
  <c r="AG28" i="18"/>
  <c r="AT79" i="66"/>
  <c r="Y24" i="18"/>
  <c r="AL76" i="66"/>
  <c r="D36" i="63"/>
  <c r="C80" i="17"/>
  <c r="D3" i="38"/>
  <c r="I594" i="10"/>
  <c r="I599" i="10" s="1"/>
  <c r="G14" i="18"/>
  <c r="E96" i="12"/>
  <c r="J23" i="4"/>
  <c r="AC23" i="4" s="1"/>
  <c r="H23" i="4"/>
  <c r="V40" i="12"/>
  <c r="I101" i="12"/>
  <c r="F25" i="4"/>
  <c r="C17" i="63"/>
  <c r="F53" i="10"/>
  <c r="D24" i="18" s="1"/>
  <c r="B76" i="66"/>
  <c r="I57" i="10"/>
  <c r="W57" i="10" s="1"/>
  <c r="Q10" i="18"/>
  <c r="AD65" i="66"/>
  <c r="R139" i="12"/>
  <c r="G86" i="17"/>
  <c r="U24" i="18"/>
  <c r="AH76" i="66"/>
  <c r="Y25" i="18"/>
  <c r="AP80" i="66"/>
  <c r="AC30" i="18"/>
  <c r="D17" i="63"/>
  <c r="G25" i="4"/>
  <c r="G53" i="10"/>
  <c r="E24" i="18" s="1"/>
  <c r="C76" i="66"/>
  <c r="G72" i="63"/>
  <c r="R164" i="12"/>
  <c r="E18" i="18"/>
  <c r="H62" i="10"/>
  <c r="F28" i="18" s="1"/>
  <c r="H31" i="4"/>
  <c r="J31" i="4"/>
  <c r="L83" i="11"/>
  <c r="H91" i="17"/>
  <c r="H10" i="17" s="1"/>
  <c r="V139" i="12"/>
  <c r="U39" i="82"/>
  <c r="Q32" i="11"/>
  <c r="Q7" i="11"/>
  <c r="H46" i="11"/>
  <c r="BF23" i="10" s="1"/>
  <c r="G64" i="66"/>
  <c r="H43" i="12"/>
  <c r="G86" i="66"/>
  <c r="U86" i="66" s="1"/>
  <c r="AB86" i="66" s="1"/>
  <c r="H92" i="17"/>
  <c r="E72" i="63"/>
  <c r="G60" i="11"/>
  <c r="E62" i="11"/>
  <c r="BC58" i="10" s="1"/>
  <c r="V58" i="10" s="1"/>
  <c r="Q69" i="11"/>
  <c r="BO64" i="10" s="1"/>
  <c r="V76" i="11"/>
  <c r="BT68" i="10" s="1"/>
  <c r="E49" i="24"/>
  <c r="E47" i="12" s="1"/>
  <c r="E74" i="24"/>
  <c r="E70" i="12" s="1"/>
  <c r="I85" i="17"/>
  <c r="G101" i="12"/>
  <c r="E59" i="63"/>
  <c r="F20" i="38"/>
  <c r="E29" i="63" s="1"/>
  <c r="G18" i="38"/>
  <c r="D72" i="63"/>
  <c r="J55" i="10"/>
  <c r="E7" i="11"/>
  <c r="F18" i="18"/>
  <c r="J19" i="4"/>
  <c r="H19" i="4"/>
  <c r="H101" i="12"/>
  <c r="C195" i="12"/>
  <c r="F64" i="10"/>
  <c r="D30" i="18" s="1"/>
  <c r="T141" i="12"/>
  <c r="F3" i="38"/>
  <c r="U54" i="11"/>
  <c r="BS49" i="10" s="1"/>
  <c r="AH14" i="18" s="1"/>
  <c r="O58" i="11"/>
  <c r="BM53" i="10" s="1"/>
  <c r="N59" i="11"/>
  <c r="BL54" i="10" s="1"/>
  <c r="M60" i="11"/>
  <c r="BK56" i="10" s="1"/>
  <c r="Z56" i="10" s="1"/>
  <c r="S43" i="12" s="1"/>
  <c r="K62" i="11"/>
  <c r="K69" i="11"/>
  <c r="J76" i="11"/>
  <c r="BH68" i="10" s="1"/>
  <c r="N77" i="11"/>
  <c r="C56" i="17"/>
  <c r="F4" i="4"/>
  <c r="F52" i="4" s="1"/>
  <c r="C86" i="17"/>
  <c r="C49" i="17"/>
  <c r="F9" i="66"/>
  <c r="I29" i="12"/>
  <c r="T18" i="18"/>
  <c r="S18" i="18"/>
  <c r="R18" i="18"/>
  <c r="Q18" i="18"/>
  <c r="G18" i="18"/>
  <c r="M23" i="4"/>
  <c r="AM23" i="4" s="1"/>
  <c r="F57" i="10"/>
  <c r="J62" i="10"/>
  <c r="H28" i="18" s="1"/>
  <c r="I92" i="17"/>
  <c r="K7" i="11"/>
  <c r="V46" i="11"/>
  <c r="G32" i="11"/>
  <c r="R69" i="11"/>
  <c r="BP64" i="10" s="1"/>
  <c r="G71" i="24"/>
  <c r="G67" i="12" s="1"/>
  <c r="G68" i="12" s="1"/>
  <c r="G74" i="24"/>
  <c r="G70" i="12" s="1"/>
  <c r="F85" i="66" s="1"/>
  <c r="AH85" i="66" s="1"/>
  <c r="M300" i="24"/>
  <c r="G85" i="66"/>
  <c r="U85" i="66" s="1"/>
  <c r="AB85" i="66" s="1"/>
  <c r="C120" i="66"/>
  <c r="C79" i="12"/>
  <c r="W25" i="12"/>
  <c r="K594" i="10"/>
  <c r="I14" i="18"/>
  <c r="C29" i="12"/>
  <c r="F55" i="10" s="1"/>
  <c r="D43" i="12"/>
  <c r="E195" i="12"/>
  <c r="J34" i="4"/>
  <c r="AJ34" i="4" s="1"/>
  <c r="H34" i="4"/>
  <c r="D92" i="17"/>
  <c r="Q71" i="12"/>
  <c r="H85" i="17"/>
  <c r="T136" i="12"/>
  <c r="J18" i="38"/>
  <c r="I4" i="38"/>
  <c r="T37" i="82" s="1"/>
  <c r="T38" i="82" s="1"/>
  <c r="I20" i="38"/>
  <c r="T137" i="12"/>
  <c r="F139" i="12"/>
  <c r="P139" i="12" s="1"/>
  <c r="C159" i="12"/>
  <c r="I159" i="12"/>
  <c r="W159" i="12"/>
  <c r="S161" i="12"/>
  <c r="G80" i="17"/>
  <c r="J47" i="10"/>
  <c r="J48" i="10" s="1"/>
  <c r="G54" i="10"/>
  <c r="U25" i="18"/>
  <c r="I62" i="10"/>
  <c r="G28" i="18" s="1"/>
  <c r="N43" i="11"/>
  <c r="K11" i="11"/>
  <c r="K13" i="11" s="1"/>
  <c r="R50" i="11"/>
  <c r="BP45" i="10" s="1"/>
  <c r="J52" i="11"/>
  <c r="BH47" i="10" s="1"/>
  <c r="V52" i="11"/>
  <c r="K19" i="11"/>
  <c r="M69" i="11"/>
  <c r="BK64" i="10" s="1"/>
  <c r="Z30" i="18" s="1"/>
  <c r="F70" i="11"/>
  <c r="G70" i="11"/>
  <c r="G71" i="11" s="1"/>
  <c r="F35" i="11"/>
  <c r="E27" i="24"/>
  <c r="S27" i="24"/>
  <c r="R49" i="24"/>
  <c r="H63" i="24"/>
  <c r="T71" i="24"/>
  <c r="H118" i="24"/>
  <c r="Y234" i="24"/>
  <c r="Y32" i="24"/>
  <c r="Y33" i="24" s="1"/>
  <c r="W234" i="24"/>
  <c r="W32" i="24"/>
  <c r="W33" i="24" s="1"/>
  <c r="AC234" i="24"/>
  <c r="AC32" i="24"/>
  <c r="AC33" i="24" s="1"/>
  <c r="O234" i="24"/>
  <c r="O31" i="24"/>
  <c r="K31" i="4"/>
  <c r="F34" i="4"/>
  <c r="E92" i="17"/>
  <c r="Q25" i="18"/>
  <c r="K15" i="11"/>
  <c r="K50" i="11"/>
  <c r="F69" i="11"/>
  <c r="BD64" i="10" s="1"/>
  <c r="E70" i="11"/>
  <c r="E71" i="11" s="1"/>
  <c r="E35" i="11"/>
  <c r="G96" i="12"/>
  <c r="K23" i="4"/>
  <c r="K24" i="4" s="1"/>
  <c r="F74" i="24"/>
  <c r="F70" i="12" s="1"/>
  <c r="F69" i="12" s="1"/>
  <c r="O74" i="24"/>
  <c r="O71" i="24"/>
  <c r="AA74" i="24"/>
  <c r="AA71" i="24"/>
  <c r="E105" i="24"/>
  <c r="L10" i="4"/>
  <c r="AL10" i="4" s="1"/>
  <c r="C51" i="17"/>
  <c r="B64" i="66"/>
  <c r="B108" i="66" s="1"/>
  <c r="G76" i="66"/>
  <c r="C86" i="66"/>
  <c r="D120" i="66"/>
  <c r="I18" i="18"/>
  <c r="H82" i="17"/>
  <c r="T52" i="82"/>
  <c r="L19" i="4"/>
  <c r="AL19" i="4" s="1"/>
  <c r="D96" i="12"/>
  <c r="G23" i="4"/>
  <c r="H56" i="10"/>
  <c r="F25" i="18" s="1"/>
  <c r="J27" i="4"/>
  <c r="AF27" i="4" s="1"/>
  <c r="H27" i="4"/>
  <c r="E197" i="12"/>
  <c r="F31" i="4"/>
  <c r="L62" i="10"/>
  <c r="M31" i="4"/>
  <c r="AM31" i="4" s="1"/>
  <c r="E36" i="63"/>
  <c r="C136" i="12"/>
  <c r="I136" i="12"/>
  <c r="P141" i="12"/>
  <c r="D159" i="12"/>
  <c r="T164" i="12"/>
  <c r="H72" i="63"/>
  <c r="C199" i="12"/>
  <c r="I199" i="12"/>
  <c r="AC15" i="18"/>
  <c r="K47" i="10"/>
  <c r="BF49" i="10"/>
  <c r="I64" i="10"/>
  <c r="G50" i="11"/>
  <c r="M15" i="11"/>
  <c r="S15" i="11"/>
  <c r="N19" i="11"/>
  <c r="AC25" i="18"/>
  <c r="BV58" i="10"/>
  <c r="F61" i="11"/>
  <c r="I65" i="11"/>
  <c r="O65" i="11"/>
  <c r="U65" i="11"/>
  <c r="G67" i="11"/>
  <c r="S32" i="11"/>
  <c r="I43" i="11"/>
  <c r="I94" i="11" s="1"/>
  <c r="G62" i="63"/>
  <c r="M23" i="24"/>
  <c r="S23" i="24"/>
  <c r="Y23" i="24"/>
  <c r="G23" i="24"/>
  <c r="G23" i="12" s="1"/>
  <c r="G81" i="12" s="1"/>
  <c r="AA23" i="24"/>
  <c r="F46" i="24"/>
  <c r="F45" i="12" s="1"/>
  <c r="S49" i="24"/>
  <c r="E63" i="24"/>
  <c r="U71" i="24"/>
  <c r="U157" i="24"/>
  <c r="S133" i="12" s="1"/>
  <c r="AA157" i="24"/>
  <c r="C170" i="24"/>
  <c r="C147" i="12" s="1"/>
  <c r="W170" i="24"/>
  <c r="O170" i="24"/>
  <c r="AA170" i="24"/>
  <c r="G190" i="24"/>
  <c r="L31" i="4"/>
  <c r="AL31" i="4" s="1"/>
  <c r="K34" i="4"/>
  <c r="AK34" i="4" s="1"/>
  <c r="H80" i="17"/>
  <c r="F92" i="17"/>
  <c r="H56" i="17"/>
  <c r="L4" i="4"/>
  <c r="AL4" i="4" s="1"/>
  <c r="H86" i="17"/>
  <c r="F96" i="12"/>
  <c r="J56" i="10"/>
  <c r="K27" i="4"/>
  <c r="AD27" i="4" s="1"/>
  <c r="K57" i="10"/>
  <c r="AA57" i="10" s="1"/>
  <c r="H195" i="12"/>
  <c r="AC13" i="18"/>
  <c r="AA67" i="66"/>
  <c r="F86" i="66"/>
  <c r="AH86" i="66" s="1"/>
  <c r="H96" i="12"/>
  <c r="L23" i="4"/>
  <c r="AL23" i="4" s="1"/>
  <c r="L57" i="10"/>
  <c r="AC57" i="10" s="1"/>
  <c r="I195" i="12"/>
  <c r="M34" i="4"/>
  <c r="AM34" i="4" s="1"/>
  <c r="C69" i="12"/>
  <c r="C91" i="17"/>
  <c r="C10" i="17" s="1"/>
  <c r="C39" i="17"/>
  <c r="W70" i="12"/>
  <c r="I91" i="17"/>
  <c r="I10" i="17" s="1"/>
  <c r="P130" i="12"/>
  <c r="H62" i="63"/>
  <c r="P136" i="12"/>
  <c r="G20" i="38"/>
  <c r="F29" i="63" s="1"/>
  <c r="H18" i="38"/>
  <c r="G4" i="38"/>
  <c r="P137" i="12"/>
  <c r="O139" i="12"/>
  <c r="Q15" i="18"/>
  <c r="I58" i="11"/>
  <c r="BG53" i="10" s="1"/>
  <c r="X53" i="10" s="1"/>
  <c r="S60" i="11"/>
  <c r="BQ56" i="10" s="1"/>
  <c r="Q62" i="11"/>
  <c r="BO58" i="10" s="1"/>
  <c r="E69" i="11"/>
  <c r="BC64" i="10" s="1"/>
  <c r="V64" i="10" s="1"/>
  <c r="O54" i="12" s="1"/>
  <c r="AA81" i="18"/>
  <c r="Y81" i="18"/>
  <c r="I56" i="17"/>
  <c r="M4" i="4"/>
  <c r="AM4" i="4" s="1"/>
  <c r="I86" i="17"/>
  <c r="K10" i="4"/>
  <c r="AD10" i="4" s="1"/>
  <c r="M25" i="4"/>
  <c r="AM25" i="4" s="1"/>
  <c r="D195" i="12"/>
  <c r="G34" i="4"/>
  <c r="D91" i="17"/>
  <c r="C92" i="17"/>
  <c r="Q72" i="12"/>
  <c r="R136" i="12"/>
  <c r="H20" i="38"/>
  <c r="I18" i="38"/>
  <c r="H4" i="38"/>
  <c r="H10" i="38" s="1"/>
  <c r="R137" i="12"/>
  <c r="E139" i="12"/>
  <c r="V141" i="12"/>
  <c r="G3" i="38"/>
  <c r="F80" i="17"/>
  <c r="K9" i="10"/>
  <c r="H564" i="10"/>
  <c r="F12" i="18"/>
  <c r="F13" i="18"/>
  <c r="J46" i="11"/>
  <c r="BH23" i="10" s="1"/>
  <c r="W10" i="18" s="1"/>
  <c r="Q70" i="11"/>
  <c r="H76" i="66"/>
  <c r="D79" i="66"/>
  <c r="B80" i="66"/>
  <c r="B85" i="66"/>
  <c r="E120" i="66"/>
  <c r="L104" i="83"/>
  <c r="G56" i="17"/>
  <c r="K4" i="4"/>
  <c r="H23" i="10"/>
  <c r="H678" i="10" s="1"/>
  <c r="H10" i="4"/>
  <c r="I33" i="12"/>
  <c r="V33" i="12" s="1"/>
  <c r="G62" i="10"/>
  <c r="E28" i="18" s="1"/>
  <c r="G31" i="4"/>
  <c r="F95" i="12"/>
  <c r="C85" i="17"/>
  <c r="F62" i="63"/>
  <c r="F36" i="63"/>
  <c r="T132" i="12"/>
  <c r="D136" i="12"/>
  <c r="T39" i="82"/>
  <c r="Q159" i="12"/>
  <c r="C72" i="63"/>
  <c r="V164" i="12"/>
  <c r="I72" i="63"/>
  <c r="I80" i="17"/>
  <c r="L64" i="10"/>
  <c r="Q11" i="11"/>
  <c r="T19" i="11"/>
  <c r="O56" i="11"/>
  <c r="BM55" i="10" s="1"/>
  <c r="U56" i="11"/>
  <c r="T67" i="11"/>
  <c r="T32" i="11"/>
  <c r="N32" i="11"/>
  <c r="Q35" i="11"/>
  <c r="I76" i="11"/>
  <c r="BG68" i="10" s="1"/>
  <c r="Q66" i="11"/>
  <c r="BO62" i="10" s="1"/>
  <c r="AT80" i="66"/>
  <c r="AG30" i="18"/>
  <c r="AA18" i="24"/>
  <c r="S74" i="24"/>
  <c r="D59" i="63"/>
  <c r="D85" i="17"/>
  <c r="G175" i="24"/>
  <c r="G148" i="12" s="1"/>
  <c r="G41" i="63" s="1"/>
  <c r="O175" i="24"/>
  <c r="U175" i="24"/>
  <c r="AA175" i="24"/>
  <c r="G19" i="4"/>
  <c r="F23" i="4"/>
  <c r="L34" i="4"/>
  <c r="AL34" i="4" s="1"/>
  <c r="E3" i="38"/>
  <c r="G92" i="17"/>
  <c r="N23" i="24"/>
  <c r="T23" i="24"/>
  <c r="Z23" i="24"/>
  <c r="H23" i="24"/>
  <c r="P23" i="24"/>
  <c r="V23" i="24"/>
  <c r="AB23" i="24"/>
  <c r="F105" i="24"/>
  <c r="AA106" i="24"/>
  <c r="S118" i="24"/>
  <c r="S127" i="24" s="1"/>
  <c r="Y118" i="24"/>
  <c r="E157" i="24"/>
  <c r="M157" i="24"/>
  <c r="S157" i="24"/>
  <c r="Y157" i="24"/>
  <c r="U133" i="12" s="1"/>
  <c r="N157" i="24"/>
  <c r="D170" i="24"/>
  <c r="D147" i="12" s="1"/>
  <c r="L170" i="24"/>
  <c r="R170" i="24"/>
  <c r="X170" i="24"/>
  <c r="AD170" i="24"/>
  <c r="H190" i="24"/>
  <c r="Y28" i="18"/>
  <c r="F39" i="38"/>
  <c r="I7" i="11"/>
  <c r="F54" i="11"/>
  <c r="BD49" i="10" s="1"/>
  <c r="R54" i="11"/>
  <c r="BP49" i="10" s="1"/>
  <c r="AE14" i="18" s="1"/>
  <c r="F19" i="11"/>
  <c r="E56" i="11"/>
  <c r="BC55" i="10" s="1"/>
  <c r="K56" i="11"/>
  <c r="Q56" i="11"/>
  <c r="BO55" i="10" s="1"/>
  <c r="I59" i="11"/>
  <c r="BG54" i="10" s="1"/>
  <c r="X54" i="10" s="1"/>
  <c r="Q28" i="12" s="1"/>
  <c r="O59" i="11"/>
  <c r="BM54" i="10" s="1"/>
  <c r="F62" i="11"/>
  <c r="BD58" i="10" s="1"/>
  <c r="R62" i="11"/>
  <c r="BP58" i="10" s="1"/>
  <c r="G64" i="11"/>
  <c r="M64" i="11"/>
  <c r="BK60" i="10" s="1"/>
  <c r="Z60" i="10" s="1"/>
  <c r="V67" i="11"/>
  <c r="N69" i="11"/>
  <c r="BL64" i="10" s="1"/>
  <c r="Y74" i="18"/>
  <c r="AA74" i="18"/>
  <c r="Z72" i="18"/>
  <c r="Z74" i="18"/>
  <c r="H35" i="11"/>
  <c r="E76" i="11"/>
  <c r="BC68" i="10" s="1"/>
  <c r="K76" i="11"/>
  <c r="BI68" i="10" s="1"/>
  <c r="Q76" i="11"/>
  <c r="BO68" i="10" s="1"/>
  <c r="I77" i="11"/>
  <c r="O77" i="11"/>
  <c r="L18" i="24"/>
  <c r="AD18" i="24"/>
  <c r="Q27" i="24"/>
  <c r="W27" i="24"/>
  <c r="AC27" i="24"/>
  <c r="AD49" i="24"/>
  <c r="V74" i="24"/>
  <c r="G105" i="24"/>
  <c r="D106" i="24"/>
  <c r="D140" i="12" s="1"/>
  <c r="R106" i="24"/>
  <c r="X106" i="24"/>
  <c r="AD106" i="24"/>
  <c r="H106" i="24"/>
  <c r="H140" i="12" s="1"/>
  <c r="T140" i="12" s="1"/>
  <c r="F118" i="24"/>
  <c r="F143" i="12" s="1"/>
  <c r="T118" i="24"/>
  <c r="T127" i="24" s="1"/>
  <c r="Z118" i="24"/>
  <c r="Z127" i="24" s="1"/>
  <c r="M170" i="24"/>
  <c r="O147" i="12" s="1"/>
  <c r="S170" i="24"/>
  <c r="Y170" i="24"/>
  <c r="U147" i="12" s="1"/>
  <c r="G170" i="24"/>
  <c r="G147" i="12" s="1"/>
  <c r="E190" i="24"/>
  <c r="E153" i="12" s="1"/>
  <c r="S190" i="24"/>
  <c r="S195" i="24" s="1"/>
  <c r="Y190" i="24"/>
  <c r="V15" i="11"/>
  <c r="Y79" i="18"/>
  <c r="AA79" i="18"/>
  <c r="N17" i="11"/>
  <c r="L84" i="11"/>
  <c r="E32" i="11"/>
  <c r="U18" i="24"/>
  <c r="H27" i="24"/>
  <c r="P27" i="24"/>
  <c r="D43" i="24"/>
  <c r="H71" i="24"/>
  <c r="H67" i="12" s="1"/>
  <c r="H68" i="12" s="1"/>
  <c r="H69" i="12" s="1"/>
  <c r="W74" i="24"/>
  <c r="E106" i="24"/>
  <c r="E140" i="12" s="1"/>
  <c r="N170" i="24"/>
  <c r="Z170" i="24"/>
  <c r="P170" i="24"/>
  <c r="V170" i="24"/>
  <c r="N175" i="24"/>
  <c r="T175" i="24"/>
  <c r="Z175" i="24"/>
  <c r="T190" i="24"/>
  <c r="T195" i="24" s="1"/>
  <c r="Z190" i="24"/>
  <c r="Z195" i="24" s="1"/>
  <c r="P234" i="24"/>
  <c r="M239" i="24"/>
  <c r="Y239" i="24"/>
  <c r="R300" i="24"/>
  <c r="O239" i="24"/>
  <c r="F300" i="24"/>
  <c r="N300" i="24"/>
  <c r="T300" i="24"/>
  <c r="Z300" i="24"/>
  <c r="G36" i="38"/>
  <c r="G6" i="38" s="1"/>
  <c r="H36" i="38"/>
  <c r="H6" i="38" s="1"/>
  <c r="H12" i="38" s="1"/>
  <c r="C234" i="24"/>
  <c r="I234" i="24"/>
  <c r="C300" i="24"/>
  <c r="I300" i="24"/>
  <c r="I208" i="12" s="1"/>
  <c r="Q300" i="24"/>
  <c r="W300" i="24"/>
  <c r="AC300" i="24"/>
  <c r="I39" i="38"/>
  <c r="H204" i="24"/>
  <c r="H162" i="12" s="1"/>
  <c r="T162" i="12" s="1"/>
  <c r="P204" i="24"/>
  <c r="V204" i="24"/>
  <c r="AB204" i="24"/>
  <c r="F204" i="24"/>
  <c r="F162" i="12" s="1"/>
  <c r="P162" i="12" s="1"/>
  <c r="N204" i="24"/>
  <c r="D32" i="24"/>
  <c r="AD32" i="24"/>
  <c r="AD33" i="24" s="1"/>
  <c r="H234" i="24"/>
  <c r="V234" i="24"/>
  <c r="AB234" i="24"/>
  <c r="L300" i="24"/>
  <c r="AD300" i="24"/>
  <c r="J39" i="38"/>
  <c r="L39" i="38" s="1"/>
  <c r="M39" i="38" s="1"/>
  <c r="N39" i="38" s="1"/>
  <c r="O39" i="38" s="1"/>
  <c r="I172" i="10"/>
  <c r="W132" i="11"/>
  <c r="W125" i="11"/>
  <c r="J2" i="83"/>
  <c r="N201" i="10"/>
  <c r="J7" i="66"/>
  <c r="N203" i="10"/>
  <c r="AS125" i="11"/>
  <c r="AE218" i="10"/>
  <c r="AE219" i="10" s="1"/>
  <c r="W134" i="11"/>
  <c r="AG56" i="4"/>
  <c r="E24" i="4"/>
  <c r="D59" i="4"/>
  <c r="D24" i="4"/>
  <c r="D32" i="4"/>
  <c r="E59" i="4"/>
  <c r="D55" i="4"/>
  <c r="AM10" i="4"/>
  <c r="E55" i="4"/>
  <c r="E32" i="4"/>
  <c r="AB10" i="4"/>
  <c r="AK25" i="4"/>
  <c r="AH25" i="4"/>
  <c r="G13" i="17"/>
  <c r="H13" i="17"/>
  <c r="C13" i="17"/>
  <c r="I13" i="17"/>
  <c r="H39" i="38"/>
  <c r="E36" i="38"/>
  <c r="E6" i="38" s="1"/>
  <c r="X46" i="82"/>
  <c r="X48" i="82" s="1"/>
  <c r="Y42" i="82"/>
  <c r="Z42" i="82" s="1"/>
  <c r="W46" i="82"/>
  <c r="W48" i="82" s="1"/>
  <c r="W35" i="82"/>
  <c r="Z41" i="82"/>
  <c r="D57" i="4"/>
  <c r="D52" i="4"/>
  <c r="AF10" i="4"/>
  <c r="AC10" i="4"/>
  <c r="E57" i="4"/>
  <c r="E52" i="4"/>
  <c r="D58" i="4"/>
  <c r="E58" i="4"/>
  <c r="L106" i="24"/>
  <c r="Y106" i="24"/>
  <c r="U140" i="12" s="1"/>
  <c r="U142" i="12" s="1"/>
  <c r="F43" i="24"/>
  <c r="Z106" i="24"/>
  <c r="F54" i="10"/>
  <c r="F9" i="10"/>
  <c r="C14" i="12"/>
  <c r="N104" i="83"/>
  <c r="L9" i="10"/>
  <c r="I9" i="12"/>
  <c r="H64" i="66"/>
  <c r="I92" i="66" s="1"/>
  <c r="D197" i="12"/>
  <c r="G57" i="10"/>
  <c r="C78" i="12"/>
  <c r="F23" i="10"/>
  <c r="D10" i="18" s="1"/>
  <c r="F101" i="12"/>
  <c r="I36" i="63"/>
  <c r="I62" i="63"/>
  <c r="G222" i="24"/>
  <c r="G63" i="24"/>
  <c r="G69" i="66"/>
  <c r="G96" i="66" s="1"/>
  <c r="H120" i="66"/>
  <c r="C59" i="63"/>
  <c r="C95" i="12"/>
  <c r="AD9" i="10"/>
  <c r="C46" i="24"/>
  <c r="C45" i="12" s="1"/>
  <c r="C43" i="12"/>
  <c r="I46" i="24"/>
  <c r="I45" i="12" s="1"/>
  <c r="I43" i="12"/>
  <c r="G44" i="12"/>
  <c r="G46" i="24"/>
  <c r="G45" i="12" s="1"/>
  <c r="I95" i="12"/>
  <c r="J97" i="12" s="1"/>
  <c r="L97" i="12" s="1"/>
  <c r="M97" i="12" s="1"/>
  <c r="I59" i="63"/>
  <c r="V130" i="12"/>
  <c r="L108" i="12"/>
  <c r="K44" i="12"/>
  <c r="G45" i="10"/>
  <c r="G82" i="12"/>
  <c r="J45" i="10"/>
  <c r="J46" i="10" s="1"/>
  <c r="J105" i="83"/>
  <c r="L49" i="10"/>
  <c r="J14" i="18" s="1"/>
  <c r="H69" i="66"/>
  <c r="I96" i="66" s="1"/>
  <c r="I53" i="10"/>
  <c r="G24" i="18" s="1"/>
  <c r="F17" i="63"/>
  <c r="E76" i="66"/>
  <c r="H48" i="12"/>
  <c r="K59" i="10" s="1"/>
  <c r="V137" i="12"/>
  <c r="T138" i="12"/>
  <c r="J23" i="10"/>
  <c r="H10" i="18" s="1"/>
  <c r="C36" i="63"/>
  <c r="C62" i="63"/>
  <c r="G47" i="10"/>
  <c r="C68" i="66"/>
  <c r="O68" i="66" s="1"/>
  <c r="I105" i="83"/>
  <c r="C113" i="12"/>
  <c r="D112" i="12"/>
  <c r="E112" i="12" s="1"/>
  <c r="F112" i="12" s="1"/>
  <c r="G112" i="12" s="1"/>
  <c r="H112" i="12" s="1"/>
  <c r="I112" i="12" s="1"/>
  <c r="C18" i="24"/>
  <c r="T33" i="12"/>
  <c r="W63" i="11"/>
  <c r="BU59" i="10" s="1"/>
  <c r="F49" i="12"/>
  <c r="I60" i="10" s="1"/>
  <c r="G25" i="18" s="1"/>
  <c r="F62" i="10"/>
  <c r="D28" i="18" s="1"/>
  <c r="F195" i="12"/>
  <c r="E80" i="66"/>
  <c r="G36" i="63"/>
  <c r="R132" i="12"/>
  <c r="H54" i="10"/>
  <c r="F24" i="12"/>
  <c r="F23" i="24"/>
  <c r="F23" i="12" s="1"/>
  <c r="I18" i="24"/>
  <c r="I82" i="12"/>
  <c r="L45" i="10"/>
  <c r="L54" i="10"/>
  <c r="AC54" i="10" s="1"/>
  <c r="C33" i="12"/>
  <c r="H59" i="63"/>
  <c r="H95" i="12"/>
  <c r="T130" i="12"/>
  <c r="R158" i="12"/>
  <c r="I78" i="12"/>
  <c r="L23" i="10"/>
  <c r="L676" i="10" s="1"/>
  <c r="I18" i="12"/>
  <c r="I175" i="12" s="1"/>
  <c r="K175" i="12" s="1"/>
  <c r="L175" i="12" s="1"/>
  <c r="M175" i="12" s="1"/>
  <c r="F83" i="12"/>
  <c r="K105" i="83"/>
  <c r="G195" i="12"/>
  <c r="J64" i="10"/>
  <c r="P159" i="12"/>
  <c r="P164" i="12"/>
  <c r="F72" i="63"/>
  <c r="E199" i="12"/>
  <c r="D199" i="12"/>
  <c r="I47" i="10"/>
  <c r="H36" i="63"/>
  <c r="F16" i="12"/>
  <c r="F18" i="12" s="1"/>
  <c r="U23" i="24"/>
  <c r="G157" i="24"/>
  <c r="G17" i="63"/>
  <c r="F76" i="66"/>
  <c r="V138" i="12"/>
  <c r="G49" i="10"/>
  <c r="F27" i="24"/>
  <c r="F28" i="12"/>
  <c r="I54" i="10" s="1"/>
  <c r="AA68" i="66"/>
  <c r="I14" i="12"/>
  <c r="M104" i="83"/>
  <c r="G23" i="10"/>
  <c r="D18" i="12"/>
  <c r="D175" i="12" s="1"/>
  <c r="C82" i="12"/>
  <c r="F45" i="10"/>
  <c r="C83" i="12"/>
  <c r="F47" i="10"/>
  <c r="F564" i="10" s="1"/>
  <c r="I83" i="12"/>
  <c r="L47" i="10"/>
  <c r="N105" i="83"/>
  <c r="G84" i="12"/>
  <c r="J49" i="10"/>
  <c r="J50" i="10" s="1"/>
  <c r="J625" i="10"/>
  <c r="W24" i="12"/>
  <c r="H594" i="10"/>
  <c r="H599" i="10" s="1"/>
  <c r="D23" i="24"/>
  <c r="D23" i="12" s="1"/>
  <c r="L23" i="24"/>
  <c r="R23" i="24"/>
  <c r="X23" i="24"/>
  <c r="AD23" i="24"/>
  <c r="G95" i="12"/>
  <c r="K62" i="10"/>
  <c r="I28" i="18" s="1"/>
  <c r="H64" i="10"/>
  <c r="F30" i="18" s="1"/>
  <c r="E101" i="12"/>
  <c r="C43" i="24"/>
  <c r="C41" i="12"/>
  <c r="E43" i="24"/>
  <c r="E38" i="12"/>
  <c r="I43" i="24"/>
  <c r="D157" i="24"/>
  <c r="L157" i="24"/>
  <c r="R157" i="24"/>
  <c r="AD157" i="24"/>
  <c r="C354" i="24"/>
  <c r="C356" i="24" s="1"/>
  <c r="C220" i="12" s="1"/>
  <c r="G83" i="12"/>
  <c r="L105" i="83"/>
  <c r="H27" i="12"/>
  <c r="I15" i="18" s="1"/>
  <c r="C101" i="12"/>
  <c r="H199" i="12"/>
  <c r="F199" i="12"/>
  <c r="D62" i="63"/>
  <c r="Z157" i="24"/>
  <c r="C80" i="66"/>
  <c r="D101" i="12"/>
  <c r="K64" i="10"/>
  <c r="I30" i="18" s="1"/>
  <c r="E62" i="63"/>
  <c r="F18" i="24"/>
  <c r="N18" i="24"/>
  <c r="T18" i="24"/>
  <c r="Z18" i="24"/>
  <c r="AC71" i="24"/>
  <c r="AC74" i="24"/>
  <c r="C148" i="24"/>
  <c r="C131" i="12" s="1"/>
  <c r="I148" i="24"/>
  <c r="I131" i="12" s="1"/>
  <c r="I174" i="12" s="1"/>
  <c r="Q148" i="24"/>
  <c r="Q131" i="12" s="1"/>
  <c r="W148" i="24"/>
  <c r="AC148" i="24"/>
  <c r="W131" i="12" s="1"/>
  <c r="F241" i="12"/>
  <c r="P83" i="11"/>
  <c r="G18" i="24"/>
  <c r="I23" i="24"/>
  <c r="I23" i="12" s="1"/>
  <c r="U49" i="24"/>
  <c r="R148" i="24"/>
  <c r="AD148" i="24"/>
  <c r="F157" i="24"/>
  <c r="D27" i="24"/>
  <c r="L27" i="24"/>
  <c r="R27" i="24"/>
  <c r="X27" i="24"/>
  <c r="AD27" i="24"/>
  <c r="H43" i="24"/>
  <c r="S52" i="24"/>
  <c r="AB71" i="24"/>
  <c r="T106" i="24"/>
  <c r="L118" i="24"/>
  <c r="L127" i="24" s="1"/>
  <c r="R118" i="24"/>
  <c r="R127" i="24" s="1"/>
  <c r="D148" i="24"/>
  <c r="D131" i="12" s="1"/>
  <c r="E204" i="24"/>
  <c r="E162" i="12" s="1"/>
  <c r="E163" i="12" s="1"/>
  <c r="M204" i="24"/>
  <c r="O162" i="12" s="1"/>
  <c r="O163" i="12" s="1"/>
  <c r="O165" i="12" s="1"/>
  <c r="S204" i="24"/>
  <c r="Y204" i="24"/>
  <c r="U162" i="12" s="1"/>
  <c r="U163" i="12" s="1"/>
  <c r="U165" i="12" s="1"/>
  <c r="L234" i="24"/>
  <c r="L32" i="24"/>
  <c r="L33" i="24" s="1"/>
  <c r="R234" i="24"/>
  <c r="R32" i="24"/>
  <c r="R33" i="24" s="1"/>
  <c r="X234" i="24"/>
  <c r="X32" i="24"/>
  <c r="X33" i="24" s="1"/>
  <c r="P33" i="24"/>
  <c r="G43" i="24"/>
  <c r="R52" i="24"/>
  <c r="R222" i="24"/>
  <c r="T157" i="24"/>
  <c r="H170" i="24"/>
  <c r="F239" i="24"/>
  <c r="N239" i="24"/>
  <c r="T239" i="24"/>
  <c r="Z239" i="24"/>
  <c r="G49" i="24"/>
  <c r="O49" i="24"/>
  <c r="N148" i="24"/>
  <c r="T148" i="24"/>
  <c r="C157" i="24"/>
  <c r="I157" i="24"/>
  <c r="Q157" i="24"/>
  <c r="W157" i="24"/>
  <c r="AC157" i="24"/>
  <c r="I170" i="24"/>
  <c r="Q170" i="24"/>
  <c r="F234" i="24"/>
  <c r="N234" i="24"/>
  <c r="T234" i="24"/>
  <c r="Z234" i="24"/>
  <c r="G239" i="24"/>
  <c r="G198" i="12" s="1"/>
  <c r="U239" i="24"/>
  <c r="M71" i="24"/>
  <c r="C106" i="24"/>
  <c r="C140" i="12" s="1"/>
  <c r="I106" i="24"/>
  <c r="I140" i="12" s="1"/>
  <c r="Q106" i="24"/>
  <c r="Q140" i="12" s="1"/>
  <c r="Q142" i="12" s="1"/>
  <c r="W106" i="24"/>
  <c r="AC106" i="24"/>
  <c r="W140" i="12" s="1"/>
  <c r="W142" i="12" s="1"/>
  <c r="D175" i="24"/>
  <c r="L175" i="24"/>
  <c r="R175" i="24"/>
  <c r="X175" i="24"/>
  <c r="AD175" i="24"/>
  <c r="C190" i="24"/>
  <c r="I190" i="24"/>
  <c r="Q190" i="24"/>
  <c r="W190" i="24"/>
  <c r="W195" i="24" s="1"/>
  <c r="AC190" i="24"/>
  <c r="AA234" i="24"/>
  <c r="M175" i="24"/>
  <c r="S175" i="24"/>
  <c r="Y175" i="24"/>
  <c r="D190" i="24"/>
  <c r="L190" i="24"/>
  <c r="L195" i="24" s="1"/>
  <c r="R190" i="24"/>
  <c r="R195" i="24" s="1"/>
  <c r="G204" i="24"/>
  <c r="G162" i="12" s="1"/>
  <c r="R162" i="12" s="1"/>
  <c r="H313" i="24"/>
  <c r="P313" i="24"/>
  <c r="V313" i="24"/>
  <c r="AB313" i="24"/>
  <c r="G300" i="24"/>
  <c r="O300" i="24"/>
  <c r="U300" i="24"/>
  <c r="AA300" i="24"/>
  <c r="F343" i="24"/>
  <c r="F216" i="12" s="1"/>
  <c r="N343" i="24"/>
  <c r="N354" i="24" s="1"/>
  <c r="T343" i="24"/>
  <c r="T354" i="24" s="1"/>
  <c r="Z343" i="24"/>
  <c r="Z354" i="24" s="1"/>
  <c r="I26" i="83"/>
  <c r="N50" i="11"/>
  <c r="N15" i="11"/>
  <c r="K52" i="11"/>
  <c r="K17" i="11"/>
  <c r="V59" i="11"/>
  <c r="U59" i="11"/>
  <c r="T50" i="11"/>
  <c r="U64" i="11"/>
  <c r="N58" i="11"/>
  <c r="BL53" i="10" s="1"/>
  <c r="M58" i="11"/>
  <c r="BK53" i="10" s="1"/>
  <c r="BB47" i="10"/>
  <c r="U77" i="11"/>
  <c r="V77" i="11"/>
  <c r="I64" i="11"/>
  <c r="BG60" i="10" s="1"/>
  <c r="J64" i="11"/>
  <c r="BH60" i="10" s="1"/>
  <c r="P47" i="11"/>
  <c r="P94" i="11"/>
  <c r="P51" i="11"/>
  <c r="BN9" i="10"/>
  <c r="BN46" i="10" s="1"/>
  <c r="H15" i="11"/>
  <c r="H50" i="11"/>
  <c r="E52" i="11"/>
  <c r="E17" i="11"/>
  <c r="Q52" i="11"/>
  <c r="Q17" i="11"/>
  <c r="BR53" i="10"/>
  <c r="AP68" i="66"/>
  <c r="F43" i="11"/>
  <c r="F11" i="11"/>
  <c r="F15" i="11"/>
  <c r="F7" i="11"/>
  <c r="L43" i="11"/>
  <c r="K260" i="11" s="1"/>
  <c r="L11" i="11"/>
  <c r="L15" i="11"/>
  <c r="L7" i="11"/>
  <c r="R43" i="11"/>
  <c r="R188" i="11" s="1"/>
  <c r="AP157" i="11" s="1"/>
  <c r="AP159" i="11" s="1"/>
  <c r="R19" i="11"/>
  <c r="R11" i="11"/>
  <c r="R15" i="11"/>
  <c r="R7" i="11"/>
  <c r="I50" i="11"/>
  <c r="O50" i="11"/>
  <c r="U50" i="11"/>
  <c r="O15" i="11"/>
  <c r="F52" i="11"/>
  <c r="F17" i="11"/>
  <c r="L52" i="11"/>
  <c r="L17" i="11"/>
  <c r="R17" i="11"/>
  <c r="S52" i="11"/>
  <c r="R52" i="11"/>
  <c r="BR49" i="10"/>
  <c r="N63" i="11"/>
  <c r="BL59" i="10" s="1"/>
  <c r="N66" i="11"/>
  <c r="M66" i="11"/>
  <c r="J77" i="11"/>
  <c r="AD80" i="66"/>
  <c r="M43" i="11"/>
  <c r="S43" i="11"/>
  <c r="D7" i="11"/>
  <c r="P7" i="11"/>
  <c r="K46" i="11"/>
  <c r="P15" i="11"/>
  <c r="G52" i="11"/>
  <c r="I54" i="11"/>
  <c r="I19" i="11"/>
  <c r="O54" i="11"/>
  <c r="O19" i="11"/>
  <c r="L19" i="11"/>
  <c r="F56" i="11"/>
  <c r="BD55" i="10" s="1"/>
  <c r="R56" i="11"/>
  <c r="BP55" i="10" s="1"/>
  <c r="H61" i="11"/>
  <c r="I61" i="11"/>
  <c r="N61" i="11"/>
  <c r="O61" i="11"/>
  <c r="H84" i="11"/>
  <c r="BF62" i="10"/>
  <c r="AH79" i="66" s="1"/>
  <c r="U32" i="11"/>
  <c r="G43" i="11"/>
  <c r="H45" i="11" s="1"/>
  <c r="I46" i="11"/>
  <c r="BG23" i="10" s="1"/>
  <c r="V10" i="18" s="1"/>
  <c r="P53" i="11"/>
  <c r="AD76" i="66"/>
  <c r="M62" i="11"/>
  <c r="BK58" i="10" s="1"/>
  <c r="Z58" i="10" s="1"/>
  <c r="S46" i="12" s="1"/>
  <c r="AD398" i="10"/>
  <c r="AE387" i="10"/>
  <c r="AE398" i="10" s="1"/>
  <c r="U15" i="11"/>
  <c r="D19" i="11"/>
  <c r="D54" i="11"/>
  <c r="J54" i="11"/>
  <c r="J19" i="11"/>
  <c r="P54" i="11"/>
  <c r="P19" i="11"/>
  <c r="V54" i="11"/>
  <c r="V19" i="11"/>
  <c r="E65" i="11"/>
  <c r="F65" i="11"/>
  <c r="N76" i="11"/>
  <c r="BL68" i="10" s="1"/>
  <c r="O76" i="11"/>
  <c r="BM68" i="10" s="1"/>
  <c r="U76" i="11"/>
  <c r="BS68" i="10" s="1"/>
  <c r="T76" i="11"/>
  <c r="BR68" i="10" s="1"/>
  <c r="Q46" i="11"/>
  <c r="Q65" i="11"/>
  <c r="H76" i="11"/>
  <c r="BF68" i="10" s="1"/>
  <c r="O43" i="11"/>
  <c r="P45" i="11" s="1"/>
  <c r="O7" i="11"/>
  <c r="U7" i="11"/>
  <c r="U43" i="11"/>
  <c r="S7" i="11"/>
  <c r="G46" i="11"/>
  <c r="BE23" i="10" s="1"/>
  <c r="G11" i="11"/>
  <c r="M11" i="11"/>
  <c r="M46" i="11"/>
  <c r="BK23" i="10" s="1"/>
  <c r="Z10" i="18" s="1"/>
  <c r="S46" i="11"/>
  <c r="S11" i="11"/>
  <c r="W12" i="11" s="1"/>
  <c r="I17" i="11"/>
  <c r="O17" i="11"/>
  <c r="U17" i="11"/>
  <c r="Q54" i="11"/>
  <c r="E60" i="11"/>
  <c r="BC56" i="10" s="1"/>
  <c r="R60" i="11"/>
  <c r="BP56" i="10" s="1"/>
  <c r="Q60" i="11"/>
  <c r="BO56" i="10" s="1"/>
  <c r="G62" i="11"/>
  <c r="N70" i="11"/>
  <c r="N35" i="11"/>
  <c r="T70" i="11"/>
  <c r="T35" i="11"/>
  <c r="E43" i="11"/>
  <c r="D32" i="11"/>
  <c r="D43" i="11"/>
  <c r="D68" i="11" s="1"/>
  <c r="D17" i="11"/>
  <c r="D11" i="11"/>
  <c r="J32" i="11"/>
  <c r="K43" i="11"/>
  <c r="J17" i="11"/>
  <c r="J43" i="11"/>
  <c r="J11" i="11"/>
  <c r="P32" i="11"/>
  <c r="P17" i="11"/>
  <c r="P11" i="11"/>
  <c r="V43" i="11"/>
  <c r="V17" i="11"/>
  <c r="V32" i="11"/>
  <c r="V11" i="11"/>
  <c r="Z12" i="11" s="1"/>
  <c r="J7" i="11"/>
  <c r="V7" i="11"/>
  <c r="O46" i="11"/>
  <c r="N46" i="11"/>
  <c r="BL23" i="10" s="1"/>
  <c r="U46" i="11"/>
  <c r="T46" i="11"/>
  <c r="T11" i="11"/>
  <c r="X12" i="11" s="1"/>
  <c r="I15" i="11"/>
  <c r="BR54" i="10"/>
  <c r="J67" i="11"/>
  <c r="I67" i="11"/>
  <c r="I32" i="11"/>
  <c r="O67" i="11"/>
  <c r="O32" i="11"/>
  <c r="I70" i="11"/>
  <c r="I35" i="11"/>
  <c r="U70" i="11"/>
  <c r="U73" i="11" s="1"/>
  <c r="U35" i="11"/>
  <c r="O35" i="11"/>
  <c r="Q43" i="11"/>
  <c r="K60" i="11"/>
  <c r="P68" i="11"/>
  <c r="J50" i="11"/>
  <c r="V50" i="11"/>
  <c r="E15" i="11"/>
  <c r="Q15" i="11"/>
  <c r="M52" i="11"/>
  <c r="E54" i="11"/>
  <c r="H19" i="11"/>
  <c r="G56" i="11"/>
  <c r="M56" i="11"/>
  <c r="BK55" i="10" s="1"/>
  <c r="Z55" i="10" s="1"/>
  <c r="S56" i="11"/>
  <c r="BQ55" i="10" s="1"/>
  <c r="J59" i="11"/>
  <c r="BH54" i="10" s="1"/>
  <c r="F60" i="11"/>
  <c r="BD56" i="10" s="1"/>
  <c r="S62" i="11"/>
  <c r="BQ58" i="10" s="1"/>
  <c r="U61" i="11"/>
  <c r="H32" i="11"/>
  <c r="G69" i="11"/>
  <c r="S69" i="11"/>
  <c r="BQ64" i="10" s="1"/>
  <c r="AF30" i="18" s="1"/>
  <c r="D70" i="11"/>
  <c r="H71" i="11" s="1"/>
  <c r="D35" i="11"/>
  <c r="J70" i="11"/>
  <c r="K70" i="11"/>
  <c r="V70" i="11"/>
  <c r="E50" i="11"/>
  <c r="M50" i="11"/>
  <c r="N56" i="11"/>
  <c r="BL55" i="10" s="1"/>
  <c r="U58" i="11"/>
  <c r="AC58" i="11" s="1"/>
  <c r="M59" i="11"/>
  <c r="BK54" i="10" s="1"/>
  <c r="Q216" i="11"/>
  <c r="R217" i="11"/>
  <c r="S217" i="11" s="1"/>
  <c r="Q234" i="11"/>
  <c r="N235" i="11"/>
  <c r="R220" i="11"/>
  <c r="S220" i="11" s="1"/>
  <c r="Q237" i="11"/>
  <c r="I56" i="11"/>
  <c r="BG55" i="10" s="1"/>
  <c r="H56" i="11"/>
  <c r="BF55" i="10" s="1"/>
  <c r="AH71" i="66" s="1"/>
  <c r="D84" i="11"/>
  <c r="P84" i="11"/>
  <c r="F32" i="11"/>
  <c r="L32" i="11"/>
  <c r="L67" i="11"/>
  <c r="R32" i="11"/>
  <c r="I52" i="11"/>
  <c r="R67" i="11"/>
  <c r="Q235" i="11"/>
  <c r="R218" i="11"/>
  <c r="S218" i="11" s="1"/>
  <c r="H7" i="11"/>
  <c r="N7" i="11"/>
  <c r="E46" i="11"/>
  <c r="BC23" i="10" s="1"/>
  <c r="V23" i="10" s="1"/>
  <c r="G15" i="11"/>
  <c r="U52" i="11"/>
  <c r="G19" i="11"/>
  <c r="G54" i="11"/>
  <c r="M19" i="11"/>
  <c r="S19" i="11"/>
  <c r="Q19" i="11"/>
  <c r="J58" i="11"/>
  <c r="BH53" i="10" s="1"/>
  <c r="F59" i="11"/>
  <c r="BD54" i="10" s="1"/>
  <c r="R59" i="11"/>
  <c r="BP54" i="10" s="1"/>
  <c r="S59" i="11"/>
  <c r="BQ54" i="10" s="1"/>
  <c r="Q61" i="11"/>
  <c r="E63" i="11"/>
  <c r="BC59" i="10" s="1"/>
  <c r="V59" i="10" s="1"/>
  <c r="O48" i="12" s="1"/>
  <c r="K63" i="11"/>
  <c r="Q63" i="11"/>
  <c r="BO59" i="10" s="1"/>
  <c r="F64" i="11"/>
  <c r="BD60" i="10" s="1"/>
  <c r="R64" i="11"/>
  <c r="BP60" i="10" s="1"/>
  <c r="N65" i="11"/>
  <c r="E66" i="11"/>
  <c r="K66" i="11"/>
  <c r="M67" i="11"/>
  <c r="S67" i="11"/>
  <c r="L71" i="11"/>
  <c r="R35" i="11"/>
  <c r="L35" i="11"/>
  <c r="R76" i="11"/>
  <c r="BP68" i="10" s="1"/>
  <c r="G77" i="11"/>
  <c r="M77" i="11"/>
  <c r="T56" i="11"/>
  <c r="R70" i="11"/>
  <c r="S270" i="11"/>
  <c r="BN62" i="10"/>
  <c r="AC28" i="18" s="1"/>
  <c r="H68" i="11"/>
  <c r="F67" i="11"/>
  <c r="S77" i="11"/>
  <c r="AJ124" i="11"/>
  <c r="O122" i="11"/>
  <c r="S122" i="11"/>
  <c r="L280" i="11"/>
  <c r="P280" i="11"/>
  <c r="P281" i="11"/>
  <c r="T281" i="11"/>
  <c r="Q267" i="11"/>
  <c r="U270" i="11"/>
  <c r="U144" i="11"/>
  <c r="T175" i="11"/>
  <c r="V180" i="11"/>
  <c r="K270" i="11"/>
  <c r="U226" i="11"/>
  <c r="Y243" i="11" s="1"/>
  <c r="M265" i="11"/>
  <c r="L279" i="11"/>
  <c r="I269" i="11"/>
  <c r="AP125" i="11"/>
  <c r="AP127" i="11" s="1"/>
  <c r="K218" i="11"/>
  <c r="I265" i="11"/>
  <c r="M235" i="11"/>
  <c r="P279" i="11"/>
  <c r="T280" i="11"/>
  <c r="U266" i="11"/>
  <c r="Y280" i="11" s="1"/>
  <c r="M269" i="11"/>
  <c r="L283" i="11"/>
  <c r="M270" i="11"/>
  <c r="P287" i="11"/>
  <c r="T285" i="11"/>
  <c r="M35" i="11"/>
  <c r="M70" i="11"/>
  <c r="S35" i="11"/>
  <c r="K35" i="11"/>
  <c r="J221" i="11"/>
  <c r="M238" i="11"/>
  <c r="M243" i="11"/>
  <c r="I267" i="11"/>
  <c r="Q272" i="11"/>
  <c r="P286" i="11"/>
  <c r="K176" i="11"/>
  <c r="J176" i="11"/>
  <c r="N175" i="11"/>
  <c r="H253" i="11"/>
  <c r="H252" i="11"/>
  <c r="H256" i="11"/>
  <c r="H255" i="11"/>
  <c r="H250" i="11"/>
  <c r="H263" i="11"/>
  <c r="H248" i="11"/>
  <c r="H246" i="11"/>
  <c r="H251" i="11"/>
  <c r="H247" i="11"/>
  <c r="Q264" i="11"/>
  <c r="P278" i="11"/>
  <c r="S179" i="11"/>
  <c r="U140" i="11"/>
  <c r="W139" i="11"/>
  <c r="I176" i="11"/>
  <c r="O176" i="11"/>
  <c r="O260" i="11"/>
  <c r="M267" i="11"/>
  <c r="L281" i="11"/>
  <c r="P283" i="11"/>
  <c r="Q269" i="11"/>
  <c r="M273" i="11"/>
  <c r="N60" i="11"/>
  <c r="BL56" i="10" s="1"/>
  <c r="N62" i="11"/>
  <c r="BL58" i="10" s="1"/>
  <c r="I63" i="11"/>
  <c r="BG59" i="10" s="1"/>
  <c r="O63" i="11"/>
  <c r="BM59" i="10" s="1"/>
  <c r="U63" i="11"/>
  <c r="U91" i="11"/>
  <c r="T248" i="11"/>
  <c r="T251" i="11"/>
  <c r="T250" i="11"/>
  <c r="T233" i="11"/>
  <c r="T249" i="11"/>
  <c r="T247" i="11"/>
  <c r="U268" i="11"/>
  <c r="Y282" i="11" s="1"/>
  <c r="W221" i="11"/>
  <c r="J225" i="11"/>
  <c r="T253" i="11"/>
  <c r="T263" i="11"/>
  <c r="I268" i="11"/>
  <c r="L175" i="11"/>
  <c r="R175" i="11"/>
  <c r="R176" i="11"/>
  <c r="W218" i="11"/>
  <c r="N221" i="11"/>
  <c r="J222" i="11"/>
  <c r="Q239" i="11"/>
  <c r="I264" i="11"/>
  <c r="T279" i="11"/>
  <c r="U265" i="11"/>
  <c r="Y279" i="11" s="1"/>
  <c r="Q266" i="11"/>
  <c r="Q268" i="11"/>
  <c r="Q175" i="11"/>
  <c r="P252" i="11"/>
  <c r="P246" i="11"/>
  <c r="P255" i="11"/>
  <c r="P254" i="11"/>
  <c r="P249" i="11"/>
  <c r="P263" i="11"/>
  <c r="P296" i="11" s="1"/>
  <c r="P248" i="11"/>
  <c r="H254" i="11"/>
  <c r="H271" i="11"/>
  <c r="M272" i="11"/>
  <c r="N225" i="11"/>
  <c r="I273" i="11"/>
  <c r="J226" i="11"/>
  <c r="T273" i="11"/>
  <c r="X287" i="11" s="1"/>
  <c r="T243" i="11"/>
  <c r="P247" i="11"/>
  <c r="I266" i="11"/>
  <c r="T283" i="11"/>
  <c r="U269" i="11"/>
  <c r="Y283" i="11" s="1"/>
  <c r="T286" i="11"/>
  <c r="U272" i="11"/>
  <c r="Y286" i="11" s="1"/>
  <c r="P256" i="11"/>
  <c r="O218" i="11"/>
  <c r="O219" i="11"/>
  <c r="R221" i="11"/>
  <c r="V238" i="11" s="1"/>
  <c r="Q242" i="11"/>
  <c r="S225" i="11"/>
  <c r="P243" i="11"/>
  <c r="T278" i="11"/>
  <c r="U264" i="11"/>
  <c r="Y278" i="11" s="1"/>
  <c r="L282" i="11"/>
  <c r="U271" i="11"/>
  <c r="Y285" i="11" s="1"/>
  <c r="Q265" i="11"/>
  <c r="AQ6" i="66"/>
  <c r="H140" i="10"/>
  <c r="H101" i="10"/>
  <c r="H83" i="10"/>
  <c r="H74" i="10"/>
  <c r="O301" i="10"/>
  <c r="P289" i="10"/>
  <c r="L772" i="10"/>
  <c r="L348" i="10"/>
  <c r="L31" i="10"/>
  <c r="L20" i="10"/>
  <c r="H6" i="66"/>
  <c r="I42" i="66" s="1"/>
  <c r="O468" i="10"/>
  <c r="N457" i="10"/>
  <c r="W27" i="12"/>
  <c r="BL383" i="10"/>
  <c r="BM382" i="10"/>
  <c r="U16" i="12"/>
  <c r="AA65" i="66"/>
  <c r="I140" i="10"/>
  <c r="J101" i="10"/>
  <c r="I83" i="10"/>
  <c r="I147" i="10" s="1"/>
  <c r="I74" i="10"/>
  <c r="I101" i="10"/>
  <c r="I95" i="10"/>
  <c r="BN381" i="10"/>
  <c r="AP5" i="66"/>
  <c r="BN19" i="10"/>
  <c r="M803" i="10"/>
  <c r="M807" i="10" s="1"/>
  <c r="M772" i="10"/>
  <c r="O21" i="10"/>
  <c r="O32" i="10"/>
  <c r="H95" i="10"/>
  <c r="M776" i="10"/>
  <c r="G246" i="10"/>
  <c r="G256" i="10"/>
  <c r="I143" i="10"/>
  <c r="I86" i="10"/>
  <c r="I150" i="10" s="1"/>
  <c r="J32" i="10"/>
  <c r="J21" i="10"/>
  <c r="P32" i="10"/>
  <c r="P21" i="10"/>
  <c r="A12" i="66"/>
  <c r="AA5" i="66"/>
  <c r="AR6" i="66"/>
  <c r="BP381" i="10"/>
  <c r="BP383" i="10" s="1"/>
  <c r="Z22" i="10"/>
  <c r="AB19" i="10"/>
  <c r="K21" i="10"/>
  <c r="AB594" i="10"/>
  <c r="AD608" i="10" s="1"/>
  <c r="U26" i="12"/>
  <c r="AP71" i="66"/>
  <c r="N135" i="10"/>
  <c r="K228" i="10"/>
  <c r="X22" i="10"/>
  <c r="AB564" i="10"/>
  <c r="AD582" i="10" s="1"/>
  <c r="U25" i="12"/>
  <c r="M310" i="10"/>
  <c r="M99" i="10"/>
  <c r="N13" i="4"/>
  <c r="AN13" i="4" s="1"/>
  <c r="L301" i="10"/>
  <c r="N662" i="10"/>
  <c r="K771" i="10"/>
  <c r="K273" i="10"/>
  <c r="K343" i="10"/>
  <c r="BJ20" i="10"/>
  <c r="L21" i="10"/>
  <c r="AH80" i="66"/>
  <c r="H103" i="10"/>
  <c r="AB178" i="10"/>
  <c r="BK177" i="10"/>
  <c r="BO178" i="10" s="1"/>
  <c r="AA177" i="10"/>
  <c r="O125" i="11" s="1"/>
  <c r="AJ126" i="11" s="1"/>
  <c r="Z12" i="10"/>
  <c r="AB20" i="10" s="1"/>
  <c r="Z178" i="10"/>
  <c r="J262" i="10"/>
  <c r="J33" i="10" s="1"/>
  <c r="J264" i="10"/>
  <c r="J16" i="10"/>
  <c r="H494" i="10"/>
  <c r="H398" i="10"/>
  <c r="H399" i="10"/>
  <c r="H495" i="10"/>
  <c r="BO381" i="10"/>
  <c r="BO383" i="10" s="1"/>
  <c r="I98" i="10"/>
  <c r="J98" i="10" s="1"/>
  <c r="K98" i="10" s="1"/>
  <c r="J736" i="10"/>
  <c r="AA6" i="66"/>
  <c r="L771" i="10"/>
  <c r="L343" i="10"/>
  <c r="L273" i="10"/>
  <c r="M274" i="10" s="1"/>
  <c r="AF16" i="10"/>
  <c r="AD71" i="66"/>
  <c r="BQ74" i="10"/>
  <c r="AC99" i="10"/>
  <c r="AC11" i="10"/>
  <c r="I141" i="10"/>
  <c r="I84" i="10"/>
  <c r="I148" i="10" s="1"/>
  <c r="J102" i="10"/>
  <c r="G85" i="10"/>
  <c r="G149" i="10" s="1"/>
  <c r="G156" i="10" s="1"/>
  <c r="K138" i="10"/>
  <c r="I461" i="10"/>
  <c r="I472" i="10" s="1"/>
  <c r="J398" i="10"/>
  <c r="I422" i="10"/>
  <c r="J433" i="10" s="1"/>
  <c r="I398" i="10"/>
  <c r="I381" i="10"/>
  <c r="I391" i="10" s="1"/>
  <c r="I494" i="10"/>
  <c r="AD599" i="10"/>
  <c r="G74" i="10"/>
  <c r="G713" i="10" s="1"/>
  <c r="I85" i="10"/>
  <c r="I149" i="10" s="1"/>
  <c r="G94" i="10"/>
  <c r="H659" i="10"/>
  <c r="H662" i="10" s="1"/>
  <c r="H229" i="10"/>
  <c r="H256" i="10"/>
  <c r="I202" i="10"/>
  <c r="P269" i="10"/>
  <c r="M301" i="10"/>
  <c r="N289" i="10"/>
  <c r="BR19" i="10"/>
  <c r="AD571" i="10"/>
  <c r="G82" i="10"/>
  <c r="G139" i="10"/>
  <c r="G229" i="10"/>
  <c r="K333" i="10"/>
  <c r="K348" i="10"/>
  <c r="BI382" i="10"/>
  <c r="AA393" i="10"/>
  <c r="O472" i="10"/>
  <c r="N461" i="10"/>
  <c r="G634" i="10"/>
  <c r="J602" i="10"/>
  <c r="J603" i="10"/>
  <c r="J575" i="10"/>
  <c r="J574" i="10"/>
  <c r="J605" i="10"/>
  <c r="J604" i="10"/>
  <c r="J579" i="10"/>
  <c r="J578" i="10"/>
  <c r="J771" i="10"/>
  <c r="J273" i="10"/>
  <c r="J343" i="10"/>
  <c r="K667" i="10"/>
  <c r="K680" i="10"/>
  <c r="K678" i="10"/>
  <c r="K660" i="10"/>
  <c r="K676" i="10"/>
  <c r="I87" i="10"/>
  <c r="H87" i="10"/>
  <c r="K152" i="10"/>
  <c r="X178" i="10"/>
  <c r="BH177" i="10"/>
  <c r="BG177" i="10"/>
  <c r="BG12" i="10" s="1"/>
  <c r="AI6" i="66" s="1"/>
  <c r="N301" i="10"/>
  <c r="O289" i="10"/>
  <c r="N384" i="10"/>
  <c r="J509" i="10"/>
  <c r="I509" i="10"/>
  <c r="J511" i="10"/>
  <c r="I511" i="10"/>
  <c r="H85" i="10"/>
  <c r="H149" i="10" s="1"/>
  <c r="H156" i="10" s="1"/>
  <c r="X99" i="10"/>
  <c r="I100" i="10"/>
  <c r="G244" i="10"/>
  <c r="I301" i="10"/>
  <c r="J289" i="10"/>
  <c r="BK383" i="10"/>
  <c r="H489" i="10"/>
  <c r="H393" i="10"/>
  <c r="H381" i="10"/>
  <c r="L76" i="10"/>
  <c r="M76" i="10" s="1"/>
  <c r="J100" i="10"/>
  <c r="BQ177" i="10"/>
  <c r="O315" i="10"/>
  <c r="K331" i="10"/>
  <c r="J393" i="10"/>
  <c r="I346" i="10"/>
  <c r="I332" i="10"/>
  <c r="I333" i="10" s="1"/>
  <c r="I489" i="10"/>
  <c r="I393" i="10"/>
  <c r="W382" i="10"/>
  <c r="Y393" i="10" s="1"/>
  <c r="I456" i="10"/>
  <c r="I467" i="10" s="1"/>
  <c r="I417" i="10"/>
  <c r="J428" i="10" s="1"/>
  <c r="BQ390" i="10"/>
  <c r="K432" i="10"/>
  <c r="K435" i="10"/>
  <c r="J435" i="10"/>
  <c r="L152" i="10"/>
  <c r="K178" i="10"/>
  <c r="G254" i="10"/>
  <c r="L289" i="10"/>
  <c r="M290" i="10" s="1"/>
  <c r="M323" i="10"/>
  <c r="M324" i="10" s="1"/>
  <c r="N313" i="10"/>
  <c r="N382" i="10" s="1"/>
  <c r="AA217" i="11" s="1"/>
  <c r="AA234" i="11" s="1"/>
  <c r="P351" i="10"/>
  <c r="K488" i="10"/>
  <c r="K391" i="10"/>
  <c r="AA381" i="10"/>
  <c r="L432" i="10"/>
  <c r="G495" i="10"/>
  <c r="W596" i="10"/>
  <c r="N232" i="10"/>
  <c r="J14" i="66" s="1"/>
  <c r="N773" i="10"/>
  <c r="J202" i="10"/>
  <c r="I254" i="10"/>
  <c r="I256" i="10"/>
  <c r="J341" i="10"/>
  <c r="G492" i="10"/>
  <c r="H396" i="10"/>
  <c r="G396" i="10"/>
  <c r="AA400" i="10"/>
  <c r="I397" i="10"/>
  <c r="G489" i="10"/>
  <c r="I492" i="10"/>
  <c r="I493" i="10"/>
  <c r="G612" i="10"/>
  <c r="N185" i="10"/>
  <c r="O188" i="10"/>
  <c r="W260" i="10"/>
  <c r="L341" i="10"/>
  <c r="G381" i="10"/>
  <c r="G391" i="10" s="1"/>
  <c r="AA396" i="10"/>
  <c r="AC400" i="10"/>
  <c r="G393" i="10"/>
  <c r="J397" i="10"/>
  <c r="L474" i="10"/>
  <c r="G635" i="10"/>
  <c r="I396" i="10"/>
  <c r="I459" i="10"/>
  <c r="I470" i="10" s="1"/>
  <c r="N386" i="10"/>
  <c r="I463" i="10"/>
  <c r="I474" i="10" s="1"/>
  <c r="J400" i="10"/>
  <c r="I400" i="10"/>
  <c r="AA402" i="10"/>
  <c r="BM390" i="10"/>
  <c r="K428" i="10"/>
  <c r="I624" i="10"/>
  <c r="W597" i="10"/>
  <c r="J391" i="10"/>
  <c r="I395" i="10"/>
  <c r="I419" i="10"/>
  <c r="J430" i="10" s="1"/>
  <c r="K526" i="10"/>
  <c r="K534" i="10" s="1"/>
  <c r="W566" i="10"/>
  <c r="H635" i="10"/>
  <c r="J643" i="10"/>
  <c r="G490" i="10"/>
  <c r="X634" i="10"/>
  <c r="Y566" i="10"/>
  <c r="X635" i="10"/>
  <c r="Y569" i="10"/>
  <c r="I418" i="10"/>
  <c r="J429" i="10" s="1"/>
  <c r="I507" i="10"/>
  <c r="AC596" i="10"/>
  <c r="J642" i="10"/>
  <c r="I635" i="10"/>
  <c r="W569" i="10"/>
  <c r="W595" i="10"/>
  <c r="J640" i="10"/>
  <c r="H633" i="10"/>
  <c r="H622" i="10"/>
  <c r="L589" i="10"/>
  <c r="X613" i="10"/>
  <c r="X611" i="10" s="1"/>
  <c r="Y595" i="10"/>
  <c r="J633" i="10"/>
  <c r="J641" i="10" s="1"/>
  <c r="J610" i="10"/>
  <c r="J639" i="10"/>
  <c r="L706" i="10"/>
  <c r="L664" i="10" s="1"/>
  <c r="H714" i="10"/>
  <c r="L624" i="10"/>
  <c r="O683" i="10"/>
  <c r="N664" i="10"/>
  <c r="H664" i="10"/>
  <c r="J714" i="10"/>
  <c r="L734" i="10"/>
  <c r="J705" i="10"/>
  <c r="J664" i="10" s="1"/>
  <c r="K705" i="10"/>
  <c r="K664" i="10" s="1"/>
  <c r="F714" i="10"/>
  <c r="L714" i="10"/>
  <c r="V39" i="12"/>
  <c r="I96" i="12"/>
  <c r="H84" i="12"/>
  <c r="F190" i="12"/>
  <c r="H18" i="12"/>
  <c r="C18" i="12"/>
  <c r="C84" i="12"/>
  <c r="I84" i="12"/>
  <c r="N59" i="10"/>
  <c r="K64" i="12"/>
  <c r="K66" i="12" s="1"/>
  <c r="K213" i="12" s="1"/>
  <c r="P132" i="12"/>
  <c r="H83" i="12"/>
  <c r="H14" i="12"/>
  <c r="H197" i="12"/>
  <c r="H109" i="12"/>
  <c r="H78" i="12"/>
  <c r="H82" i="12"/>
  <c r="G18" i="12"/>
  <c r="G175" i="12" s="1"/>
  <c r="F84" i="12"/>
  <c r="C197" i="12"/>
  <c r="C109" i="12"/>
  <c r="W47" i="12"/>
  <c r="F197" i="12"/>
  <c r="F109" i="12"/>
  <c r="G79" i="12"/>
  <c r="H79" i="12" s="1"/>
  <c r="I79" i="12" s="1"/>
  <c r="E18" i="12"/>
  <c r="E175" i="12" s="1"/>
  <c r="D241" i="12"/>
  <c r="D95" i="12"/>
  <c r="E241" i="12"/>
  <c r="E95" i="12"/>
  <c r="V132" i="12"/>
  <c r="I197" i="12"/>
  <c r="I109" i="12"/>
  <c r="V149" i="12"/>
  <c r="D109" i="12"/>
  <c r="G241" i="12"/>
  <c r="R130" i="12"/>
  <c r="K138" i="12"/>
  <c r="L138" i="12" s="1"/>
  <c r="M138" i="12" s="1"/>
  <c r="H241" i="12"/>
  <c r="C241" i="12"/>
  <c r="V158" i="12"/>
  <c r="F236" i="12"/>
  <c r="F237" i="12" s="1"/>
  <c r="H190" i="12"/>
  <c r="I241" i="12"/>
  <c r="R149" i="12"/>
  <c r="X162" i="12"/>
  <c r="K162" i="12"/>
  <c r="L162" i="12" s="1"/>
  <c r="M162" i="12" s="1"/>
  <c r="R159" i="12"/>
  <c r="F95" i="66"/>
  <c r="AI73" i="66"/>
  <c r="Q68" i="66"/>
  <c r="I111" i="83"/>
  <c r="AA28" i="11"/>
  <c r="L49" i="12"/>
  <c r="AE28" i="11" s="1"/>
  <c r="N60" i="10"/>
  <c r="W18" i="12"/>
  <c r="S177" i="11"/>
  <c r="AL125" i="11"/>
  <c r="W124" i="11"/>
  <c r="U27" i="12"/>
  <c r="AE60" i="10"/>
  <c r="X49" i="12" s="1"/>
  <c r="W64" i="11"/>
  <c r="BU60" i="10" s="1"/>
  <c r="AN125" i="11"/>
  <c r="K28" i="12"/>
  <c r="N111" i="83"/>
  <c r="P116" i="83"/>
  <c r="M111" i="83"/>
  <c r="O111" i="83"/>
  <c r="Q116" i="83"/>
  <c r="S114" i="83"/>
  <c r="T115" i="83"/>
  <c r="J111" i="83"/>
  <c r="P111" i="83"/>
  <c r="L111" i="83"/>
  <c r="S110" i="83"/>
  <c r="J713" i="10"/>
  <c r="K713" i="10"/>
  <c r="L713" i="10"/>
  <c r="S109" i="83"/>
  <c r="T109" i="83"/>
  <c r="T114" i="83"/>
  <c r="M116" i="83"/>
  <c r="K599" i="10" l="1"/>
  <c r="BT47" i="10"/>
  <c r="AI13" i="18" s="1"/>
  <c r="U97" i="11"/>
  <c r="U105" i="11"/>
  <c r="Z71" i="11"/>
  <c r="V73" i="11"/>
  <c r="X71" i="11"/>
  <c r="T73" i="11"/>
  <c r="W92" i="11"/>
  <c r="BU177" i="10" s="1"/>
  <c r="BU178" i="10" s="1"/>
  <c r="O386" i="10"/>
  <c r="P386" i="10" s="1"/>
  <c r="AA221" i="11"/>
  <c r="AA238" i="11" s="1"/>
  <c r="AA237" i="11"/>
  <c r="M810" i="10"/>
  <c r="AA235" i="11"/>
  <c r="O384" i="10"/>
  <c r="P384" i="10" s="1"/>
  <c r="AA219" i="11"/>
  <c r="AA236" i="11" s="1"/>
  <c r="U260" i="11"/>
  <c r="Z44" i="11"/>
  <c r="AG773" i="10"/>
  <c r="N811" i="10"/>
  <c r="M790" i="10"/>
  <c r="L792" i="10"/>
  <c r="L810" i="10"/>
  <c r="U283" i="24"/>
  <c r="D283" i="24"/>
  <c r="F195" i="24"/>
  <c r="F154" i="12" s="1"/>
  <c r="H41" i="66"/>
  <c r="E33" i="24"/>
  <c r="AC283" i="24"/>
  <c r="AC285" i="24" s="1"/>
  <c r="G174" i="12"/>
  <c r="E196" i="12"/>
  <c r="D73" i="66"/>
  <c r="AC184" i="24"/>
  <c r="W150" i="12" s="1"/>
  <c r="N179" i="10"/>
  <c r="N371" i="10"/>
  <c r="N377" i="10" s="1"/>
  <c r="R112" i="11"/>
  <c r="AP167" i="11" s="1"/>
  <c r="AP170" i="11" s="1"/>
  <c r="H11" i="18"/>
  <c r="N177" i="10"/>
  <c r="N190" i="10" s="1"/>
  <c r="N204" i="10"/>
  <c r="AA134" i="11"/>
  <c r="AA135" i="11" s="1"/>
  <c r="BS20" i="10"/>
  <c r="W140" i="11"/>
  <c r="W145" i="11"/>
  <c r="W133" i="11"/>
  <c r="AA133" i="11"/>
  <c r="AN126" i="11"/>
  <c r="U150" i="11"/>
  <c r="Y151" i="11" s="1"/>
  <c r="U171" i="11"/>
  <c r="Y172" i="11" s="1"/>
  <c r="AE389" i="10"/>
  <c r="AE400" i="10" s="1"/>
  <c r="U185" i="11"/>
  <c r="Y44" i="11"/>
  <c r="U187" i="11"/>
  <c r="U188" i="11"/>
  <c r="U186" i="11"/>
  <c r="U21" i="11"/>
  <c r="Y12" i="11"/>
  <c r="Y71" i="11"/>
  <c r="U175" i="11"/>
  <c r="Y175" i="11"/>
  <c r="V267" i="11"/>
  <c r="Y281" i="11"/>
  <c r="U255" i="11"/>
  <c r="Y233" i="11"/>
  <c r="L770" i="10"/>
  <c r="I8" i="18"/>
  <c r="I51" i="18" s="1"/>
  <c r="I579" i="10"/>
  <c r="Y124" i="11"/>
  <c r="AC124" i="11"/>
  <c r="BW58" i="10"/>
  <c r="AF58" i="10" s="1"/>
  <c r="Y46" i="12" s="1"/>
  <c r="AC62" i="11"/>
  <c r="AD177" i="11"/>
  <c r="U176" i="11"/>
  <c r="CA53" i="10"/>
  <c r="AC22" i="11"/>
  <c r="AC61" i="11"/>
  <c r="AC26" i="11" s="1"/>
  <c r="AD26" i="11" s="1"/>
  <c r="Y122" i="11"/>
  <c r="AC90" i="11"/>
  <c r="BW74" i="10"/>
  <c r="BW99" i="10" s="1"/>
  <c r="AD74" i="10"/>
  <c r="AE74" i="10" s="1"/>
  <c r="AE99" i="10" s="1"/>
  <c r="AX5" i="66"/>
  <c r="BZ19" i="10"/>
  <c r="AD177" i="10"/>
  <c r="AD178" i="10" s="1"/>
  <c r="AG13" i="18"/>
  <c r="D71" i="66"/>
  <c r="F121" i="66"/>
  <c r="M280" i="11"/>
  <c r="F41" i="63"/>
  <c r="E63" i="63"/>
  <c r="E41" i="63"/>
  <c r="M792" i="10"/>
  <c r="E354" i="24"/>
  <c r="E356" i="24" s="1"/>
  <c r="E220" i="12" s="1"/>
  <c r="E40" i="63"/>
  <c r="Q241" i="11"/>
  <c r="BU13" i="10"/>
  <c r="AW7" i="66" s="1"/>
  <c r="H260" i="11"/>
  <c r="E13" i="11"/>
  <c r="N96" i="10"/>
  <c r="O96" i="10" s="1"/>
  <c r="P96" i="10" s="1"/>
  <c r="J70" i="12"/>
  <c r="I85" i="66" s="1"/>
  <c r="E21" i="11"/>
  <c r="T148" i="12"/>
  <c r="Q127" i="24"/>
  <c r="Q144" i="12" s="1"/>
  <c r="J72" i="12"/>
  <c r="T184" i="24"/>
  <c r="T207" i="24" s="1"/>
  <c r="G5" i="38"/>
  <c r="G11" i="38" s="1"/>
  <c r="AD283" i="24"/>
  <c r="AD285" i="24" s="1"/>
  <c r="T291" i="11"/>
  <c r="X277" i="11"/>
  <c r="V102" i="11"/>
  <c r="BT383" i="10" s="1"/>
  <c r="P140" i="12"/>
  <c r="N9" i="83"/>
  <c r="O9" i="83" s="1"/>
  <c r="S116" i="83"/>
  <c r="I125" i="83" s="1"/>
  <c r="C283" i="24"/>
  <c r="C285" i="24" s="1"/>
  <c r="G29" i="38"/>
  <c r="F30" i="63" s="1"/>
  <c r="F33" i="63" s="1"/>
  <c r="L283" i="24"/>
  <c r="L285" i="24" s="1"/>
  <c r="AB283" i="24"/>
  <c r="AB285" i="24" s="1"/>
  <c r="AC320" i="24"/>
  <c r="AC323" i="24" s="1"/>
  <c r="W283" i="24"/>
  <c r="W285" i="24" s="1"/>
  <c r="F19" i="18"/>
  <c r="H20" i="4"/>
  <c r="V19" i="18"/>
  <c r="Z320" i="24"/>
  <c r="Z323" i="24" s="1"/>
  <c r="R131" i="12"/>
  <c r="F33" i="24"/>
  <c r="AC19" i="18"/>
  <c r="T186" i="11"/>
  <c r="T185" i="11"/>
  <c r="T188" i="11"/>
  <c r="T187" i="11"/>
  <c r="F51" i="17"/>
  <c r="G61" i="63"/>
  <c r="G37" i="63"/>
  <c r="AD320" i="24"/>
  <c r="AD323" i="24" s="1"/>
  <c r="K20" i="4"/>
  <c r="AD20" i="4" s="1"/>
  <c r="BX13" i="10"/>
  <c r="AZ7" i="66" s="1"/>
  <c r="BV56" i="10"/>
  <c r="BS56" i="10"/>
  <c r="F15" i="18"/>
  <c r="Y19" i="18"/>
  <c r="H27" i="38"/>
  <c r="W72" i="12"/>
  <c r="W71" i="12" s="1"/>
  <c r="F63" i="63"/>
  <c r="H283" i="24"/>
  <c r="H285" i="24" s="1"/>
  <c r="H204" i="12" s="1"/>
  <c r="F40" i="63"/>
  <c r="AE19" i="18"/>
  <c r="AA320" i="24"/>
  <c r="AA323" i="24" s="1"/>
  <c r="I84" i="11"/>
  <c r="U19" i="18"/>
  <c r="X35" i="82"/>
  <c r="AH27" i="4"/>
  <c r="L251" i="11"/>
  <c r="K51" i="11"/>
  <c r="E283" i="24"/>
  <c r="E285" i="24" s="1"/>
  <c r="F67" i="66"/>
  <c r="F110" i="66" s="1"/>
  <c r="C27" i="12"/>
  <c r="F16" i="4" s="1"/>
  <c r="L246" i="11"/>
  <c r="O222" i="11"/>
  <c r="S239" i="11" s="1"/>
  <c r="M283" i="24"/>
  <c r="M285" i="24" s="1"/>
  <c r="X320" i="24"/>
  <c r="X323" i="24" s="1"/>
  <c r="V184" i="24"/>
  <c r="V207" i="24" s="1"/>
  <c r="G109" i="12"/>
  <c r="Q283" i="24"/>
  <c r="Q285" i="24" s="1"/>
  <c r="H196" i="12"/>
  <c r="L263" i="11"/>
  <c r="L297" i="11" s="1"/>
  <c r="L247" i="11"/>
  <c r="D354" i="24"/>
  <c r="D356" i="24" s="1"/>
  <c r="D220" i="12" s="1"/>
  <c r="C127" i="24"/>
  <c r="C144" i="12" s="1"/>
  <c r="H33" i="24"/>
  <c r="L248" i="11"/>
  <c r="L252" i="11"/>
  <c r="L254" i="11"/>
  <c r="L249" i="11"/>
  <c r="L255" i="11"/>
  <c r="Q273" i="11"/>
  <c r="Q287" i="11" s="1"/>
  <c r="L233" i="11"/>
  <c r="L256" i="11"/>
  <c r="P233" i="11"/>
  <c r="L250" i="11"/>
  <c r="I19" i="18"/>
  <c r="G73" i="66"/>
  <c r="L52" i="4"/>
  <c r="AL52" i="4" s="1"/>
  <c r="V283" i="24"/>
  <c r="V285" i="24" s="1"/>
  <c r="W320" i="24"/>
  <c r="W323" i="24" s="1"/>
  <c r="W29" i="24"/>
  <c r="W35" i="24" s="1"/>
  <c r="D39" i="17"/>
  <c r="D127" i="24"/>
  <c r="D144" i="12" s="1"/>
  <c r="C41" i="63"/>
  <c r="F163" i="12"/>
  <c r="P163" i="12" s="1"/>
  <c r="R320" i="24"/>
  <c r="R323" i="24" s="1"/>
  <c r="D47" i="63"/>
  <c r="T34" i="12"/>
  <c r="E81" i="12"/>
  <c r="C163" i="12"/>
  <c r="C84" i="17" s="1"/>
  <c r="C71" i="66"/>
  <c r="P283" i="24"/>
  <c r="P285" i="24" s="1"/>
  <c r="O84" i="11"/>
  <c r="E15" i="18"/>
  <c r="E19" i="63"/>
  <c r="D84" i="12"/>
  <c r="AA184" i="24"/>
  <c r="AA207" i="24" s="1"/>
  <c r="O33" i="24"/>
  <c r="AK27" i="4"/>
  <c r="G85" i="17"/>
  <c r="AH23" i="4"/>
  <c r="M320" i="24"/>
  <c r="M323" i="24" s="1"/>
  <c r="H61" i="63"/>
  <c r="H64" i="12"/>
  <c r="H66" i="12" s="1"/>
  <c r="F180" i="12"/>
  <c r="H49" i="17"/>
  <c r="T54" i="82"/>
  <c r="M195" i="24"/>
  <c r="O154" i="12" s="1"/>
  <c r="O155" i="12" s="1"/>
  <c r="H37" i="63"/>
  <c r="R140" i="12"/>
  <c r="S71" i="11"/>
  <c r="H174" i="12"/>
  <c r="I196" i="12"/>
  <c r="U320" i="24"/>
  <c r="U323" i="24" s="1"/>
  <c r="Q320" i="24"/>
  <c r="Q323" i="24" s="1"/>
  <c r="P29" i="24"/>
  <c r="P35" i="24" s="1"/>
  <c r="I27" i="38"/>
  <c r="H29" i="38"/>
  <c r="G30" i="63" s="1"/>
  <c r="H5" i="38"/>
  <c r="H3" i="38" s="1"/>
  <c r="G142" i="12"/>
  <c r="T131" i="12"/>
  <c r="E142" i="12"/>
  <c r="H83" i="11"/>
  <c r="M29" i="24"/>
  <c r="M35" i="24" s="1"/>
  <c r="Z46" i="82"/>
  <c r="Z48" i="82" s="1"/>
  <c r="Y46" i="82"/>
  <c r="Y48" i="82" s="1"/>
  <c r="E127" i="24"/>
  <c r="E144" i="12" s="1"/>
  <c r="E50" i="63" s="1"/>
  <c r="U134" i="12"/>
  <c r="K96" i="12"/>
  <c r="N231" i="10"/>
  <c r="O13" i="10"/>
  <c r="P7" i="4" s="1"/>
  <c r="AP7" i="4" s="1"/>
  <c r="Q5" i="66"/>
  <c r="U127" i="24"/>
  <c r="S144" i="12" s="1"/>
  <c r="K18" i="38"/>
  <c r="K4" i="38"/>
  <c r="O283" i="24"/>
  <c r="O285" i="24" s="1"/>
  <c r="N239" i="11"/>
  <c r="K27" i="38"/>
  <c r="K31" i="38" s="1"/>
  <c r="L31" i="38" s="1"/>
  <c r="M31" i="38" s="1"/>
  <c r="N31" i="38" s="1"/>
  <c r="O31" i="38" s="1"/>
  <c r="K5" i="38"/>
  <c r="K28" i="38" s="1"/>
  <c r="D52" i="24"/>
  <c r="I354" i="24"/>
  <c r="I356" i="24" s="1"/>
  <c r="I220" i="12" s="1"/>
  <c r="I283" i="24"/>
  <c r="I285" i="24" s="1"/>
  <c r="S29" i="24"/>
  <c r="S35" i="24" s="1"/>
  <c r="N68" i="11"/>
  <c r="W184" i="24"/>
  <c r="W207" i="24" s="1"/>
  <c r="I74" i="66"/>
  <c r="I105" i="66"/>
  <c r="I22" i="38"/>
  <c r="G184" i="24"/>
  <c r="G150" i="12" s="1"/>
  <c r="G15" i="63"/>
  <c r="S163" i="12"/>
  <c r="S165" i="12" s="1"/>
  <c r="E184" i="24"/>
  <c r="E150" i="12" s="1"/>
  <c r="E151" i="12" s="1"/>
  <c r="I68" i="12"/>
  <c r="I81" i="66"/>
  <c r="I77" i="66"/>
  <c r="I111" i="66"/>
  <c r="G24" i="4"/>
  <c r="BV19" i="10"/>
  <c r="BW11" i="10"/>
  <c r="I12" i="11"/>
  <c r="I156" i="10"/>
  <c r="N659" i="10"/>
  <c r="N666" i="10" s="1"/>
  <c r="BS381" i="10"/>
  <c r="BS19" i="10"/>
  <c r="G13" i="66"/>
  <c r="G57" i="66" s="1"/>
  <c r="AO79" i="66"/>
  <c r="V53" i="10"/>
  <c r="O38" i="12" s="1"/>
  <c r="J58" i="66"/>
  <c r="AE384" i="10"/>
  <c r="AE395" i="10" s="1"/>
  <c r="BK99" i="10"/>
  <c r="I764" i="10"/>
  <c r="AE76" i="66"/>
  <c r="BS99" i="10"/>
  <c r="AI79" i="66"/>
  <c r="M249" i="11"/>
  <c r="M246" i="11"/>
  <c r="M255" i="11"/>
  <c r="M241" i="11"/>
  <c r="R84" i="11"/>
  <c r="U129" i="11"/>
  <c r="R271" i="11"/>
  <c r="V236" i="11"/>
  <c r="BG9" i="10"/>
  <c r="BG260" i="10" s="1"/>
  <c r="BG16" i="10" s="1"/>
  <c r="AI8" i="66" s="1"/>
  <c r="T292" i="11"/>
  <c r="AU79" i="66"/>
  <c r="V84" i="11"/>
  <c r="AD84" i="11" s="1"/>
  <c r="AG25" i="18"/>
  <c r="V176" i="11"/>
  <c r="BT53" i="10"/>
  <c r="AV76" i="66" s="1"/>
  <c r="U84" i="11"/>
  <c r="AC84" i="11" s="1"/>
  <c r="J84" i="11"/>
  <c r="U13" i="11"/>
  <c r="R226" i="11"/>
  <c r="S226" i="11" s="1"/>
  <c r="S224" i="11" s="1"/>
  <c r="M271" i="11"/>
  <c r="Q285" i="11" s="1"/>
  <c r="N237" i="11"/>
  <c r="S51" i="11"/>
  <c r="N13" i="11"/>
  <c r="U12" i="11"/>
  <c r="BT11" i="10"/>
  <c r="N234" i="11"/>
  <c r="O71" i="11"/>
  <c r="AD396" i="10"/>
  <c r="L285" i="11"/>
  <c r="V237" i="11"/>
  <c r="O237" i="11"/>
  <c r="AQ124" i="11"/>
  <c r="AQ127" i="11" s="1"/>
  <c r="BT74" i="10"/>
  <c r="V8" i="11"/>
  <c r="V235" i="11"/>
  <c r="I21" i="11"/>
  <c r="S219" i="11"/>
  <c r="W236" i="11" s="1"/>
  <c r="AQ76" i="66"/>
  <c r="BT62" i="10"/>
  <c r="AV79" i="66" s="1"/>
  <c r="P72" i="11"/>
  <c r="U55" i="11"/>
  <c r="BS58" i="10"/>
  <c r="U254" i="11"/>
  <c r="N243" i="11"/>
  <c r="S84" i="11"/>
  <c r="W222" i="11"/>
  <c r="W239" i="11" s="1"/>
  <c r="F108" i="66"/>
  <c r="J43" i="66"/>
  <c r="E109" i="66"/>
  <c r="H95" i="66"/>
  <c r="F109" i="66"/>
  <c r="G92" i="66"/>
  <c r="E121" i="66"/>
  <c r="E108" i="66"/>
  <c r="Q64" i="66"/>
  <c r="I576" i="10"/>
  <c r="I640" i="10"/>
  <c r="Y58" i="10"/>
  <c r="R46" i="12" s="1"/>
  <c r="K43" i="10"/>
  <c r="AE383" i="10"/>
  <c r="AE394" i="10" s="1"/>
  <c r="BS178" i="10"/>
  <c r="J90" i="10"/>
  <c r="J84" i="10" s="1"/>
  <c r="L90" i="10"/>
  <c r="L84" i="10" s="1"/>
  <c r="AQ71" i="66"/>
  <c r="H155" i="10"/>
  <c r="K605" i="10"/>
  <c r="BL99" i="10"/>
  <c r="BI74" i="10"/>
  <c r="BM99" i="10" s="1"/>
  <c r="K20" i="10"/>
  <c r="BI381" i="10"/>
  <c r="BI383" i="10" s="1"/>
  <c r="F6" i="66"/>
  <c r="G42" i="66" s="1"/>
  <c r="J15" i="66"/>
  <c r="J50" i="66" s="1"/>
  <c r="J772" i="10"/>
  <c r="J31" i="10"/>
  <c r="K13" i="4" s="1"/>
  <c r="K54" i="4" s="1"/>
  <c r="H764" i="10"/>
  <c r="L43" i="4"/>
  <c r="N43" i="10"/>
  <c r="W136" i="11"/>
  <c r="F622" i="10"/>
  <c r="L13" i="4"/>
  <c r="L54" i="4" s="1"/>
  <c r="O235" i="11"/>
  <c r="L38" i="10"/>
  <c r="I12" i="38"/>
  <c r="AA19" i="10"/>
  <c r="K735" i="10"/>
  <c r="S10" i="18"/>
  <c r="L11" i="83"/>
  <c r="BH99" i="10"/>
  <c r="G764" i="10"/>
  <c r="AB50" i="10"/>
  <c r="AD10" i="10"/>
  <c r="K289" i="10"/>
  <c r="L290" i="10" s="1"/>
  <c r="M291" i="10" s="1"/>
  <c r="H93" i="10"/>
  <c r="AD604" i="10"/>
  <c r="AB575" i="10"/>
  <c r="F24" i="66"/>
  <c r="BI58" i="10"/>
  <c r="AA99" i="10"/>
  <c r="AC97" i="10" s="1"/>
  <c r="Z19" i="10"/>
  <c r="I713" i="10"/>
  <c r="H676" i="10"/>
  <c r="J178" i="10"/>
  <c r="AR69" i="66"/>
  <c r="L272" i="10"/>
  <c r="X19" i="10"/>
  <c r="I93" i="10"/>
  <c r="X20" i="10"/>
  <c r="I608" i="10"/>
  <c r="J261" i="10"/>
  <c r="J27" i="10" s="1"/>
  <c r="J24" i="10" s="1"/>
  <c r="J30" i="10" s="1"/>
  <c r="K12" i="4" s="1"/>
  <c r="K53" i="4" s="1"/>
  <c r="AC178" i="10"/>
  <c r="J111" i="10"/>
  <c r="J149" i="10" s="1"/>
  <c r="AB603" i="10"/>
  <c r="K579" i="10"/>
  <c r="W237" i="11"/>
  <c r="M43" i="4"/>
  <c r="X633" i="10"/>
  <c r="J348" i="10"/>
  <c r="K349" i="10" s="1"/>
  <c r="AD601" i="10"/>
  <c r="AB605" i="10"/>
  <c r="K639" i="10"/>
  <c r="J667" i="10"/>
  <c r="L735" i="10"/>
  <c r="K603" i="10"/>
  <c r="K50" i="10"/>
  <c r="I465" i="10"/>
  <c r="AB602" i="10"/>
  <c r="W23" i="12"/>
  <c r="F48" i="10"/>
  <c r="K111" i="10"/>
  <c r="G41" i="66"/>
  <c r="BR35" i="10"/>
  <c r="I255" i="10"/>
  <c r="I26" i="10"/>
  <c r="I32" i="10" s="1"/>
  <c r="I43" i="10" s="1"/>
  <c r="AD578" i="10"/>
  <c r="K97" i="10"/>
  <c r="L97" i="10" s="1"/>
  <c r="M97" i="10" s="1"/>
  <c r="I622" i="10"/>
  <c r="K103" i="10"/>
  <c r="M42" i="4"/>
  <c r="I633" i="10"/>
  <c r="I641" i="10" s="1"/>
  <c r="G154" i="10"/>
  <c r="AD48" i="10"/>
  <c r="K90" i="10"/>
  <c r="K84" i="10" s="1"/>
  <c r="J22" i="10"/>
  <c r="K602" i="10"/>
  <c r="H21" i="10"/>
  <c r="BK19" i="10"/>
  <c r="I22" i="10"/>
  <c r="H42" i="66"/>
  <c r="K640" i="10"/>
  <c r="W177" i="10"/>
  <c r="Y178" i="10" s="1"/>
  <c r="AD580" i="10"/>
  <c r="BF260" i="10"/>
  <c r="BF16" i="10" s="1"/>
  <c r="AH8" i="66" s="1"/>
  <c r="BL12" i="10"/>
  <c r="AN6" i="66" s="1"/>
  <c r="AN71" i="66"/>
  <c r="V30" i="18"/>
  <c r="M90" i="10"/>
  <c r="M84" i="10" s="1"/>
  <c r="J676" i="10"/>
  <c r="AD573" i="10"/>
  <c r="X64" i="10"/>
  <c r="Q54" i="12" s="1"/>
  <c r="U23" i="12"/>
  <c r="K578" i="10"/>
  <c r="J29" i="10"/>
  <c r="J40" i="10" s="1"/>
  <c r="F24" i="4"/>
  <c r="J112" i="12"/>
  <c r="K112" i="12" s="1"/>
  <c r="L112" i="12" s="1"/>
  <c r="M112" i="12" s="1"/>
  <c r="F47" i="63"/>
  <c r="E195" i="24"/>
  <c r="E154" i="12" s="1"/>
  <c r="AB23" i="4"/>
  <c r="N159" i="24"/>
  <c r="T29" i="24"/>
  <c r="T35" i="24" s="1"/>
  <c r="G109" i="66"/>
  <c r="H163" i="12"/>
  <c r="H84" i="17" s="1"/>
  <c r="P143" i="12"/>
  <c r="AF23" i="4"/>
  <c r="AJ23" i="4"/>
  <c r="L24" i="4"/>
  <c r="AL24" i="4" s="1"/>
  <c r="H97" i="12"/>
  <c r="H19" i="18"/>
  <c r="E96" i="66"/>
  <c r="S134" i="12"/>
  <c r="Y320" i="24"/>
  <c r="Y323" i="24" s="1"/>
  <c r="AA159" i="24"/>
  <c r="V159" i="24"/>
  <c r="W163" i="12"/>
  <c r="W165" i="12" s="1"/>
  <c r="V29" i="24"/>
  <c r="V35" i="24" s="1"/>
  <c r="G176" i="12"/>
  <c r="L106" i="83"/>
  <c r="AH34" i="4"/>
  <c r="P184" i="24"/>
  <c r="P207" i="24" s="1"/>
  <c r="AC29" i="24"/>
  <c r="AC35" i="24" s="1"/>
  <c r="AF19" i="18"/>
  <c r="X19" i="18"/>
  <c r="Y29" i="24"/>
  <c r="Y35" i="24" s="1"/>
  <c r="X159" i="24"/>
  <c r="C34" i="12"/>
  <c r="B73" i="66" s="1"/>
  <c r="C33" i="24"/>
  <c r="U195" i="24"/>
  <c r="S154" i="12" s="1"/>
  <c r="S153" i="12"/>
  <c r="I143" i="12"/>
  <c r="I127" i="24"/>
  <c r="I144" i="12" s="1"/>
  <c r="E56" i="17"/>
  <c r="J104" i="83"/>
  <c r="J106" i="83" s="1"/>
  <c r="K104" i="83"/>
  <c r="K106" i="83" s="1"/>
  <c r="E79" i="12"/>
  <c r="H9" i="10"/>
  <c r="F14" i="12"/>
  <c r="E13" i="17"/>
  <c r="F56" i="17"/>
  <c r="E78" i="12"/>
  <c r="D64" i="66"/>
  <c r="D108" i="66" s="1"/>
  <c r="E80" i="17"/>
  <c r="E83" i="12"/>
  <c r="E14" i="12"/>
  <c r="H4" i="4"/>
  <c r="H52" i="4" s="1"/>
  <c r="E82" i="17"/>
  <c r="E84" i="12"/>
  <c r="E82" i="12"/>
  <c r="J4" i="4"/>
  <c r="K41" i="4" s="1"/>
  <c r="K564" i="10"/>
  <c r="K571" i="10" s="1"/>
  <c r="K622" i="10"/>
  <c r="E174" i="12"/>
  <c r="E37" i="63"/>
  <c r="AC9" i="10"/>
  <c r="AC574" i="10" s="1"/>
  <c r="L640" i="10"/>
  <c r="AF19" i="4"/>
  <c r="AB19" i="4"/>
  <c r="D13" i="17"/>
  <c r="D56" i="17"/>
  <c r="D86" i="17"/>
  <c r="D10" i="17"/>
  <c r="D78" i="12"/>
  <c r="D79" i="12"/>
  <c r="D83" i="12"/>
  <c r="G4" i="4"/>
  <c r="I104" i="83"/>
  <c r="I106" i="83" s="1"/>
  <c r="C64" i="66"/>
  <c r="D82" i="12"/>
  <c r="C208" i="12"/>
  <c r="C320" i="24"/>
  <c r="C323" i="24" s="1"/>
  <c r="C211" i="12" s="1"/>
  <c r="C324" i="24" s="1"/>
  <c r="G121" i="66"/>
  <c r="G108" i="66"/>
  <c r="C43" i="17"/>
  <c r="G44" i="17"/>
  <c r="F73" i="66"/>
  <c r="X73" i="66" s="1"/>
  <c r="AF18" i="18"/>
  <c r="R33" i="12"/>
  <c r="G82" i="17"/>
  <c r="W18" i="18"/>
  <c r="X18" i="18"/>
  <c r="G51" i="17"/>
  <c r="F174" i="12"/>
  <c r="Q13" i="11"/>
  <c r="F52" i="24"/>
  <c r="P131" i="12"/>
  <c r="D14" i="12"/>
  <c r="AI86" i="66"/>
  <c r="F72" i="11"/>
  <c r="F71" i="11"/>
  <c r="AE18" i="18"/>
  <c r="G216" i="12"/>
  <c r="G354" i="24"/>
  <c r="G356" i="24" s="1"/>
  <c r="G220" i="12" s="1"/>
  <c r="P159" i="24"/>
  <c r="BR9" i="10"/>
  <c r="AT9" i="66" s="1"/>
  <c r="T45" i="11"/>
  <c r="E44" i="17"/>
  <c r="BT60" i="10"/>
  <c r="S320" i="24"/>
  <c r="S323" i="24" s="1"/>
  <c r="G47" i="63"/>
  <c r="BT55" i="10"/>
  <c r="T94" i="11"/>
  <c r="L184" i="24"/>
  <c r="L207" i="24" s="1"/>
  <c r="O354" i="24"/>
  <c r="O356" i="24" s="1"/>
  <c r="G49" i="17"/>
  <c r="D44" i="17"/>
  <c r="AC31" i="4"/>
  <c r="AJ31" i="4"/>
  <c r="AF31" i="4"/>
  <c r="AB31" i="4"/>
  <c r="J19" i="18"/>
  <c r="G84" i="11"/>
  <c r="S283" i="24"/>
  <c r="S285" i="24" s="1"/>
  <c r="O29" i="24"/>
  <c r="O35" i="24" s="1"/>
  <c r="O13" i="11"/>
  <c r="O21" i="11"/>
  <c r="O57" i="11" s="1"/>
  <c r="O12" i="11"/>
  <c r="AU80" i="66"/>
  <c r="AH30" i="18"/>
  <c r="AB184" i="24"/>
  <c r="AB207" i="24" s="1"/>
  <c r="I33" i="24"/>
  <c r="K21" i="11"/>
  <c r="W159" i="24"/>
  <c r="W148" i="12"/>
  <c r="Q70" i="12"/>
  <c r="H121" i="66"/>
  <c r="H92" i="66"/>
  <c r="I51" i="17"/>
  <c r="C47" i="63"/>
  <c r="AH31" i="4"/>
  <c r="AD31" i="4"/>
  <c r="AK31" i="4"/>
  <c r="H18" i="18"/>
  <c r="F15" i="4"/>
  <c r="AD15" i="18"/>
  <c r="X60" i="10"/>
  <c r="Q49" i="12" s="1"/>
  <c r="BI60" i="10"/>
  <c r="F168" i="12"/>
  <c r="AH10" i="4"/>
  <c r="AK10" i="4"/>
  <c r="D80" i="17"/>
  <c r="D82" i="17"/>
  <c r="D320" i="24"/>
  <c r="D323" i="24" s="1"/>
  <c r="D211" i="12" s="1"/>
  <c r="M52" i="4"/>
  <c r="AM52" i="4" s="1"/>
  <c r="K16" i="4"/>
  <c r="M20" i="4"/>
  <c r="AM20" i="4" s="1"/>
  <c r="B109" i="66"/>
  <c r="J79" i="12"/>
  <c r="K79" i="12" s="1"/>
  <c r="L79" i="12" s="1"/>
  <c r="M79" i="12" s="1"/>
  <c r="F37" i="63"/>
  <c r="G9" i="10"/>
  <c r="G574" i="10" s="1"/>
  <c r="AD18" i="10"/>
  <c r="AD602" i="10"/>
  <c r="AD605" i="10"/>
  <c r="AD603" i="10"/>
  <c r="AD575" i="10"/>
  <c r="F623" i="10"/>
  <c r="B9" i="66"/>
  <c r="B27" i="66" s="1"/>
  <c r="V159" i="12"/>
  <c r="I163" i="12"/>
  <c r="I165" i="12" s="1"/>
  <c r="K19" i="4"/>
  <c r="R147" i="12"/>
  <c r="H134" i="12"/>
  <c r="AD579" i="10"/>
  <c r="AD50" i="10"/>
  <c r="K84" i="11"/>
  <c r="H72" i="11"/>
  <c r="G127" i="24"/>
  <c r="G144" i="12" s="1"/>
  <c r="AD46" i="10"/>
  <c r="H354" i="24"/>
  <c r="H356" i="24" s="1"/>
  <c r="H220" i="12" s="1"/>
  <c r="C52" i="24"/>
  <c r="C81" i="12"/>
  <c r="M41" i="4"/>
  <c r="U184" i="24"/>
  <c r="S150" i="12" s="1"/>
  <c r="S148" i="12"/>
  <c r="AK23" i="4"/>
  <c r="AD23" i="4"/>
  <c r="B67" i="66"/>
  <c r="B110" i="66" s="1"/>
  <c r="I639" i="10"/>
  <c r="I50" i="10"/>
  <c r="I642" i="10"/>
  <c r="G98" i="12"/>
  <c r="AB260" i="10"/>
  <c r="AB16" i="10" s="1"/>
  <c r="AB17" i="10" s="1"/>
  <c r="AB25" i="18"/>
  <c r="X184" i="24"/>
  <c r="X207" i="24" s="1"/>
  <c r="AC127" i="24"/>
  <c r="W144" i="12" s="1"/>
  <c r="F92" i="66"/>
  <c r="N320" i="24"/>
  <c r="N323" i="24" s="1"/>
  <c r="Y283" i="24"/>
  <c r="Y285" i="24" s="1"/>
  <c r="AB29" i="24"/>
  <c r="AB35" i="24" s="1"/>
  <c r="F98" i="12"/>
  <c r="E29" i="24"/>
  <c r="E35" i="24" s="1"/>
  <c r="Z19" i="18"/>
  <c r="AD19" i="18"/>
  <c r="R34" i="12"/>
  <c r="J16" i="4"/>
  <c r="AF16" i="4" s="1"/>
  <c r="K623" i="10"/>
  <c r="J678" i="10"/>
  <c r="AD606" i="10"/>
  <c r="AB604" i="10"/>
  <c r="AB574" i="10"/>
  <c r="K575" i="10"/>
  <c r="O68" i="11"/>
  <c r="O72" i="11"/>
  <c r="R184" i="24"/>
  <c r="R207" i="24" s="1"/>
  <c r="E320" i="24"/>
  <c r="E323" i="24" s="1"/>
  <c r="E211" i="12" s="1"/>
  <c r="C184" i="24"/>
  <c r="C150" i="12" s="1"/>
  <c r="F184" i="24"/>
  <c r="J622" i="10"/>
  <c r="M106" i="83"/>
  <c r="C29" i="24"/>
  <c r="C35" i="24" s="1"/>
  <c r="H109" i="66"/>
  <c r="AC53" i="10"/>
  <c r="V38" i="12" s="1"/>
  <c r="AB19" i="18"/>
  <c r="W19" i="18"/>
  <c r="D285" i="24"/>
  <c r="D204" i="12" s="1"/>
  <c r="D226" i="12" s="1"/>
  <c r="D227" i="12" s="1"/>
  <c r="L320" i="24"/>
  <c r="L323" i="24" s="1"/>
  <c r="S234" i="11"/>
  <c r="O234" i="11"/>
  <c r="I248" i="11"/>
  <c r="O266" i="11"/>
  <c r="I247" i="11"/>
  <c r="M233" i="11"/>
  <c r="N55" i="11"/>
  <c r="BT56" i="10"/>
  <c r="M250" i="11"/>
  <c r="BE53" i="10"/>
  <c r="T24" i="18" s="1"/>
  <c r="N264" i="11"/>
  <c r="O264" i="11" s="1"/>
  <c r="M248" i="11"/>
  <c r="M251" i="11"/>
  <c r="V183" i="11"/>
  <c r="K219" i="11"/>
  <c r="O236" i="11" s="1"/>
  <c r="M254" i="11"/>
  <c r="T297" i="11"/>
  <c r="M253" i="11"/>
  <c r="S55" i="11"/>
  <c r="T47" i="11"/>
  <c r="T199" i="11" s="1"/>
  <c r="H12" i="11"/>
  <c r="BQ62" i="10"/>
  <c r="AF28" i="18" s="1"/>
  <c r="AA177" i="11"/>
  <c r="AA195" i="11" s="1"/>
  <c r="J53" i="11"/>
  <c r="AF76" i="66"/>
  <c r="K68" i="11"/>
  <c r="AA14" i="18"/>
  <c r="AN69" i="66"/>
  <c r="N94" i="11"/>
  <c r="AE386" i="10"/>
  <c r="AE397" i="10" s="1"/>
  <c r="I256" i="11"/>
  <c r="S260" i="11"/>
  <c r="U251" i="11"/>
  <c r="I249" i="11"/>
  <c r="S68" i="11"/>
  <c r="AA58" i="10"/>
  <c r="T46" i="12" s="1"/>
  <c r="T55" i="11"/>
  <c r="BN48" i="10"/>
  <c r="H21" i="11"/>
  <c r="H57" i="11" s="1"/>
  <c r="BF50" i="10"/>
  <c r="AI30" i="18"/>
  <c r="M256" i="11"/>
  <c r="I255" i="11"/>
  <c r="AE24" i="18"/>
  <c r="AR76" i="66"/>
  <c r="M247" i="11"/>
  <c r="BH62" i="10"/>
  <c r="W28" i="18" s="1"/>
  <c r="Z233" i="11"/>
  <c r="V101" i="11"/>
  <c r="M252" i="11"/>
  <c r="BF29" i="10"/>
  <c r="BF48" i="10"/>
  <c r="M260" i="11"/>
  <c r="V234" i="11"/>
  <c r="S188" i="11"/>
  <c r="T68" i="11"/>
  <c r="T44" i="11"/>
  <c r="V53" i="11"/>
  <c r="F84" i="11"/>
  <c r="Q71" i="11"/>
  <c r="H663" i="10"/>
  <c r="I663" i="10"/>
  <c r="M37" i="10"/>
  <c r="M13" i="4"/>
  <c r="N46" i="4" s="1"/>
  <c r="E10" i="18"/>
  <c r="G678" i="10"/>
  <c r="G676" i="10"/>
  <c r="L660" i="10"/>
  <c r="L661" i="10" s="1"/>
  <c r="I643" i="10"/>
  <c r="I604" i="10"/>
  <c r="I602" i="10"/>
  <c r="AF24" i="18"/>
  <c r="AS76" i="66"/>
  <c r="I623" i="10"/>
  <c r="H32" i="10"/>
  <c r="I21" i="10"/>
  <c r="H147" i="10"/>
  <c r="H154" i="10" s="1"/>
  <c r="H80" i="10"/>
  <c r="H144" i="10" s="1"/>
  <c r="K315" i="10"/>
  <c r="L316" i="10" s="1"/>
  <c r="K323" i="10"/>
  <c r="K325" i="10" s="1"/>
  <c r="L326" i="10" s="1"/>
  <c r="I271" i="10"/>
  <c r="W478" i="10"/>
  <c r="I335" i="10"/>
  <c r="I336" i="10" s="1"/>
  <c r="L603" i="10"/>
  <c r="L641" i="10"/>
  <c r="L46" i="10"/>
  <c r="W30" i="18"/>
  <c r="AJ80" i="66"/>
  <c r="H179" i="10"/>
  <c r="H12" i="10"/>
  <c r="H183" i="10"/>
  <c r="H178" i="10"/>
  <c r="I578" i="10"/>
  <c r="J30" i="18"/>
  <c r="AC64" i="10"/>
  <c r="V54" i="12" s="1"/>
  <c r="H630" i="10"/>
  <c r="H571" i="10"/>
  <c r="AJ5" i="66"/>
  <c r="BH19" i="10"/>
  <c r="M78" i="10"/>
  <c r="J10" i="18"/>
  <c r="L678" i="10"/>
  <c r="L667" i="10"/>
  <c r="AC23" i="10"/>
  <c r="AB65" i="66" s="1"/>
  <c r="L680" i="10"/>
  <c r="J347" i="10"/>
  <c r="L314" i="10"/>
  <c r="H30" i="18"/>
  <c r="BI64" i="10"/>
  <c r="AK80" i="66" s="1"/>
  <c r="J8" i="18"/>
  <c r="J51" i="18" s="1"/>
  <c r="L643" i="10"/>
  <c r="L623" i="10"/>
  <c r="L590" i="10"/>
  <c r="L642" i="10"/>
  <c r="H9" i="66"/>
  <c r="L575" i="10"/>
  <c r="L574" i="10"/>
  <c r="I25" i="83"/>
  <c r="P288" i="10"/>
  <c r="K317" i="10"/>
  <c r="BI53" i="10"/>
  <c r="AK76" i="66" s="1"/>
  <c r="G8" i="18"/>
  <c r="I625" i="10"/>
  <c r="J626" i="10" s="1"/>
  <c r="I575" i="10"/>
  <c r="J18" i="10"/>
  <c r="I577" i="10"/>
  <c r="J10" i="10"/>
  <c r="I603" i="10"/>
  <c r="I605" i="10"/>
  <c r="E9" i="66"/>
  <c r="F45" i="66" s="1"/>
  <c r="I574" i="10"/>
  <c r="I601" i="10"/>
  <c r="L16" i="10"/>
  <c r="I74" i="83" s="1"/>
  <c r="I83" i="83" s="1"/>
  <c r="F10" i="18"/>
  <c r="H660" i="10"/>
  <c r="H667" i="10"/>
  <c r="W58" i="10"/>
  <c r="P46" i="12" s="1"/>
  <c r="O46" i="12"/>
  <c r="G12" i="10"/>
  <c r="G179" i="10"/>
  <c r="G216" i="10"/>
  <c r="H217" i="10" s="1"/>
  <c r="W25" i="18"/>
  <c r="W64" i="10"/>
  <c r="P54" i="12" s="1"/>
  <c r="M142" i="10"/>
  <c r="N142" i="10" s="1"/>
  <c r="O142" i="10" s="1"/>
  <c r="P142" i="10" s="1"/>
  <c r="K29" i="10"/>
  <c r="K604" i="10"/>
  <c r="K46" i="10"/>
  <c r="Z5" i="66"/>
  <c r="G12" i="38"/>
  <c r="Y53" i="10"/>
  <c r="R38" i="12" s="1"/>
  <c r="P353" i="10"/>
  <c r="M11" i="83"/>
  <c r="J680" i="10"/>
  <c r="AB578" i="10"/>
  <c r="K16" i="10"/>
  <c r="K17" i="10" s="1"/>
  <c r="K643" i="10"/>
  <c r="AJ65" i="66"/>
  <c r="K10" i="10"/>
  <c r="AA12" i="18"/>
  <c r="U12" i="18"/>
  <c r="U49" i="18" s="1"/>
  <c r="G10" i="38"/>
  <c r="BL19" i="10"/>
  <c r="AN5" i="66"/>
  <c r="K642" i="10"/>
  <c r="K601" i="10"/>
  <c r="K625" i="10"/>
  <c r="K626" i="10" s="1"/>
  <c r="M38" i="10"/>
  <c r="L43" i="10"/>
  <c r="K641" i="10"/>
  <c r="I50" i="66"/>
  <c r="J313" i="10"/>
  <c r="J317" i="10" s="1"/>
  <c r="H255" i="10"/>
  <c r="J660" i="10"/>
  <c r="K661" i="10" s="1"/>
  <c r="AD574" i="10"/>
  <c r="J17" i="10"/>
  <c r="AB46" i="10"/>
  <c r="AB29" i="10"/>
  <c r="BP29" i="10" s="1"/>
  <c r="K18" i="10"/>
  <c r="K574" i="10"/>
  <c r="BE55" i="10"/>
  <c r="BE59" i="10"/>
  <c r="G9" i="66"/>
  <c r="G25" i="66" s="1"/>
  <c r="I10" i="38"/>
  <c r="K48" i="10"/>
  <c r="I12" i="10"/>
  <c r="I216" i="10"/>
  <c r="I178" i="10"/>
  <c r="I183" i="10"/>
  <c r="W128" i="11"/>
  <c r="W171" i="11" s="1"/>
  <c r="W126" i="11"/>
  <c r="W179" i="11"/>
  <c r="K197" i="12"/>
  <c r="J89" i="12"/>
  <c r="J255" i="12" s="1"/>
  <c r="J257" i="12" s="1"/>
  <c r="J57" i="12"/>
  <c r="I6" i="16" s="1"/>
  <c r="J88" i="12"/>
  <c r="N205" i="10"/>
  <c r="AA136" i="11" s="1"/>
  <c r="S48" i="12"/>
  <c r="AA59" i="10"/>
  <c r="T48" i="12" s="1"/>
  <c r="E180" i="12"/>
  <c r="F100" i="12"/>
  <c r="F102" i="12" s="1"/>
  <c r="E168" i="12"/>
  <c r="AF71" i="66"/>
  <c r="AB30" i="18"/>
  <c r="AO80" i="66"/>
  <c r="AA64" i="66"/>
  <c r="AA66" i="66" s="1"/>
  <c r="AA104" i="66" s="1"/>
  <c r="AA9" i="66"/>
  <c r="U13" i="12"/>
  <c r="U83" i="12" s="1"/>
  <c r="V18" i="18"/>
  <c r="AB48" i="10"/>
  <c r="I47" i="11"/>
  <c r="I49" i="11" s="1"/>
  <c r="AE59" i="10"/>
  <c r="X48" i="12" s="1"/>
  <c r="X47" i="12" s="1"/>
  <c r="I64" i="12"/>
  <c r="I66" i="12" s="1"/>
  <c r="U18" i="12"/>
  <c r="N28" i="4"/>
  <c r="AN28" i="4" s="1"/>
  <c r="L622" i="10"/>
  <c r="L29" i="10"/>
  <c r="H18" i="66" s="1"/>
  <c r="L602" i="10"/>
  <c r="L625" i="10"/>
  <c r="H47" i="11"/>
  <c r="H49" i="11" s="1"/>
  <c r="N53" i="11"/>
  <c r="I68" i="11"/>
  <c r="Q21" i="11"/>
  <c r="I45" i="11"/>
  <c r="AU69" i="66"/>
  <c r="I320" i="24"/>
  <c r="I323" i="24" s="1"/>
  <c r="I211" i="12" s="1"/>
  <c r="AB159" i="24"/>
  <c r="G97" i="12"/>
  <c r="H98" i="12"/>
  <c r="AJ19" i="4"/>
  <c r="H53" i="11"/>
  <c r="G33" i="24"/>
  <c r="F71" i="66"/>
  <c r="F85" i="17"/>
  <c r="D163" i="12"/>
  <c r="D84" i="17" s="1"/>
  <c r="F49" i="17"/>
  <c r="AB18" i="18"/>
  <c r="Z18" i="18"/>
  <c r="M127" i="24"/>
  <c r="O144" i="12" s="1"/>
  <c r="H51" i="17"/>
  <c r="J12" i="38"/>
  <c r="I41" i="63"/>
  <c r="H108" i="66"/>
  <c r="F27" i="12"/>
  <c r="G660" i="10"/>
  <c r="L578" i="10"/>
  <c r="L604" i="10"/>
  <c r="BI54" i="10"/>
  <c r="I44" i="11"/>
  <c r="Q84" i="11"/>
  <c r="N44" i="11"/>
  <c r="AM80" i="66"/>
  <c r="I13" i="11"/>
  <c r="F354" i="24"/>
  <c r="F356" i="24" s="1"/>
  <c r="F220" i="12" s="1"/>
  <c r="N29" i="24"/>
  <c r="N35" i="24" s="1"/>
  <c r="P147" i="12"/>
  <c r="H15" i="18"/>
  <c r="E61" i="63"/>
  <c r="M24" i="4"/>
  <c r="AM24" i="4" s="1"/>
  <c r="AC27" i="4"/>
  <c r="AF34" i="4"/>
  <c r="O184" i="24"/>
  <c r="O207" i="24" s="1"/>
  <c r="AD18" i="18"/>
  <c r="U18" i="18"/>
  <c r="G196" i="12"/>
  <c r="AB13" i="18"/>
  <c r="T53" i="11"/>
  <c r="S15" i="18"/>
  <c r="K47" i="12"/>
  <c r="O28" i="4" s="1"/>
  <c r="AO28" i="4" s="1"/>
  <c r="C174" i="12"/>
  <c r="E97" i="12"/>
  <c r="L639" i="10"/>
  <c r="G667" i="10"/>
  <c r="L10" i="10"/>
  <c r="L579" i="10"/>
  <c r="L605" i="10"/>
  <c r="BL9" i="10"/>
  <c r="BL29" i="10" s="1"/>
  <c r="AH64" i="66"/>
  <c r="Z64" i="10"/>
  <c r="S54" i="12" s="1"/>
  <c r="O159" i="24"/>
  <c r="G29" i="24"/>
  <c r="G35" i="24" s="1"/>
  <c r="AE86" i="66"/>
  <c r="AJ27" i="4"/>
  <c r="G22" i="38"/>
  <c r="AC19" i="4"/>
  <c r="N184" i="24"/>
  <c r="N207" i="24" s="1"/>
  <c r="Q29" i="24"/>
  <c r="Q35" i="24" s="1"/>
  <c r="BE58" i="10"/>
  <c r="AA29" i="24"/>
  <c r="AA35" i="24" s="1"/>
  <c r="Q163" i="12"/>
  <c r="Q165" i="12" s="1"/>
  <c r="AA13" i="18"/>
  <c r="AH9" i="66"/>
  <c r="U13" i="18"/>
  <c r="Y18" i="18"/>
  <c r="AA18" i="18"/>
  <c r="F50" i="10"/>
  <c r="AE65" i="66"/>
  <c r="R10" i="18"/>
  <c r="R55" i="11"/>
  <c r="S29" i="12"/>
  <c r="AA55" i="10"/>
  <c r="T29" i="12" s="1"/>
  <c r="AG65" i="66"/>
  <c r="T10" i="18"/>
  <c r="AQ79" i="66"/>
  <c r="AD28" i="18"/>
  <c r="AM76" i="66"/>
  <c r="Z24" i="18"/>
  <c r="K55" i="11"/>
  <c r="D49" i="17"/>
  <c r="E51" i="17"/>
  <c r="D34" i="12"/>
  <c r="D33" i="24"/>
  <c r="G30" i="18"/>
  <c r="BE64" i="10"/>
  <c r="I29" i="38"/>
  <c r="H30" i="63" s="1"/>
  <c r="I5" i="38"/>
  <c r="J27" i="38"/>
  <c r="K65" i="4"/>
  <c r="AH4" i="4"/>
  <c r="H19" i="38"/>
  <c r="G29" i="63"/>
  <c r="E52" i="17"/>
  <c r="E50" i="17"/>
  <c r="E42" i="17"/>
  <c r="E48" i="17"/>
  <c r="F46" i="10"/>
  <c r="J260" i="11"/>
  <c r="F11" i="17"/>
  <c r="G51" i="11"/>
  <c r="BE60" i="10"/>
  <c r="AS71" i="66"/>
  <c r="AF15" i="18"/>
  <c r="L55" i="11"/>
  <c r="L51" i="11"/>
  <c r="AN76" i="66"/>
  <c r="AA24" i="18"/>
  <c r="I142" i="12"/>
  <c r="J29" i="38"/>
  <c r="J5" i="38"/>
  <c r="I564" i="10"/>
  <c r="G13" i="18"/>
  <c r="G12" i="18"/>
  <c r="I48" i="10"/>
  <c r="V47" i="12"/>
  <c r="E52" i="24"/>
  <c r="T320" i="24"/>
  <c r="T323" i="24" s="1"/>
  <c r="E4" i="38"/>
  <c r="F18" i="38"/>
  <c r="E20" i="38"/>
  <c r="F4" i="38"/>
  <c r="F27" i="66"/>
  <c r="F28" i="66"/>
  <c r="Q38" i="12"/>
  <c r="W76" i="66"/>
  <c r="C48" i="17"/>
  <c r="C52" i="17"/>
  <c r="C42" i="17"/>
  <c r="C50" i="17"/>
  <c r="D8" i="18"/>
  <c r="F29" i="10"/>
  <c r="F40" i="10" s="1"/>
  <c r="D12" i="38"/>
  <c r="H20" i="12"/>
  <c r="H80" i="12" s="1"/>
  <c r="H48" i="17"/>
  <c r="H50" i="17"/>
  <c r="H42" i="17"/>
  <c r="E38" i="17"/>
  <c r="E9" i="17" s="1"/>
  <c r="E84" i="17"/>
  <c r="N34" i="4"/>
  <c r="AN34" i="4" s="1"/>
  <c r="AA24" i="11"/>
  <c r="G50" i="17"/>
  <c r="G42" i="17"/>
  <c r="G48" i="17"/>
  <c r="G52" i="17"/>
  <c r="H11" i="17"/>
  <c r="BI59" i="10"/>
  <c r="V25" i="18"/>
  <c r="M68" i="11"/>
  <c r="G55" i="11"/>
  <c r="Q72" i="11"/>
  <c r="AR79" i="66"/>
  <c r="AE28" i="18"/>
  <c r="D29" i="38"/>
  <c r="C30" i="63" s="1"/>
  <c r="E27" i="38"/>
  <c r="H142" i="12"/>
  <c r="F49" i="63"/>
  <c r="F88" i="17"/>
  <c r="F64" i="63"/>
  <c r="S19" i="18"/>
  <c r="R19" i="18"/>
  <c r="Q19" i="18"/>
  <c r="G19" i="18"/>
  <c r="T19" i="18"/>
  <c r="E73" i="66"/>
  <c r="AK4" i="4"/>
  <c r="H22" i="38"/>
  <c r="S49" i="12"/>
  <c r="AA60" i="10"/>
  <c r="T49" i="12" s="1"/>
  <c r="E49" i="17"/>
  <c r="AF25" i="18"/>
  <c r="Q13" i="18"/>
  <c r="T283" i="24"/>
  <c r="T285" i="24" s="1"/>
  <c r="I43" i="17"/>
  <c r="M15" i="4"/>
  <c r="AM15" i="4" s="1"/>
  <c r="E88" i="17"/>
  <c r="H96" i="66"/>
  <c r="O69" i="66"/>
  <c r="AD4" i="4"/>
  <c r="O133" i="12"/>
  <c r="O134" i="12" s="1"/>
  <c r="H23" i="12"/>
  <c r="H52" i="24"/>
  <c r="H29" i="24"/>
  <c r="H35" i="24" s="1"/>
  <c r="H25" i="18"/>
  <c r="BI56" i="10"/>
  <c r="D11" i="17"/>
  <c r="J28" i="4"/>
  <c r="H28" i="4"/>
  <c r="D67" i="66"/>
  <c r="E43" i="17"/>
  <c r="J15" i="4"/>
  <c r="H15" i="4"/>
  <c r="C175" i="12"/>
  <c r="F601" i="10"/>
  <c r="BE56" i="10"/>
  <c r="S25" i="18"/>
  <c r="AE25" i="18"/>
  <c r="F50" i="17"/>
  <c r="F42" i="17"/>
  <c r="F52" i="17"/>
  <c r="F48" i="17"/>
  <c r="Z53" i="10"/>
  <c r="AA53" i="10" s="1"/>
  <c r="T38" i="12" s="1"/>
  <c r="F18" i="10"/>
  <c r="AA25" i="18"/>
  <c r="AJ76" i="66"/>
  <c r="W24" i="18"/>
  <c r="W13" i="18"/>
  <c r="R25" i="18"/>
  <c r="V56" i="10"/>
  <c r="O43" i="12" s="1"/>
  <c r="AC8" i="18"/>
  <c r="G47" i="12"/>
  <c r="K28" i="4" s="1"/>
  <c r="G52" i="24"/>
  <c r="J594" i="10"/>
  <c r="J593" i="10" s="1"/>
  <c r="H14" i="18"/>
  <c r="H51" i="18" s="1"/>
  <c r="E49" i="63"/>
  <c r="I48" i="17"/>
  <c r="I50" i="17"/>
  <c r="I42" i="17"/>
  <c r="G564" i="10"/>
  <c r="G582" i="10" s="1"/>
  <c r="E12" i="18"/>
  <c r="E13" i="18"/>
  <c r="L41" i="4"/>
  <c r="AE71" i="66"/>
  <c r="V55" i="10"/>
  <c r="U71" i="66" s="1"/>
  <c r="E133" i="12"/>
  <c r="J564" i="10"/>
  <c r="H12" i="18"/>
  <c r="H49" i="18" s="1"/>
  <c r="H13" i="18"/>
  <c r="H50" i="18" s="1"/>
  <c r="AT76" i="66"/>
  <c r="AG24" i="18"/>
  <c r="R283" i="24"/>
  <c r="R285" i="24" s="1"/>
  <c r="H39" i="17"/>
  <c r="G594" i="10"/>
  <c r="E14" i="18"/>
  <c r="F56" i="10"/>
  <c r="D25" i="18" s="1"/>
  <c r="F27" i="4"/>
  <c r="Y80" i="18"/>
  <c r="Z79" i="18"/>
  <c r="E29" i="38"/>
  <c r="E5" i="38"/>
  <c r="F27" i="38"/>
  <c r="R148" i="12"/>
  <c r="AE80" i="66"/>
  <c r="R30" i="18"/>
  <c r="E18" i="38"/>
  <c r="D20" i="38"/>
  <c r="C29" i="63" s="1"/>
  <c r="D83" i="11"/>
  <c r="E85" i="66"/>
  <c r="AD85" i="66" s="1"/>
  <c r="F91" i="17"/>
  <c r="F10" i="17" s="1"/>
  <c r="AF80" i="66"/>
  <c r="S30" i="18"/>
  <c r="I19" i="38"/>
  <c r="H29" i="63"/>
  <c r="G91" i="17"/>
  <c r="G10" i="17" s="1"/>
  <c r="D51" i="17"/>
  <c r="AQ80" i="66"/>
  <c r="AD30" i="18"/>
  <c r="D9" i="38"/>
  <c r="X62" i="10"/>
  <c r="Q53" i="12" s="1"/>
  <c r="U28" i="18"/>
  <c r="Z29" i="24"/>
  <c r="Z35" i="24" s="1"/>
  <c r="D43" i="17"/>
  <c r="G15" i="4"/>
  <c r="G39" i="17"/>
  <c r="D12" i="18"/>
  <c r="D13" i="18"/>
  <c r="C82" i="17"/>
  <c r="D18" i="18"/>
  <c r="F19" i="4"/>
  <c r="F43" i="17"/>
  <c r="N23" i="4"/>
  <c r="S159" i="24"/>
  <c r="I19" i="63"/>
  <c r="I13" i="18"/>
  <c r="I12" i="18"/>
  <c r="AO76" i="66"/>
  <c r="AB24" i="18"/>
  <c r="E69" i="12"/>
  <c r="E91" i="17"/>
  <c r="E10" i="17" s="1"/>
  <c r="D85" i="66"/>
  <c r="P142" i="12"/>
  <c r="AI76" i="66"/>
  <c r="V24" i="18"/>
  <c r="AV68" i="66"/>
  <c r="F86" i="17"/>
  <c r="G56" i="10"/>
  <c r="E25" i="18" s="1"/>
  <c r="G27" i="4"/>
  <c r="AB27" i="4" s="1"/>
  <c r="E86" i="17"/>
  <c r="AE30" i="18"/>
  <c r="AR80" i="66"/>
  <c r="F127" i="24"/>
  <c r="F144" i="12" s="1"/>
  <c r="AH65" i="66"/>
  <c r="U10" i="18"/>
  <c r="E39" i="17"/>
  <c r="AS69" i="66"/>
  <c r="AF14" i="18"/>
  <c r="AN65" i="66"/>
  <c r="AA10" i="18"/>
  <c r="AD25" i="18"/>
  <c r="AT69" i="66"/>
  <c r="AG14" i="18"/>
  <c r="AF79" i="66"/>
  <c r="S28" i="18"/>
  <c r="K53" i="11"/>
  <c r="V320" i="24"/>
  <c r="V323" i="24" s="1"/>
  <c r="L29" i="24"/>
  <c r="L35" i="24" s="1"/>
  <c r="I49" i="17"/>
  <c r="F29" i="24"/>
  <c r="F35" i="24" s="1"/>
  <c r="L16" i="4"/>
  <c r="AL16" i="4" s="1"/>
  <c r="H44" i="17"/>
  <c r="J25" i="4"/>
  <c r="H25" i="4"/>
  <c r="H24" i="4" s="1"/>
  <c r="X29" i="24"/>
  <c r="X35" i="24" s="1"/>
  <c r="D142" i="12"/>
  <c r="U29" i="24"/>
  <c r="U35" i="24" s="1"/>
  <c r="C15" i="63"/>
  <c r="L56" i="10"/>
  <c r="M27" i="4"/>
  <c r="AM27" i="4" s="1"/>
  <c r="G19" i="38"/>
  <c r="K52" i="4"/>
  <c r="AK52" i="4" s="1"/>
  <c r="AF20" i="4"/>
  <c r="AC20" i="4"/>
  <c r="Z184" i="24"/>
  <c r="Z207" i="24" s="1"/>
  <c r="Y195" i="24"/>
  <c r="U154" i="12" s="1"/>
  <c r="U153" i="12"/>
  <c r="AN80" i="66"/>
  <c r="AA30" i="18"/>
  <c r="AO71" i="66"/>
  <c r="Y127" i="24"/>
  <c r="U144" i="12" s="1"/>
  <c r="U143" i="12"/>
  <c r="J18" i="18"/>
  <c r="I82" i="17"/>
  <c r="U52" i="82"/>
  <c r="M19" i="4"/>
  <c r="AM19" i="4" s="1"/>
  <c r="H73" i="66"/>
  <c r="Z81" i="18"/>
  <c r="Y83" i="18"/>
  <c r="Y82" i="18"/>
  <c r="C11" i="17"/>
  <c r="H19" i="63"/>
  <c r="AH69" i="66"/>
  <c r="U14" i="18"/>
  <c r="I15" i="63"/>
  <c r="W85" i="66"/>
  <c r="G72" i="11"/>
  <c r="F39" i="17"/>
  <c r="L55" i="10"/>
  <c r="AC55" i="10" s="1"/>
  <c r="V29" i="12" s="1"/>
  <c r="I27" i="12"/>
  <c r="I87" i="83" s="1"/>
  <c r="H44" i="18"/>
  <c r="J13" i="18"/>
  <c r="J12" i="18"/>
  <c r="D52" i="17"/>
  <c r="D50" i="17"/>
  <c r="D42" i="17"/>
  <c r="D48" i="17"/>
  <c r="F320" i="24"/>
  <c r="F323" i="24" s="1"/>
  <c r="F211" i="12" s="1"/>
  <c r="F208" i="12"/>
  <c r="G27" i="38"/>
  <c r="F29" i="38"/>
  <c r="F5" i="38"/>
  <c r="AA80" i="18"/>
  <c r="S14" i="18"/>
  <c r="AF69" i="66"/>
  <c r="H195" i="24"/>
  <c r="H154" i="12" s="1"/>
  <c r="H153" i="12"/>
  <c r="BW55" i="10"/>
  <c r="BS55" i="10"/>
  <c r="G9" i="38"/>
  <c r="D19" i="63"/>
  <c r="AA82" i="18"/>
  <c r="AA83" i="18"/>
  <c r="AG12" i="18"/>
  <c r="G195" i="24"/>
  <c r="G154" i="12" s="1"/>
  <c r="G153" i="12"/>
  <c r="G100" i="12" s="1"/>
  <c r="G102" i="12" s="1"/>
  <c r="K15" i="4"/>
  <c r="G43" i="17"/>
  <c r="V136" i="12"/>
  <c r="J4" i="38"/>
  <c r="J20" i="38"/>
  <c r="AC62" i="10"/>
  <c r="J28" i="18"/>
  <c r="T55" i="82"/>
  <c r="T53" i="82"/>
  <c r="H127" i="24"/>
  <c r="H143" i="12"/>
  <c r="AE15" i="18"/>
  <c r="Z25" i="18"/>
  <c r="E85" i="17"/>
  <c r="K56" i="10"/>
  <c r="L27" i="4"/>
  <c r="AL27" i="4" s="1"/>
  <c r="J24" i="83"/>
  <c r="M311" i="10"/>
  <c r="J10" i="83"/>
  <c r="J4" i="83"/>
  <c r="W121" i="11"/>
  <c r="W164" i="11" s="1"/>
  <c r="N6" i="4"/>
  <c r="J3" i="83"/>
  <c r="J12" i="83" s="1"/>
  <c r="J73" i="83"/>
  <c r="O201" i="10"/>
  <c r="O371" i="10" s="1"/>
  <c r="O377" i="10" s="1"/>
  <c r="K2" i="83"/>
  <c r="AE205" i="10"/>
  <c r="N651" i="10"/>
  <c r="E7" i="80"/>
  <c r="AT125" i="11"/>
  <c r="E56" i="4"/>
  <c r="AH24" i="4"/>
  <c r="AK24" i="4"/>
  <c r="D56" i="4"/>
  <c r="AD184" i="24"/>
  <c r="AD207" i="24" s="1"/>
  <c r="F97" i="12"/>
  <c r="E98" i="12"/>
  <c r="C219" i="12"/>
  <c r="L48" i="10"/>
  <c r="L564" i="10"/>
  <c r="AC47" i="10"/>
  <c r="AC564" i="10" s="1"/>
  <c r="D20" i="12"/>
  <c r="C65" i="66"/>
  <c r="D176" i="12"/>
  <c r="H65" i="66"/>
  <c r="I20" i="12"/>
  <c r="J21" i="12" s="1"/>
  <c r="G197" i="12"/>
  <c r="J57" i="10"/>
  <c r="Y57" i="10" s="1"/>
  <c r="L48" i="12"/>
  <c r="G20" i="12"/>
  <c r="G85" i="12" s="1"/>
  <c r="F65" i="66"/>
  <c r="F66" i="66" s="1"/>
  <c r="F20" i="12"/>
  <c r="F85" i="12" s="1"/>
  <c r="E65" i="66"/>
  <c r="E66" i="66" s="1"/>
  <c r="F176" i="12"/>
  <c r="I204" i="12"/>
  <c r="U285" i="24"/>
  <c r="D15" i="63"/>
  <c r="AA283" i="24"/>
  <c r="AA285" i="24" s="1"/>
  <c r="F175" i="12"/>
  <c r="C204" i="12"/>
  <c r="H209" i="12"/>
  <c r="H320" i="24"/>
  <c r="H323" i="24" s="1"/>
  <c r="D97" i="12"/>
  <c r="D98" i="12"/>
  <c r="G19" i="63"/>
  <c r="AA27" i="11"/>
  <c r="AA63" i="11" s="1"/>
  <c r="D133" i="12"/>
  <c r="W69" i="11"/>
  <c r="BU64" i="10" s="1"/>
  <c r="G65" i="66"/>
  <c r="G66" i="66" s="1"/>
  <c r="H175" i="12"/>
  <c r="N283" i="24"/>
  <c r="N285" i="24" s="1"/>
  <c r="Z159" i="24"/>
  <c r="R29" i="24"/>
  <c r="R35" i="24" s="1"/>
  <c r="I29" i="83"/>
  <c r="L50" i="10"/>
  <c r="L594" i="10"/>
  <c r="AC49" i="10"/>
  <c r="V26" i="12" s="1"/>
  <c r="Z356" i="24"/>
  <c r="AC195" i="24"/>
  <c r="W154" i="12" s="1"/>
  <c r="W153" i="12"/>
  <c r="Q133" i="12"/>
  <c r="Q134" i="12" s="1"/>
  <c r="F283" i="24"/>
  <c r="F285" i="24" s="1"/>
  <c r="F198" i="12"/>
  <c r="Z283" i="24"/>
  <c r="Z285" i="24" s="1"/>
  <c r="I61" i="63"/>
  <c r="I37" i="63"/>
  <c r="V131" i="12"/>
  <c r="AB320" i="24"/>
  <c r="AB323" i="24" s="1"/>
  <c r="W60" i="11"/>
  <c r="BU56" i="10" s="1"/>
  <c r="AD29" i="24"/>
  <c r="AD35" i="24" s="1"/>
  <c r="E15" i="63"/>
  <c r="G163" i="12"/>
  <c r="T133" i="12"/>
  <c r="H38" i="63"/>
  <c r="P153" i="12"/>
  <c r="AD29" i="10"/>
  <c r="W13" i="12"/>
  <c r="W20" i="12" s="1"/>
  <c r="I8" i="83"/>
  <c r="L18" i="10"/>
  <c r="C20" i="12"/>
  <c r="C80" i="12" s="1"/>
  <c r="B65" i="66"/>
  <c r="B66" i="66" s="1"/>
  <c r="D195" i="24"/>
  <c r="D154" i="12" s="1"/>
  <c r="D153" i="12"/>
  <c r="V140" i="12"/>
  <c r="Q147" i="12"/>
  <c r="I133" i="12"/>
  <c r="G283" i="24"/>
  <c r="G285" i="24" s="1"/>
  <c r="C61" i="63"/>
  <c r="C37" i="63"/>
  <c r="Q184" i="24"/>
  <c r="Q150" i="12" s="1"/>
  <c r="P320" i="24"/>
  <c r="P323" i="24" s="1"/>
  <c r="G69" i="12"/>
  <c r="F78" i="12"/>
  <c r="I23" i="10"/>
  <c r="G10" i="18" s="1"/>
  <c r="F19" i="63"/>
  <c r="AA26" i="11"/>
  <c r="N57" i="10"/>
  <c r="X39" i="12"/>
  <c r="N106" i="83"/>
  <c r="N356" i="24"/>
  <c r="Y184" i="24"/>
  <c r="U150" i="12" s="1"/>
  <c r="U148" i="12"/>
  <c r="Q195" i="24"/>
  <c r="Q154" i="12" s="1"/>
  <c r="Q153" i="12"/>
  <c r="C142" i="12"/>
  <c r="I147" i="12"/>
  <c r="C133" i="12"/>
  <c r="H184" i="24"/>
  <c r="H150" i="12" s="1"/>
  <c r="H147" i="12"/>
  <c r="T356" i="24"/>
  <c r="C63" i="63"/>
  <c r="M29" i="16"/>
  <c r="I184" i="24"/>
  <c r="I150" i="12" s="1"/>
  <c r="AD159" i="24"/>
  <c r="D40" i="63"/>
  <c r="D63" i="63"/>
  <c r="H53" i="10"/>
  <c r="F24" i="18" s="1"/>
  <c r="E17" i="63"/>
  <c r="D76" i="66"/>
  <c r="G133" i="12"/>
  <c r="G63" i="63"/>
  <c r="G40" i="63"/>
  <c r="V28" i="12"/>
  <c r="F81" i="12"/>
  <c r="E67" i="66"/>
  <c r="S105" i="83"/>
  <c r="M108" i="12"/>
  <c r="L44" i="12"/>
  <c r="D29" i="24"/>
  <c r="D35" i="24" s="1"/>
  <c r="Q69" i="66"/>
  <c r="B71" i="66"/>
  <c r="E176" i="12"/>
  <c r="D65" i="66"/>
  <c r="G320" i="24"/>
  <c r="G323" i="24" s="1"/>
  <c r="G211" i="12" s="1"/>
  <c r="G208" i="12"/>
  <c r="S184" i="24"/>
  <c r="S207" i="24" s="1"/>
  <c r="I153" i="12"/>
  <c r="J100" i="12" s="1"/>
  <c r="J102" i="12" s="1"/>
  <c r="I195" i="24"/>
  <c r="I154" i="12" s="1"/>
  <c r="D184" i="24"/>
  <c r="D150" i="12" s="1"/>
  <c r="D148" i="12"/>
  <c r="O320" i="24"/>
  <c r="O323" i="24" s="1"/>
  <c r="T159" i="24"/>
  <c r="D174" i="12"/>
  <c r="D61" i="63"/>
  <c r="D37" i="63"/>
  <c r="I81" i="12"/>
  <c r="H67" i="66"/>
  <c r="I94" i="66" s="1"/>
  <c r="F15" i="63"/>
  <c r="G71" i="66"/>
  <c r="R159" i="24"/>
  <c r="AE54" i="10"/>
  <c r="X28" i="12" s="1"/>
  <c r="W59" i="11"/>
  <c r="BU54" i="10" s="1"/>
  <c r="I52" i="24"/>
  <c r="F82" i="12"/>
  <c r="I45" i="10"/>
  <c r="E64" i="63"/>
  <c r="C95" i="66"/>
  <c r="D95" i="66"/>
  <c r="M184" i="24"/>
  <c r="O150" i="12" s="1"/>
  <c r="O148" i="12"/>
  <c r="C195" i="24"/>
  <c r="C154" i="12" s="1"/>
  <c r="C153" i="12"/>
  <c r="W133" i="12"/>
  <c r="W134" i="12" s="1"/>
  <c r="X283" i="24"/>
  <c r="X285" i="24" s="1"/>
  <c r="F133" i="12"/>
  <c r="H15" i="63"/>
  <c r="L159" i="24"/>
  <c r="D81" i="12"/>
  <c r="C67" i="66"/>
  <c r="AE57" i="10"/>
  <c r="N27" i="4"/>
  <c r="AN27" i="4" s="1"/>
  <c r="W61" i="11"/>
  <c r="AC45" i="10"/>
  <c r="I30" i="83"/>
  <c r="I29" i="24"/>
  <c r="I35" i="24" s="1"/>
  <c r="AI85" i="66"/>
  <c r="Q278" i="11"/>
  <c r="R264" i="11"/>
  <c r="X55" i="10"/>
  <c r="W71" i="66" s="1"/>
  <c r="AI71" i="66"/>
  <c r="BI55" i="10"/>
  <c r="Q233" i="11"/>
  <c r="Q252" i="11"/>
  <c r="Q249" i="11"/>
  <c r="Q246" i="11"/>
  <c r="Q254" i="11"/>
  <c r="Q255" i="11"/>
  <c r="Q253" i="11"/>
  <c r="Q111" i="11"/>
  <c r="Q247" i="11"/>
  <c r="AM71" i="66"/>
  <c r="Z54" i="10"/>
  <c r="V71" i="11"/>
  <c r="V72" i="11"/>
  <c r="BC49" i="10"/>
  <c r="R14" i="18" s="1"/>
  <c r="E55" i="11"/>
  <c r="S237" i="11"/>
  <c r="W59" i="10"/>
  <c r="P48" i="12" s="1"/>
  <c r="K222" i="11"/>
  <c r="J268" i="11"/>
  <c r="M282" i="11"/>
  <c r="Q248" i="11"/>
  <c r="Q250" i="11"/>
  <c r="BW53" i="10"/>
  <c r="BS53" i="10"/>
  <c r="J13" i="11"/>
  <c r="J21" i="11"/>
  <c r="J12" i="11"/>
  <c r="BB49" i="10"/>
  <c r="Q14" i="18" s="1"/>
  <c r="D55" i="11"/>
  <c r="N47" i="11"/>
  <c r="R44" i="11"/>
  <c r="R185" i="11"/>
  <c r="R47" i="11"/>
  <c r="R45" i="11"/>
  <c r="R94" i="11"/>
  <c r="BP9" i="10"/>
  <c r="AE8" i="18" s="1"/>
  <c r="R186" i="11"/>
  <c r="Q260" i="11"/>
  <c r="R51" i="11"/>
  <c r="R187" i="11"/>
  <c r="X59" i="10"/>
  <c r="H51" i="11"/>
  <c r="BF45" i="10"/>
  <c r="U15" i="18" s="1"/>
  <c r="N267" i="11"/>
  <c r="M281" i="11"/>
  <c r="V93" i="11"/>
  <c r="V94" i="11"/>
  <c r="BT177" i="10"/>
  <c r="BT12" i="10"/>
  <c r="N265" i="11"/>
  <c r="M279" i="11"/>
  <c r="V271" i="11"/>
  <c r="Z285" i="11" s="1"/>
  <c r="R238" i="11"/>
  <c r="S221" i="11"/>
  <c r="W238" i="11" s="1"/>
  <c r="V272" i="11"/>
  <c r="Z286" i="11" s="1"/>
  <c r="N238" i="11"/>
  <c r="O221" i="11"/>
  <c r="N268" i="11"/>
  <c r="H290" i="11"/>
  <c r="I263" i="11"/>
  <c r="I291" i="11" s="1"/>
  <c r="H296" i="11"/>
  <c r="H294" i="11"/>
  <c r="H292" i="11"/>
  <c r="H293" i="11"/>
  <c r="H299" i="11"/>
  <c r="H297" i="11"/>
  <c r="H300" i="11"/>
  <c r="H291" i="11"/>
  <c r="H295" i="11"/>
  <c r="V242" i="11"/>
  <c r="V226" i="11"/>
  <c r="Z243" i="11" s="1"/>
  <c r="J47" i="11"/>
  <c r="J94" i="11"/>
  <c r="J45" i="11"/>
  <c r="BH9" i="10"/>
  <c r="W8" i="18" s="1"/>
  <c r="W11" i="18" s="1"/>
  <c r="J44" i="11"/>
  <c r="I260" i="11"/>
  <c r="D47" i="11"/>
  <c r="D51" i="11"/>
  <c r="D45" i="11"/>
  <c r="D44" i="11"/>
  <c r="BB9" i="10"/>
  <c r="Q8" i="18" s="1"/>
  <c r="V55" i="11"/>
  <c r="BT49" i="10"/>
  <c r="AI14" i="18" s="1"/>
  <c r="N84" i="11"/>
  <c r="BL62" i="10"/>
  <c r="BP47" i="10"/>
  <c r="R53" i="11"/>
  <c r="F53" i="11"/>
  <c r="BD47" i="10"/>
  <c r="F21" i="11"/>
  <c r="F12" i="11"/>
  <c r="F13" i="11"/>
  <c r="O47" i="12"/>
  <c r="Q251" i="11"/>
  <c r="P290" i="11"/>
  <c r="Q263" i="11"/>
  <c r="Q295" i="11" s="1"/>
  <c r="P294" i="11"/>
  <c r="P299" i="11"/>
  <c r="P291" i="11"/>
  <c r="P292" i="11"/>
  <c r="P298" i="11"/>
  <c r="P297" i="11"/>
  <c r="P293" i="11"/>
  <c r="P300" i="11"/>
  <c r="P295" i="11"/>
  <c r="J264" i="11"/>
  <c r="M278" i="11"/>
  <c r="Q256" i="11"/>
  <c r="W225" i="11"/>
  <c r="AA242" i="11" s="1"/>
  <c r="H44" i="11"/>
  <c r="S21" i="11"/>
  <c r="S12" i="11"/>
  <c r="S13" i="11"/>
  <c r="V9" i="11"/>
  <c r="N260" i="11"/>
  <c r="O45" i="11"/>
  <c r="O94" i="11"/>
  <c r="O47" i="11"/>
  <c r="O44" i="11"/>
  <c r="BM9" i="10"/>
  <c r="AB8" i="18" s="1"/>
  <c r="O53" i="11"/>
  <c r="N12" i="11"/>
  <c r="N224" i="11"/>
  <c r="N216" i="11" s="1"/>
  <c r="N251" i="11" s="1"/>
  <c r="N242" i="11"/>
  <c r="O225" i="11"/>
  <c r="S242" i="11" s="1"/>
  <c r="R242" i="11"/>
  <c r="R268" i="11"/>
  <c r="Q282" i="11"/>
  <c r="U72" i="11"/>
  <c r="U71" i="11"/>
  <c r="T71" i="11"/>
  <c r="T72" i="11"/>
  <c r="D53" i="11"/>
  <c r="S235" i="11"/>
  <c r="Y54" i="10"/>
  <c r="R28" i="12" s="1"/>
  <c r="J224" i="11"/>
  <c r="J216" i="11" s="1"/>
  <c r="J272" i="11"/>
  <c r="K225" i="11"/>
  <c r="V268" i="11"/>
  <c r="R72" i="11"/>
  <c r="R71" i="11"/>
  <c r="S72" i="11"/>
  <c r="AR71" i="66"/>
  <c r="AS80" i="66"/>
  <c r="BH45" i="10"/>
  <c r="W15" i="18" s="1"/>
  <c r="J51" i="11"/>
  <c r="Q94" i="11"/>
  <c r="Q47" i="11"/>
  <c r="Q68" i="11"/>
  <c r="Q45" i="11"/>
  <c r="Q44" i="11"/>
  <c r="BO9" i="10"/>
  <c r="AD8" i="18" s="1"/>
  <c r="Q51" i="11"/>
  <c r="P260" i="11"/>
  <c r="V100" i="11"/>
  <c r="G94" i="11"/>
  <c r="G47" i="11"/>
  <c r="G49" i="11" s="1"/>
  <c r="G44" i="11"/>
  <c r="G45" i="11"/>
  <c r="G68" i="11"/>
  <c r="G53" i="11"/>
  <c r="L260" i="11"/>
  <c r="M94" i="11"/>
  <c r="M45" i="11"/>
  <c r="M44" i="11"/>
  <c r="BK9" i="10"/>
  <c r="Z8" i="18" s="1"/>
  <c r="Z11" i="18" s="1"/>
  <c r="M47" i="11"/>
  <c r="M55" i="11"/>
  <c r="N45" i="11"/>
  <c r="AD68" i="66"/>
  <c r="AC64" i="11"/>
  <c r="BS60" i="10"/>
  <c r="R265" i="11"/>
  <c r="S265" i="11" s="1"/>
  <c r="Q279" i="11"/>
  <c r="V264" i="11"/>
  <c r="U273" i="11"/>
  <c r="Y287" i="11" s="1"/>
  <c r="T300" i="11"/>
  <c r="T287" i="11"/>
  <c r="K221" i="11"/>
  <c r="N269" i="11"/>
  <c r="M283" i="11"/>
  <c r="V270" i="11"/>
  <c r="BR55" i="10"/>
  <c r="AT71" i="66" s="1"/>
  <c r="R235" i="11"/>
  <c r="K72" i="11"/>
  <c r="K71" i="11"/>
  <c r="M53" i="11"/>
  <c r="BK47" i="10"/>
  <c r="BV54" i="10"/>
  <c r="AJ68" i="66"/>
  <c r="V47" i="11"/>
  <c r="Z48" i="11" s="1"/>
  <c r="V188" i="11"/>
  <c r="AQ157" i="11" s="1"/>
  <c r="V45" i="11"/>
  <c r="V187" i="11"/>
  <c r="V44" i="11"/>
  <c r="BT9" i="10"/>
  <c r="AI8" i="18" s="1"/>
  <c r="N72" i="11"/>
  <c r="N71" i="11"/>
  <c r="BV59" i="10"/>
  <c r="Z49" i="10"/>
  <c r="AM69" i="66"/>
  <c r="S53" i="11"/>
  <c r="BQ47" i="10"/>
  <c r="F94" i="11"/>
  <c r="F44" i="11"/>
  <c r="F45" i="11"/>
  <c r="BD9" i="10"/>
  <c r="S8" i="18" s="1"/>
  <c r="F47" i="11"/>
  <c r="F49" i="11" s="1"/>
  <c r="BV53" i="10"/>
  <c r="AK24" i="18" s="1"/>
  <c r="P44" i="11"/>
  <c r="V68" i="11"/>
  <c r="Z80" i="11" s="1"/>
  <c r="T51" i="11"/>
  <c r="BR45" i="10"/>
  <c r="S182" i="11"/>
  <c r="S186" i="11" s="1"/>
  <c r="Y56" i="10"/>
  <c r="R43" i="12" s="1"/>
  <c r="AJ71" i="66"/>
  <c r="J266" i="11"/>
  <c r="N280" i="11" s="1"/>
  <c r="M286" i="11"/>
  <c r="N272" i="11"/>
  <c r="R266" i="11"/>
  <c r="Q280" i="11"/>
  <c r="V186" i="11"/>
  <c r="U263" i="11"/>
  <c r="T298" i="11"/>
  <c r="T295" i="11"/>
  <c r="T277" i="11"/>
  <c r="T294" i="11"/>
  <c r="T290" i="11"/>
  <c r="T299" i="11"/>
  <c r="T296" i="11"/>
  <c r="J267" i="11"/>
  <c r="M72" i="11"/>
  <c r="M71" i="11"/>
  <c r="T293" i="11"/>
  <c r="R267" i="11"/>
  <c r="Q281" i="11"/>
  <c r="AP79" i="66"/>
  <c r="L72" i="11"/>
  <c r="E84" i="11"/>
  <c r="BC62" i="10"/>
  <c r="R28" i="18" s="1"/>
  <c r="U53" i="11"/>
  <c r="BS47" i="10"/>
  <c r="R68" i="11"/>
  <c r="R234" i="11"/>
  <c r="R216" i="11"/>
  <c r="S216" i="11" s="1"/>
  <c r="F55" i="11"/>
  <c r="J71" i="11"/>
  <c r="J72" i="11"/>
  <c r="P13" i="11"/>
  <c r="P12" i="11"/>
  <c r="P21" i="11"/>
  <c r="P57" i="11" s="1"/>
  <c r="P81" i="11" s="1"/>
  <c r="K45" i="11"/>
  <c r="K44" i="11"/>
  <c r="K94" i="11"/>
  <c r="K47" i="11"/>
  <c r="E44" i="11"/>
  <c r="E68" i="11"/>
  <c r="E47" i="11"/>
  <c r="E49" i="11" s="1"/>
  <c r="E45" i="11"/>
  <c r="BC9" i="10"/>
  <c r="R8" i="18" s="1"/>
  <c r="Z23" i="10"/>
  <c r="AM65" i="66"/>
  <c r="P55" i="11"/>
  <c r="BN49" i="10"/>
  <c r="F51" i="11"/>
  <c r="BM49" i="10"/>
  <c r="O55" i="11"/>
  <c r="U51" i="11"/>
  <c r="AC51" i="11" s="1"/>
  <c r="BS45" i="10"/>
  <c r="L21" i="11"/>
  <c r="L57" i="11" s="1"/>
  <c r="L12" i="11"/>
  <c r="L13" i="11"/>
  <c r="Q53" i="11"/>
  <c r="BO47" i="10"/>
  <c r="W234" i="11"/>
  <c r="J273" i="11"/>
  <c r="V265" i="11"/>
  <c r="Z279" i="11" s="1"/>
  <c r="W235" i="11"/>
  <c r="U253" i="11"/>
  <c r="U248" i="11"/>
  <c r="U250" i="11"/>
  <c r="U249" i="11"/>
  <c r="U246" i="11"/>
  <c r="AD381" i="10"/>
  <c r="U111" i="11"/>
  <c r="N273" i="11"/>
  <c r="M287" i="11"/>
  <c r="R272" i="11"/>
  <c r="Q286" i="11"/>
  <c r="V266" i="11"/>
  <c r="Z280" i="11" s="1"/>
  <c r="J265" i="11"/>
  <c r="J269" i="11"/>
  <c r="M51" i="11"/>
  <c r="BK45" i="10"/>
  <c r="Z15" i="18" s="1"/>
  <c r="I71" i="11"/>
  <c r="I72" i="11"/>
  <c r="J68" i="11"/>
  <c r="T21" i="11"/>
  <c r="T12" i="11"/>
  <c r="T13" i="11"/>
  <c r="Q55" i="11"/>
  <c r="BO49" i="10"/>
  <c r="AD14" i="18" s="1"/>
  <c r="M21" i="11"/>
  <c r="M13" i="11"/>
  <c r="Q12" i="11"/>
  <c r="M12" i="11"/>
  <c r="U45" i="11"/>
  <c r="T260" i="11"/>
  <c r="U47" i="11"/>
  <c r="U199" i="11" s="1"/>
  <c r="U197" i="11" s="1"/>
  <c r="U198" i="11" s="1"/>
  <c r="U44" i="11"/>
  <c r="BS9" i="10"/>
  <c r="AH8" i="18" s="1"/>
  <c r="O51" i="11"/>
  <c r="BM45" i="10"/>
  <c r="AB15" i="18" s="1"/>
  <c r="R21" i="11"/>
  <c r="R12" i="11"/>
  <c r="R13" i="11"/>
  <c r="L44" i="11"/>
  <c r="L94" i="11"/>
  <c r="L45" i="11"/>
  <c r="L47" i="11"/>
  <c r="P48" i="11" s="1"/>
  <c r="BJ9" i="10"/>
  <c r="Y8" i="18" s="1"/>
  <c r="P49" i="11"/>
  <c r="BW54" i="10"/>
  <c r="BS54" i="10"/>
  <c r="N51" i="11"/>
  <c r="BL45" i="10"/>
  <c r="AA15" i="18" s="1"/>
  <c r="U252" i="11"/>
  <c r="U247" i="11"/>
  <c r="V269" i="11"/>
  <c r="Z283" i="11" s="1"/>
  <c r="K226" i="11"/>
  <c r="O243" i="11" s="1"/>
  <c r="H298" i="11"/>
  <c r="I271" i="11"/>
  <c r="I246" i="11"/>
  <c r="I253" i="11"/>
  <c r="I250" i="11"/>
  <c r="I252" i="11"/>
  <c r="I254" i="11"/>
  <c r="BS59" i="10"/>
  <c r="R269" i="11"/>
  <c r="Q283" i="11"/>
  <c r="U94" i="11"/>
  <c r="N270" i="11"/>
  <c r="U256" i="11"/>
  <c r="AD390" i="10"/>
  <c r="AD402" i="10" s="1"/>
  <c r="F68" i="11"/>
  <c r="I53" i="11"/>
  <c r="BG47" i="10"/>
  <c r="L68" i="11"/>
  <c r="P80" i="11" s="1"/>
  <c r="R237" i="11"/>
  <c r="E51" i="11"/>
  <c r="BC45" i="10"/>
  <c r="R15" i="18" s="1"/>
  <c r="D71" i="11"/>
  <c r="E72" i="11"/>
  <c r="V51" i="11"/>
  <c r="AD51" i="11" s="1"/>
  <c r="BT45" i="10"/>
  <c r="U68" i="11"/>
  <c r="Y80" i="11" s="1"/>
  <c r="V13" i="11"/>
  <c r="V12" i="11"/>
  <c r="V21" i="11"/>
  <c r="D13" i="11"/>
  <c r="D21" i="11"/>
  <c r="D57" i="11" s="1"/>
  <c r="D12" i="11"/>
  <c r="G21" i="11"/>
  <c r="G12" i="11"/>
  <c r="G13" i="11"/>
  <c r="K12" i="11"/>
  <c r="BE54" i="10"/>
  <c r="J55" i="11"/>
  <c r="BH49" i="10"/>
  <c r="W14" i="18" s="1"/>
  <c r="X23" i="10"/>
  <c r="AI65" i="66"/>
  <c r="I55" i="11"/>
  <c r="BG49" i="10"/>
  <c r="V14" i="18" s="1"/>
  <c r="R260" i="11"/>
  <c r="S94" i="11"/>
  <c r="S185" i="11"/>
  <c r="S45" i="11"/>
  <c r="BQ9" i="10"/>
  <c r="AF8" i="18" s="1"/>
  <c r="S47" i="11"/>
  <c r="S44" i="11"/>
  <c r="M84" i="11"/>
  <c r="BK62" i="10"/>
  <c r="Z28" i="18" s="1"/>
  <c r="BJ47" i="10"/>
  <c r="L53" i="11"/>
  <c r="BG45" i="10"/>
  <c r="I51" i="11"/>
  <c r="E53" i="11"/>
  <c r="BC47" i="10"/>
  <c r="BN260" i="10"/>
  <c r="BN16" i="10" s="1"/>
  <c r="AP9" i="66"/>
  <c r="BN40" i="10"/>
  <c r="AP64" i="66"/>
  <c r="BN23" i="10"/>
  <c r="BT54" i="10"/>
  <c r="N474" i="10"/>
  <c r="G633" i="10"/>
  <c r="G610" i="10"/>
  <c r="G622" i="10"/>
  <c r="J302" i="10"/>
  <c r="K290" i="10"/>
  <c r="I289" i="10"/>
  <c r="J623" i="10"/>
  <c r="J621" i="10"/>
  <c r="O232" i="10"/>
  <c r="K14" i="66" s="1"/>
  <c r="O773" i="10"/>
  <c r="O811" i="10" s="1"/>
  <c r="P188" i="10"/>
  <c r="O185" i="10"/>
  <c r="O354" i="10"/>
  <c r="O355" i="10" s="1"/>
  <c r="O203" i="10"/>
  <c r="K7" i="66"/>
  <c r="O313" i="10"/>
  <c r="N323" i="10"/>
  <c r="N324" i="10" s="1"/>
  <c r="N777" i="10"/>
  <c r="O302" i="10"/>
  <c r="P290" i="10"/>
  <c r="BM383" i="10"/>
  <c r="AO5" i="66"/>
  <c r="K275" i="10"/>
  <c r="K274" i="10"/>
  <c r="F630" i="10"/>
  <c r="F638" i="10" s="1"/>
  <c r="F573" i="10"/>
  <c r="J43" i="10"/>
  <c r="F15" i="66"/>
  <c r="N776" i="10"/>
  <c r="N814" i="10" s="1"/>
  <c r="L779" i="10"/>
  <c r="BH178" i="10"/>
  <c r="BH12" i="10"/>
  <c r="N79" i="10"/>
  <c r="N75" i="10"/>
  <c r="AB571" i="10"/>
  <c r="AB580" i="10" s="1"/>
  <c r="AB573" i="10"/>
  <c r="N74" i="10"/>
  <c r="O135" i="10"/>
  <c r="BL178" i="10"/>
  <c r="I157" i="10"/>
  <c r="J143" i="10"/>
  <c r="M782" i="10"/>
  <c r="W16" i="10"/>
  <c r="N77" i="10"/>
  <c r="I488" i="10"/>
  <c r="W381" i="10"/>
  <c r="L98" i="10"/>
  <c r="K92" i="10"/>
  <c r="K86" i="10" s="1"/>
  <c r="M302" i="10"/>
  <c r="N290" i="10"/>
  <c r="P302" i="10"/>
  <c r="H310" i="10"/>
  <c r="H137" i="10"/>
  <c r="H99" i="10"/>
  <c r="H11" i="10"/>
  <c r="H135" i="10"/>
  <c r="P315" i="10"/>
  <c r="I155" i="10"/>
  <c r="J141" i="10"/>
  <c r="G137" i="10"/>
  <c r="G736" i="10" s="1"/>
  <c r="G11" i="10"/>
  <c r="G135" i="10"/>
  <c r="L344" i="10"/>
  <c r="L327" i="10"/>
  <c r="Y6" i="66"/>
  <c r="Z20" i="10"/>
  <c r="L78" i="10"/>
  <c r="J92" i="10"/>
  <c r="J86" i="10" s="1"/>
  <c r="AT95" i="66"/>
  <c r="O460" i="10"/>
  <c r="N775" i="10"/>
  <c r="N813" i="10" s="1"/>
  <c r="O194" i="10"/>
  <c r="N460" i="10"/>
  <c r="H488" i="10"/>
  <c r="H336" i="10"/>
  <c r="H391" i="10"/>
  <c r="J275" i="10"/>
  <c r="N302" i="10"/>
  <c r="O290" i="10"/>
  <c r="K38" i="10"/>
  <c r="AA178" i="10"/>
  <c r="BM177" i="10"/>
  <c r="BQ178" i="10" s="1"/>
  <c r="AA12" i="10"/>
  <c r="X6" i="66"/>
  <c r="AB601" i="10"/>
  <c r="AB599" i="10"/>
  <c r="AB606" i="10" s="1"/>
  <c r="P43" i="10"/>
  <c r="P38" i="10"/>
  <c r="L15" i="66"/>
  <c r="M50" i="66" s="1"/>
  <c r="O43" i="10"/>
  <c r="K15" i="66"/>
  <c r="O38" i="10"/>
  <c r="I726" i="10"/>
  <c r="I310" i="10"/>
  <c r="I99" i="10"/>
  <c r="W74" i="10"/>
  <c r="I11" i="10"/>
  <c r="I135" i="10"/>
  <c r="I137" i="10"/>
  <c r="J99" i="10"/>
  <c r="P468" i="10"/>
  <c r="O457" i="10"/>
  <c r="L37" i="10"/>
  <c r="L42" i="10"/>
  <c r="L782" i="10" s="1"/>
  <c r="H13" i="66"/>
  <c r="I49" i="66" s="1"/>
  <c r="J140" i="10"/>
  <c r="I154" i="10"/>
  <c r="M340" i="10"/>
  <c r="M346" i="10" s="1"/>
  <c r="AE382" i="10"/>
  <c r="BQ12" i="10"/>
  <c r="G255" i="10"/>
  <c r="G26" i="10"/>
  <c r="G32" i="10" s="1"/>
  <c r="L275" i="10"/>
  <c r="M276" i="10" s="1"/>
  <c r="L274" i="10"/>
  <c r="O16" i="12"/>
  <c r="U65" i="66"/>
  <c r="P683" i="10"/>
  <c r="O664" i="10"/>
  <c r="J764" i="10"/>
  <c r="K760" i="10"/>
  <c r="L302" i="10"/>
  <c r="P458" i="10"/>
  <c r="AC19" i="10"/>
  <c r="AB5" i="66"/>
  <c r="O28" i="12"/>
  <c r="W54" i="10"/>
  <c r="I80" i="10"/>
  <c r="H713" i="10"/>
  <c r="P460" i="10"/>
  <c r="O458" i="10"/>
  <c r="G488" i="10"/>
  <c r="G336" i="10"/>
  <c r="N458" i="10"/>
  <c r="K337" i="10"/>
  <c r="L337" i="10"/>
  <c r="I227" i="10"/>
  <c r="I25" i="10"/>
  <c r="P472" i="10"/>
  <c r="O461" i="10"/>
  <c r="J333" i="10"/>
  <c r="G80" i="10"/>
  <c r="G146" i="10"/>
  <c r="G153" i="10" s="1"/>
  <c r="K737" i="10"/>
  <c r="O470" i="10"/>
  <c r="N459" i="10"/>
  <c r="BQ99" i="10"/>
  <c r="BQ11" i="10"/>
  <c r="J44" i="10"/>
  <c r="F17" i="66"/>
  <c r="BK178" i="10"/>
  <c r="BK12" i="10"/>
  <c r="N144" i="10"/>
  <c r="K344" i="10"/>
  <c r="O662" i="10"/>
  <c r="O227" i="10"/>
  <c r="BI177" i="10"/>
  <c r="G93" i="10"/>
  <c r="W60" i="10"/>
  <c r="P49" i="12" s="1"/>
  <c r="L349" i="10"/>
  <c r="L328" i="10"/>
  <c r="E165" i="12"/>
  <c r="E70" i="17" s="1"/>
  <c r="E256" i="12"/>
  <c r="E178" i="12"/>
  <c r="K174" i="12"/>
  <c r="I98" i="12"/>
  <c r="I97" i="12"/>
  <c r="X159" i="12"/>
  <c r="K159" i="12"/>
  <c r="L159" i="12" s="1"/>
  <c r="M159" i="12" s="1"/>
  <c r="K158" i="12"/>
  <c r="X158" i="12"/>
  <c r="K209" i="12"/>
  <c r="K220" i="12"/>
  <c r="E20" i="12"/>
  <c r="C176" i="12"/>
  <c r="K149" i="12"/>
  <c r="L149" i="12" s="1"/>
  <c r="M149" i="12" s="1"/>
  <c r="X149" i="12"/>
  <c r="K54" i="12"/>
  <c r="AA23" i="11"/>
  <c r="L28" i="12"/>
  <c r="AE23" i="11" s="1"/>
  <c r="N54" i="10"/>
  <c r="M49" i="12"/>
  <c r="O60" i="10"/>
  <c r="S187" i="11"/>
  <c r="W178" i="11"/>
  <c r="T116" i="83"/>
  <c r="J125" i="83" s="1"/>
  <c r="S111" i="83"/>
  <c r="I124" i="83" s="1"/>
  <c r="V57" i="11" l="1"/>
  <c r="L599" i="10"/>
  <c r="L593" i="10"/>
  <c r="L573" i="10"/>
  <c r="L562" i="10"/>
  <c r="K593" i="10"/>
  <c r="V105" i="11"/>
  <c r="AA239" i="11"/>
  <c r="W268" i="11"/>
  <c r="Z282" i="11"/>
  <c r="W267" i="11"/>
  <c r="Z281" i="11"/>
  <c r="W264" i="11"/>
  <c r="Z278" i="11"/>
  <c r="AG777" i="10"/>
  <c r="N815" i="10"/>
  <c r="N790" i="10"/>
  <c r="P154" i="12"/>
  <c r="F155" i="12"/>
  <c r="AC361" i="24"/>
  <c r="W151" i="12"/>
  <c r="Q159" i="24"/>
  <c r="AE177" i="10"/>
  <c r="AE12" i="10" s="1"/>
  <c r="AE20" i="10" s="1"/>
  <c r="C50" i="63"/>
  <c r="C159" i="24"/>
  <c r="C160" i="24" s="1"/>
  <c r="F84" i="17"/>
  <c r="R361" i="24"/>
  <c r="D15" i="18"/>
  <c r="D16" i="18" s="1"/>
  <c r="D26" i="18" s="1"/>
  <c r="C44" i="17"/>
  <c r="C45" i="17" s="1"/>
  <c r="C38" i="17"/>
  <c r="C9" i="17" s="1"/>
  <c r="O14" i="83"/>
  <c r="O15" i="83" s="1"/>
  <c r="S4" i="83" s="1"/>
  <c r="W4" i="83" s="1"/>
  <c r="X361" i="24"/>
  <c r="AB361" i="24"/>
  <c r="E219" i="12"/>
  <c r="V361" i="24"/>
  <c r="F256" i="12"/>
  <c r="M7" i="80"/>
  <c r="AH773" i="10"/>
  <c r="V199" i="11"/>
  <c r="V81" i="11"/>
  <c r="I44" i="18"/>
  <c r="I11" i="18"/>
  <c r="I38" i="18" s="1"/>
  <c r="I37" i="18"/>
  <c r="I49" i="18"/>
  <c r="N180" i="10"/>
  <c r="N181" i="10" s="1"/>
  <c r="AA155" i="11"/>
  <c r="N206" i="10"/>
  <c r="AA139" i="11"/>
  <c r="AA140" i="11" s="1"/>
  <c r="U151" i="11"/>
  <c r="W147" i="11"/>
  <c r="I50" i="18"/>
  <c r="AE11" i="10"/>
  <c r="AE19" i="10" s="1"/>
  <c r="AD12" i="10"/>
  <c r="AD20" i="10" s="1"/>
  <c r="AD260" i="10"/>
  <c r="AD16" i="10" s="1"/>
  <c r="AD22" i="10" s="1"/>
  <c r="W129" i="11"/>
  <c r="W115" i="11"/>
  <c r="AN167" i="11"/>
  <c r="AD99" i="10"/>
  <c r="AD97" i="10" s="1"/>
  <c r="Y48" i="11"/>
  <c r="BT382" i="10"/>
  <c r="BU382" i="10" s="1"/>
  <c r="AQ156" i="11"/>
  <c r="AQ159" i="11" s="1"/>
  <c r="AD43" i="11"/>
  <c r="Y260" i="11"/>
  <c r="AD726" i="10"/>
  <c r="U299" i="11"/>
  <c r="Y277" i="11"/>
  <c r="AE26" i="11"/>
  <c r="AE61" i="11" s="1"/>
  <c r="H643" i="10"/>
  <c r="AE177" i="11"/>
  <c r="AD90" i="11"/>
  <c r="BX74" i="10"/>
  <c r="BX99" i="10" s="1"/>
  <c r="BC76" i="66"/>
  <c r="AH53" i="10"/>
  <c r="CA58" i="10"/>
  <c r="AH58" i="10" s="1"/>
  <c r="AC25" i="11"/>
  <c r="BX54" i="10"/>
  <c r="AM15" i="18" s="1"/>
  <c r="AD59" i="11"/>
  <c r="CA60" i="10"/>
  <c r="AH60" i="10" s="1"/>
  <c r="AC28" i="11"/>
  <c r="AD11" i="10"/>
  <c r="AD19" i="10" s="1"/>
  <c r="AC60" i="11"/>
  <c r="BW59" i="10"/>
  <c r="AF59" i="10" s="1"/>
  <c r="Y48" i="12" s="1"/>
  <c r="AC63" i="11"/>
  <c r="X260" i="11"/>
  <c r="AC43" i="11"/>
  <c r="BX59" i="10"/>
  <c r="AD63" i="11"/>
  <c r="BX60" i="10"/>
  <c r="AD64" i="11"/>
  <c r="BX53" i="10"/>
  <c r="AD58" i="11"/>
  <c r="AD22" i="11" s="1"/>
  <c r="BX56" i="10"/>
  <c r="AD60" i="11"/>
  <c r="CA74" i="10"/>
  <c r="CA99" i="10" s="1"/>
  <c r="AC174" i="11"/>
  <c r="CA11" i="10"/>
  <c r="CA19" i="10" s="1"/>
  <c r="AC121" i="11"/>
  <c r="AC122" i="11" s="1"/>
  <c r="AC8" i="11"/>
  <c r="BX58" i="10"/>
  <c r="AD62" i="11"/>
  <c r="AD56" i="11"/>
  <c r="CB13" i="10"/>
  <c r="BD7" i="66" s="1"/>
  <c r="BD43" i="66" s="1"/>
  <c r="AD178" i="11"/>
  <c r="AF11" i="10"/>
  <c r="BY13" i="10"/>
  <c r="BA7" i="66" s="1"/>
  <c r="BA43" i="66" s="1"/>
  <c r="BT178" i="10"/>
  <c r="AX41" i="66"/>
  <c r="BB41" i="66"/>
  <c r="BT99" i="10"/>
  <c r="AZ43" i="66"/>
  <c r="M48" i="12"/>
  <c r="AE27" i="11"/>
  <c r="BW56" i="10"/>
  <c r="AF56" i="10" s="1"/>
  <c r="Y43" i="12" s="1"/>
  <c r="F57" i="11"/>
  <c r="K70" i="12"/>
  <c r="J85" i="66" s="1"/>
  <c r="X85" i="66" s="1"/>
  <c r="T83" i="11"/>
  <c r="W83" i="11" s="1"/>
  <c r="J178" i="12"/>
  <c r="AT30" i="18"/>
  <c r="W53" i="10"/>
  <c r="P38" i="12" s="1"/>
  <c r="K72" i="12"/>
  <c r="L70" i="12" s="1"/>
  <c r="J71" i="12"/>
  <c r="I86" i="66" s="1"/>
  <c r="W86" i="66" s="1"/>
  <c r="J91" i="17"/>
  <c r="J39" i="17"/>
  <c r="AT14" i="18"/>
  <c r="AY76" i="66"/>
  <c r="AL24" i="18"/>
  <c r="J69" i="12"/>
  <c r="J11" i="17" s="1"/>
  <c r="F38" i="17"/>
  <c r="F9" i="17" s="1"/>
  <c r="D219" i="12"/>
  <c r="F165" i="12"/>
  <c r="F70" i="17" s="1"/>
  <c r="F178" i="12"/>
  <c r="F94" i="66"/>
  <c r="R142" i="12"/>
  <c r="Q145" i="12"/>
  <c r="AH20" i="4"/>
  <c r="AK20" i="4"/>
  <c r="L294" i="11"/>
  <c r="U76" i="66"/>
  <c r="N97" i="10"/>
  <c r="O97" i="10" s="1"/>
  <c r="P97" i="10" s="1"/>
  <c r="AD361" i="24"/>
  <c r="N152" i="10"/>
  <c r="N80" i="10"/>
  <c r="AA153" i="11" s="1"/>
  <c r="AA154" i="11" s="1"/>
  <c r="W361" i="24"/>
  <c r="S145" i="12"/>
  <c r="M361" i="24"/>
  <c r="G50" i="63"/>
  <c r="K318" i="10"/>
  <c r="U159" i="24"/>
  <c r="V175" i="11"/>
  <c r="T134" i="12"/>
  <c r="G219" i="12"/>
  <c r="W145" i="12"/>
  <c r="AA61" i="11"/>
  <c r="T80" i="11"/>
  <c r="X80" i="11"/>
  <c r="AC159" i="24"/>
  <c r="H31" i="38"/>
  <c r="T163" i="12"/>
  <c r="F65" i="63"/>
  <c r="F73" i="63" s="1"/>
  <c r="H178" i="12"/>
  <c r="T57" i="11"/>
  <c r="X48" i="11"/>
  <c r="E207" i="24"/>
  <c r="R243" i="11"/>
  <c r="C114" i="66"/>
  <c r="C115" i="66" s="1"/>
  <c r="H38" i="17"/>
  <c r="H9" i="17" s="1"/>
  <c r="C361" i="24"/>
  <c r="L299" i="11"/>
  <c r="C196" i="12"/>
  <c r="I324" i="24"/>
  <c r="E155" i="12"/>
  <c r="H165" i="12"/>
  <c r="E324" i="24"/>
  <c r="G33" i="63"/>
  <c r="H256" i="12"/>
  <c r="C117" i="66"/>
  <c r="C118" i="66" s="1"/>
  <c r="D361" i="24"/>
  <c r="I84" i="17"/>
  <c r="H85" i="12"/>
  <c r="D14" i="63"/>
  <c r="D21" i="63" s="1"/>
  <c r="I38" i="17"/>
  <c r="I9" i="17" s="1"/>
  <c r="Q361" i="24"/>
  <c r="H30" i="12"/>
  <c r="H72" i="17" s="1"/>
  <c r="D83" i="17"/>
  <c r="E71" i="66"/>
  <c r="E210" i="12"/>
  <c r="I361" i="24"/>
  <c r="L300" i="11"/>
  <c r="R273" i="11"/>
  <c r="R287" i="11" s="1"/>
  <c r="AA123" i="11"/>
  <c r="S236" i="11"/>
  <c r="L296" i="11"/>
  <c r="L290" i="11"/>
  <c r="D159" i="24"/>
  <c r="D160" i="24" s="1"/>
  <c r="Y73" i="66"/>
  <c r="Z73" i="66" s="1"/>
  <c r="L293" i="11"/>
  <c r="AK25" i="18"/>
  <c r="I219" i="12"/>
  <c r="L295" i="11"/>
  <c r="AA60" i="11"/>
  <c r="L291" i="11"/>
  <c r="M263" i="11"/>
  <c r="M292" i="11" s="1"/>
  <c r="P277" i="11"/>
  <c r="D50" i="63"/>
  <c r="L292" i="11"/>
  <c r="L298" i="11"/>
  <c r="L277" i="11"/>
  <c r="D66" i="66"/>
  <c r="D103" i="66" s="1"/>
  <c r="P361" i="24"/>
  <c r="R80" i="11"/>
  <c r="H219" i="12"/>
  <c r="H33" i="63"/>
  <c r="V142" i="12"/>
  <c r="U145" i="12"/>
  <c r="E156" i="12"/>
  <c r="C178" i="12"/>
  <c r="C165" i="12"/>
  <c r="C70" i="17" s="1"/>
  <c r="Y361" i="24"/>
  <c r="D109" i="66"/>
  <c r="D92" i="66"/>
  <c r="E92" i="66"/>
  <c r="D178" i="12"/>
  <c r="F80" i="12"/>
  <c r="F219" i="12"/>
  <c r="E159" i="24"/>
  <c r="E160" i="24" s="1"/>
  <c r="I69" i="12"/>
  <c r="I11" i="17" s="1"/>
  <c r="F30" i="12"/>
  <c r="F14" i="17" s="1"/>
  <c r="I39" i="17"/>
  <c r="S104" i="83"/>
  <c r="S106" i="83" s="1"/>
  <c r="I123" i="83" s="1"/>
  <c r="C30" i="12"/>
  <c r="H11" i="38"/>
  <c r="H9" i="38" s="1"/>
  <c r="H28" i="38"/>
  <c r="AD52" i="4"/>
  <c r="E361" i="24"/>
  <c r="K3" i="38"/>
  <c r="O231" i="10"/>
  <c r="O180" i="10" s="1"/>
  <c r="N25" i="10"/>
  <c r="S243" i="11"/>
  <c r="N191" i="10"/>
  <c r="O151" i="12"/>
  <c r="O156" i="12" s="1"/>
  <c r="O166" i="12" s="1"/>
  <c r="S361" i="24"/>
  <c r="J230" i="12"/>
  <c r="I126" i="66"/>
  <c r="I31" i="38"/>
  <c r="AY5" i="66"/>
  <c r="BW19" i="10"/>
  <c r="I106" i="66"/>
  <c r="I88" i="66"/>
  <c r="I83" i="66"/>
  <c r="C33" i="63"/>
  <c r="W260" i="11"/>
  <c r="K19" i="38"/>
  <c r="K22" i="38"/>
  <c r="N43" i="4"/>
  <c r="AN6" i="4"/>
  <c r="V185" i="11"/>
  <c r="W9" i="11"/>
  <c r="BX11" i="10"/>
  <c r="W182" i="11"/>
  <c r="W183" i="11" s="1"/>
  <c r="BU15" i="10"/>
  <c r="AW8" i="66" s="1"/>
  <c r="AU125" i="11"/>
  <c r="P13" i="10"/>
  <c r="Q7" i="4" s="1"/>
  <c r="AQ7" i="4" s="1"/>
  <c r="AI28" i="18"/>
  <c r="K58" i="66"/>
  <c r="J57" i="11"/>
  <c r="AI9" i="66"/>
  <c r="BV49" i="10"/>
  <c r="AK14" i="18" s="1"/>
  <c r="BG29" i="10"/>
  <c r="X29" i="10" s="1"/>
  <c r="X9" i="10"/>
  <c r="X574" i="10" s="1"/>
  <c r="V8" i="18"/>
  <c r="V44" i="18" s="1"/>
  <c r="R57" i="11"/>
  <c r="R81" i="11" s="1"/>
  <c r="AI24" i="18"/>
  <c r="AI64" i="66"/>
  <c r="BV9" i="10"/>
  <c r="I293" i="11"/>
  <c r="U293" i="11"/>
  <c r="I300" i="11"/>
  <c r="U297" i="11"/>
  <c r="AV5" i="66"/>
  <c r="BT19" i="10"/>
  <c r="U296" i="11"/>
  <c r="G57" i="11"/>
  <c r="J256" i="11"/>
  <c r="J255" i="11"/>
  <c r="AW80" i="66"/>
  <c r="AJ30" i="18"/>
  <c r="AR30" i="18" s="1"/>
  <c r="I296" i="11"/>
  <c r="W102" i="11"/>
  <c r="U292" i="11"/>
  <c r="I294" i="11"/>
  <c r="S80" i="11"/>
  <c r="I292" i="11"/>
  <c r="BV29" i="10"/>
  <c r="BZ35" i="10" s="1"/>
  <c r="U295" i="11"/>
  <c r="H29" i="66"/>
  <c r="I44" i="66"/>
  <c r="D121" i="66"/>
  <c r="AJ86" i="66"/>
  <c r="H24" i="10"/>
  <c r="H30" i="10" s="1"/>
  <c r="BI11" i="10"/>
  <c r="AK5" i="66" s="1"/>
  <c r="F13" i="66"/>
  <c r="G49" i="66" s="1"/>
  <c r="K37" i="10"/>
  <c r="J42" i="10"/>
  <c r="J782" i="10" s="1"/>
  <c r="L260" i="10"/>
  <c r="AC260" i="10" s="1"/>
  <c r="B28" i="66"/>
  <c r="N178" i="10"/>
  <c r="N221" i="10"/>
  <c r="N222" i="10" s="1"/>
  <c r="BL50" i="10"/>
  <c r="H46" i="10"/>
  <c r="K22" i="10"/>
  <c r="F10" i="38"/>
  <c r="Q6" i="66"/>
  <c r="F9" i="38"/>
  <c r="K302" i="10"/>
  <c r="F25" i="66"/>
  <c r="F30" i="66" s="1"/>
  <c r="G605" i="10"/>
  <c r="AJ79" i="66"/>
  <c r="E15" i="66"/>
  <c r="I313" i="10"/>
  <c r="I315" i="10" s="1"/>
  <c r="BR40" i="10"/>
  <c r="BE177" i="10"/>
  <c r="BE12" i="10" s="1"/>
  <c r="AG6" i="66" s="1"/>
  <c r="B25" i="66"/>
  <c r="J315" i="10"/>
  <c r="K316" i="10" s="1"/>
  <c r="G603" i="10"/>
  <c r="I38" i="10"/>
  <c r="F12" i="66"/>
  <c r="F56" i="66" s="1"/>
  <c r="H601" i="10"/>
  <c r="S38" i="12"/>
  <c r="H579" i="10"/>
  <c r="Y64" i="10"/>
  <c r="R54" i="12" s="1"/>
  <c r="BP20" i="10"/>
  <c r="J41" i="10"/>
  <c r="J781" i="10" s="1"/>
  <c r="AC605" i="10"/>
  <c r="H638" i="10"/>
  <c r="L35" i="10"/>
  <c r="BL20" i="10"/>
  <c r="L17" i="10"/>
  <c r="J87" i="10"/>
  <c r="J80" i="10" s="1"/>
  <c r="H640" i="10"/>
  <c r="L40" i="10"/>
  <c r="I76" i="83" s="1"/>
  <c r="I84" i="83" s="1"/>
  <c r="G578" i="10"/>
  <c r="G577" i="10"/>
  <c r="G643" i="10"/>
  <c r="AR96" i="66"/>
  <c r="E11" i="38"/>
  <c r="I75" i="83"/>
  <c r="G575" i="10"/>
  <c r="G10" i="10"/>
  <c r="E14" i="38" s="1"/>
  <c r="G640" i="10"/>
  <c r="H661" i="10"/>
  <c r="I606" i="10"/>
  <c r="G639" i="10"/>
  <c r="G642" i="10"/>
  <c r="E12" i="38"/>
  <c r="G50" i="10"/>
  <c r="BF51" i="10"/>
  <c r="BF52" i="10" s="1"/>
  <c r="J51" i="10"/>
  <c r="K91" i="10"/>
  <c r="K85" i="10" s="1"/>
  <c r="K149" i="10" s="1"/>
  <c r="AG8" i="18"/>
  <c r="P301" i="10"/>
  <c r="J38" i="10"/>
  <c r="G641" i="10"/>
  <c r="I18" i="10"/>
  <c r="E10" i="38"/>
  <c r="AG76" i="66"/>
  <c r="C9" i="66"/>
  <c r="C27" i="66" s="1"/>
  <c r="G29" i="10"/>
  <c r="G51" i="10" s="1"/>
  <c r="G61" i="10" s="1"/>
  <c r="G48" i="10"/>
  <c r="G579" i="10"/>
  <c r="AI25" i="18"/>
  <c r="F18" i="66"/>
  <c r="F60" i="66" s="1"/>
  <c r="BF40" i="10"/>
  <c r="W12" i="10"/>
  <c r="V6" i="66" s="1"/>
  <c r="Y60" i="10"/>
  <c r="R49" i="12" s="1"/>
  <c r="E9" i="38"/>
  <c r="G18" i="10"/>
  <c r="G604" i="10"/>
  <c r="G46" i="10"/>
  <c r="B24" i="66"/>
  <c r="H639" i="10"/>
  <c r="E8" i="18"/>
  <c r="E11" i="18" s="1"/>
  <c r="G576" i="10"/>
  <c r="G602" i="10"/>
  <c r="V16" i="12"/>
  <c r="V18" i="12" s="1"/>
  <c r="F51" i="10"/>
  <c r="F52" i="10" s="1"/>
  <c r="AC50" i="10"/>
  <c r="AB9" i="66"/>
  <c r="AC603" i="10"/>
  <c r="D50" i="18"/>
  <c r="K582" i="10"/>
  <c r="AS79" i="66"/>
  <c r="I31" i="10"/>
  <c r="I42" i="10" s="1"/>
  <c r="I782" i="10" s="1"/>
  <c r="AC594" i="10"/>
  <c r="AC601" i="10" s="1"/>
  <c r="BL48" i="10"/>
  <c r="O59" i="10"/>
  <c r="K573" i="10"/>
  <c r="K580" i="10" s="1"/>
  <c r="BH260" i="10"/>
  <c r="BH16" i="10" s="1"/>
  <c r="AJ8" i="66" s="1"/>
  <c r="AB64" i="66"/>
  <c r="AB66" i="66" s="1"/>
  <c r="AN9" i="66"/>
  <c r="AA8" i="18"/>
  <c r="AA16" i="18" s="1"/>
  <c r="X30" i="18"/>
  <c r="AC578" i="10"/>
  <c r="J11" i="18"/>
  <c r="AC575" i="10"/>
  <c r="H50" i="66"/>
  <c r="V13" i="12"/>
  <c r="V84" i="12" s="1"/>
  <c r="AN64" i="66"/>
  <c r="D49" i="18"/>
  <c r="BI62" i="10"/>
  <c r="AK79" i="66" s="1"/>
  <c r="K35" i="10"/>
  <c r="K260" i="10"/>
  <c r="K262" i="10" s="1"/>
  <c r="K33" i="10" s="1"/>
  <c r="AC579" i="10"/>
  <c r="J28" i="10"/>
  <c r="AV71" i="66"/>
  <c r="I41" i="83"/>
  <c r="H603" i="10"/>
  <c r="K606" i="10"/>
  <c r="H14" i="38"/>
  <c r="S155" i="12"/>
  <c r="D45" i="17"/>
  <c r="D53" i="17"/>
  <c r="D38" i="17"/>
  <c r="D9" i="17" s="1"/>
  <c r="M207" i="24"/>
  <c r="F210" i="12"/>
  <c r="E53" i="17"/>
  <c r="AD35" i="10"/>
  <c r="AH16" i="4"/>
  <c r="AK16" i="4"/>
  <c r="I50" i="63"/>
  <c r="V144" i="12"/>
  <c r="C21" i="12"/>
  <c r="AB51" i="10"/>
  <c r="AB61" i="10" s="1"/>
  <c r="AK71" i="66"/>
  <c r="R144" i="12"/>
  <c r="J15" i="18"/>
  <c r="J16" i="18" s="1"/>
  <c r="F207" i="24"/>
  <c r="F150" i="12"/>
  <c r="AH19" i="4"/>
  <c r="AK19" i="4"/>
  <c r="AD19" i="4"/>
  <c r="C92" i="66"/>
  <c r="C109" i="66"/>
  <c r="C108" i="66"/>
  <c r="C121" i="66"/>
  <c r="F8" i="18"/>
  <c r="F11" i="18" s="1"/>
  <c r="H574" i="10"/>
  <c r="H602" i="10"/>
  <c r="H642" i="10"/>
  <c r="I47" i="63"/>
  <c r="V143" i="12"/>
  <c r="C85" i="12"/>
  <c r="W56" i="10"/>
  <c r="P43" i="12" s="1"/>
  <c r="D9" i="66"/>
  <c r="E45" i="66" s="1"/>
  <c r="AB76" i="66"/>
  <c r="C53" i="17"/>
  <c r="H48" i="10"/>
  <c r="O64" i="66"/>
  <c r="H29" i="10"/>
  <c r="H51" i="10" s="1"/>
  <c r="H575" i="10"/>
  <c r="I10" i="10"/>
  <c r="G14" i="38" s="1"/>
  <c r="BR185" i="10"/>
  <c r="P155" i="12"/>
  <c r="I178" i="12"/>
  <c r="AB68" i="66"/>
  <c r="L626" i="10"/>
  <c r="L608" i="10"/>
  <c r="H636" i="10"/>
  <c r="H644" i="10" s="1"/>
  <c r="E65" i="63"/>
  <c r="E73" i="63" s="1"/>
  <c r="I159" i="24"/>
  <c r="I160" i="24" s="1"/>
  <c r="D286" i="24"/>
  <c r="E204" i="12"/>
  <c r="AF86" i="66"/>
  <c r="F324" i="24"/>
  <c r="F11" i="38"/>
  <c r="J44" i="18"/>
  <c r="BR10" i="10"/>
  <c r="H577" i="10"/>
  <c r="S47" i="12"/>
  <c r="H641" i="10"/>
  <c r="BR260" i="10"/>
  <c r="BR16" i="10" s="1"/>
  <c r="BR50" i="10"/>
  <c r="BR18" i="10"/>
  <c r="S151" i="12"/>
  <c r="V163" i="12"/>
  <c r="K630" i="10"/>
  <c r="K638" i="10" s="1"/>
  <c r="AA8" i="66"/>
  <c r="V25" i="12"/>
  <c r="L22" i="10"/>
  <c r="Q80" i="11"/>
  <c r="AB67" i="66"/>
  <c r="O361" i="24"/>
  <c r="G159" i="24"/>
  <c r="G160" i="24" s="1"/>
  <c r="T142" i="12"/>
  <c r="D205" i="12"/>
  <c r="J37" i="18"/>
  <c r="J49" i="18"/>
  <c r="I57" i="11"/>
  <c r="F44" i="17"/>
  <c r="F45" i="17" s="1"/>
  <c r="AJ16" i="4"/>
  <c r="H578" i="10"/>
  <c r="H576" i="10"/>
  <c r="H10" i="10"/>
  <c r="F14" i="38" s="1"/>
  <c r="H18" i="10"/>
  <c r="AT64" i="66"/>
  <c r="AT109" i="66" s="1"/>
  <c r="C210" i="12"/>
  <c r="J52" i="4"/>
  <c r="AJ4" i="4"/>
  <c r="AC4" i="4"/>
  <c r="AF4" i="4"/>
  <c r="J65" i="4"/>
  <c r="AB22" i="10"/>
  <c r="L582" i="10"/>
  <c r="H28" i="66"/>
  <c r="AC602" i="10"/>
  <c r="T48" i="11"/>
  <c r="B104" i="66"/>
  <c r="J50" i="18"/>
  <c r="H50" i="10"/>
  <c r="F12" i="38"/>
  <c r="U207" i="24"/>
  <c r="AC604" i="10"/>
  <c r="D110" i="66"/>
  <c r="H604" i="10"/>
  <c r="H623" i="10"/>
  <c r="H605" i="10"/>
  <c r="H573" i="10"/>
  <c r="BR48" i="10"/>
  <c r="BR23" i="10"/>
  <c r="AB4" i="4"/>
  <c r="G52" i="4"/>
  <c r="D19" i="18"/>
  <c r="F20" i="4"/>
  <c r="AG71" i="66"/>
  <c r="T49" i="11"/>
  <c r="T200" i="11" s="1"/>
  <c r="X201" i="11" s="1"/>
  <c r="V254" i="11"/>
  <c r="V251" i="11"/>
  <c r="V253" i="11"/>
  <c r="V249" i="11"/>
  <c r="V250" i="11"/>
  <c r="V252" i="11"/>
  <c r="V247" i="11"/>
  <c r="V246" i="11"/>
  <c r="V111" i="11"/>
  <c r="V248" i="11"/>
  <c r="Q294" i="11"/>
  <c r="Q293" i="11"/>
  <c r="BB48" i="10"/>
  <c r="AA178" i="11"/>
  <c r="X24" i="18"/>
  <c r="BL18" i="10"/>
  <c r="X76" i="66"/>
  <c r="Q296" i="11"/>
  <c r="Q300" i="11"/>
  <c r="H48" i="11"/>
  <c r="V255" i="11"/>
  <c r="R250" i="11"/>
  <c r="Q299" i="11"/>
  <c r="Q292" i="11"/>
  <c r="G45" i="66"/>
  <c r="G28" i="66"/>
  <c r="G27" i="66"/>
  <c r="AB40" i="10"/>
  <c r="G24" i="66"/>
  <c r="G50" i="18"/>
  <c r="I772" i="10"/>
  <c r="I20" i="10"/>
  <c r="E6" i="66"/>
  <c r="J20" i="10"/>
  <c r="AA103" i="66"/>
  <c r="N11" i="83"/>
  <c r="K40" i="10"/>
  <c r="L324" i="10"/>
  <c r="K328" i="10"/>
  <c r="BO29" i="10"/>
  <c r="BO23" i="10" s="1"/>
  <c r="AD10" i="18" s="1"/>
  <c r="AD11" i="18" s="1"/>
  <c r="AD38" i="18" s="1"/>
  <c r="K314" i="10"/>
  <c r="BL260" i="10"/>
  <c r="BL16" i="10" s="1"/>
  <c r="V27" i="12"/>
  <c r="W150" i="11"/>
  <c r="W151" i="11" s="1"/>
  <c r="U20" i="12"/>
  <c r="U30" i="12" s="1"/>
  <c r="E27" i="66"/>
  <c r="E28" i="66"/>
  <c r="I348" i="10"/>
  <c r="J349" i="10" s="1"/>
  <c r="M111" i="10"/>
  <c r="M91" i="10"/>
  <c r="M85" i="10" s="1"/>
  <c r="H227" i="10"/>
  <c r="H25" i="10"/>
  <c r="H31" i="10" s="1"/>
  <c r="H37" i="18"/>
  <c r="G51" i="18"/>
  <c r="J217" i="10"/>
  <c r="I217" i="10"/>
  <c r="K327" i="10"/>
  <c r="G18" i="66"/>
  <c r="H52" i="66" s="1"/>
  <c r="AC29" i="10"/>
  <c r="BQ29" i="10" s="1"/>
  <c r="H772" i="10"/>
  <c r="D6" i="66"/>
  <c r="H20" i="10"/>
  <c r="AA70" i="66"/>
  <c r="AA72" i="66" s="1"/>
  <c r="AA105" i="66" s="1"/>
  <c r="K51" i="10"/>
  <c r="K61" i="10" s="1"/>
  <c r="L51" i="10"/>
  <c r="I22" i="83" s="1"/>
  <c r="I42" i="83" s="1"/>
  <c r="B18" i="66"/>
  <c r="B60" i="66" s="1"/>
  <c r="AB71" i="66"/>
  <c r="T47" i="12"/>
  <c r="L46" i="4"/>
  <c r="H25" i="66"/>
  <c r="Q9" i="66"/>
  <c r="H27" i="66"/>
  <c r="H24" i="66"/>
  <c r="H45" i="66"/>
  <c r="C6" i="66"/>
  <c r="G772" i="10"/>
  <c r="T25" i="18"/>
  <c r="G49" i="18"/>
  <c r="M54" i="4"/>
  <c r="M46" i="4"/>
  <c r="J323" i="10"/>
  <c r="J325" i="10" s="1"/>
  <c r="W23" i="10"/>
  <c r="V65" i="66" s="1"/>
  <c r="L580" i="10"/>
  <c r="G227" i="10"/>
  <c r="G25" i="10"/>
  <c r="G31" i="10" s="1"/>
  <c r="I272" i="10"/>
  <c r="J272" i="10"/>
  <c r="D15" i="66"/>
  <c r="H43" i="10"/>
  <c r="N198" i="10"/>
  <c r="W180" i="11"/>
  <c r="K24" i="83"/>
  <c r="L47" i="12"/>
  <c r="P28" i="4" s="1"/>
  <c r="AP28" i="4" s="1"/>
  <c r="J194" i="12"/>
  <c r="J203" i="12" s="1"/>
  <c r="J60" i="12"/>
  <c r="J5" i="12" s="1"/>
  <c r="J183" i="12"/>
  <c r="J90" i="12"/>
  <c r="J248" i="12" s="1"/>
  <c r="J252" i="12" s="1"/>
  <c r="J184" i="12"/>
  <c r="N12" i="10"/>
  <c r="AS126" i="11" s="1"/>
  <c r="V150" i="12"/>
  <c r="L45" i="12"/>
  <c r="L571" i="10"/>
  <c r="AB69" i="66"/>
  <c r="AD51" i="18"/>
  <c r="AI51" i="18"/>
  <c r="I210" i="12"/>
  <c r="G151" i="12"/>
  <c r="R151" i="12" s="1"/>
  <c r="AH52" i="4"/>
  <c r="G45" i="17"/>
  <c r="F31" i="38"/>
  <c r="Q207" i="24"/>
  <c r="L361" i="24"/>
  <c r="K43" i="12"/>
  <c r="N56" i="10" s="1"/>
  <c r="G207" i="24"/>
  <c r="G209" i="24" s="1"/>
  <c r="E31" i="38"/>
  <c r="X148" i="12"/>
  <c r="K148" i="12"/>
  <c r="J41" i="63"/>
  <c r="U84" i="12"/>
  <c r="U82" i="12"/>
  <c r="M159" i="24"/>
  <c r="D165" i="12"/>
  <c r="D70" i="17" s="1"/>
  <c r="AH108" i="66"/>
  <c r="U78" i="12"/>
  <c r="F159" i="24"/>
  <c r="BL10" i="10"/>
  <c r="BH48" i="10"/>
  <c r="AI50" i="18"/>
  <c r="O145" i="12"/>
  <c r="AA64" i="10"/>
  <c r="T54" i="12" s="1"/>
  <c r="AA108" i="66"/>
  <c r="AA110" i="66"/>
  <c r="AA109" i="66"/>
  <c r="U81" i="12"/>
  <c r="D29" i="63"/>
  <c r="E19" i="38"/>
  <c r="J28" i="38"/>
  <c r="J11" i="38"/>
  <c r="AG80" i="66"/>
  <c r="T30" i="18"/>
  <c r="AF28" i="4"/>
  <c r="AJ28" i="4"/>
  <c r="L11" i="4"/>
  <c r="H57" i="17"/>
  <c r="H18" i="17"/>
  <c r="F22" i="38"/>
  <c r="F19" i="38"/>
  <c r="I30" i="63"/>
  <c r="AF37" i="18"/>
  <c r="S44" i="18"/>
  <c r="I83" i="17"/>
  <c r="AF51" i="18"/>
  <c r="AI12" i="18"/>
  <c r="AH37" i="18"/>
  <c r="AC14" i="18"/>
  <c r="AC51" i="18" s="1"/>
  <c r="AC12" i="18"/>
  <c r="AC49" i="18" s="1"/>
  <c r="J582" i="10"/>
  <c r="J573" i="10"/>
  <c r="J580" i="10" s="1"/>
  <c r="J630" i="10"/>
  <c r="J571" i="10"/>
  <c r="B103" i="66"/>
  <c r="AC48" i="10"/>
  <c r="V47" i="10"/>
  <c r="O25" i="12" s="1"/>
  <c r="R12" i="18"/>
  <c r="R49" i="18" s="1"/>
  <c r="R13" i="18"/>
  <c r="AI15" i="18"/>
  <c r="AH15" i="18"/>
  <c r="C88" i="17"/>
  <c r="C57" i="17"/>
  <c r="C18" i="17"/>
  <c r="C83" i="17"/>
  <c r="G49" i="63"/>
  <c r="H100" i="12"/>
  <c r="H102" i="12" s="1"/>
  <c r="G64" i="63"/>
  <c r="G65" i="63" s="1"/>
  <c r="G73" i="63" s="1"/>
  <c r="G180" i="12"/>
  <c r="G155" i="12"/>
  <c r="R153" i="12"/>
  <c r="G168" i="12"/>
  <c r="H155" i="12"/>
  <c r="T153" i="12"/>
  <c r="H64" i="63"/>
  <c r="H49" i="63"/>
  <c r="H88" i="17"/>
  <c r="H180" i="12"/>
  <c r="H168" i="12"/>
  <c r="M16" i="4"/>
  <c r="AM16" i="4" s="1"/>
  <c r="I44" i="17"/>
  <c r="I45" i="17" s="1"/>
  <c r="H71" i="66"/>
  <c r="H16" i="18"/>
  <c r="H26" i="18" s="1"/>
  <c r="I16" i="18"/>
  <c r="E11" i="17"/>
  <c r="AK28" i="4"/>
  <c r="AH28" i="4"/>
  <c r="AF15" i="4"/>
  <c r="AC15" i="4"/>
  <c r="AJ15" i="4"/>
  <c r="AB15" i="4"/>
  <c r="H52" i="17"/>
  <c r="H53" i="17" s="1"/>
  <c r="D51" i="18"/>
  <c r="D44" i="18"/>
  <c r="D11" i="18"/>
  <c r="J31" i="38"/>
  <c r="R11" i="18"/>
  <c r="J19" i="63"/>
  <c r="S12" i="18"/>
  <c r="S49" i="18" s="1"/>
  <c r="S13" i="18"/>
  <c r="G38" i="17"/>
  <c r="G9" i="17" s="1"/>
  <c r="G84" i="17"/>
  <c r="K11" i="4"/>
  <c r="G57" i="17"/>
  <c r="G18" i="17"/>
  <c r="J22" i="38"/>
  <c r="J19" i="38"/>
  <c r="I29" i="63"/>
  <c r="Z83" i="18"/>
  <c r="Z80" i="18"/>
  <c r="J608" i="10"/>
  <c r="J601" i="10"/>
  <c r="J606" i="10" s="1"/>
  <c r="J599" i="10"/>
  <c r="K608" i="10"/>
  <c r="Y37" i="18"/>
  <c r="Y51" i="18"/>
  <c r="Y11" i="18"/>
  <c r="Y44" i="18"/>
  <c r="R44" i="18"/>
  <c r="J10" i="38"/>
  <c r="U37" i="82"/>
  <c r="U38" i="82" s="1"/>
  <c r="J3" i="38"/>
  <c r="J14" i="38" s="1"/>
  <c r="AU71" i="66"/>
  <c r="B70" i="66"/>
  <c r="B72" i="66" s="1"/>
  <c r="G30" i="12"/>
  <c r="H58" i="17" s="1"/>
  <c r="Z76" i="66"/>
  <c r="W79" i="66"/>
  <c r="AP65" i="66"/>
  <c r="AC10" i="18"/>
  <c r="AC11" i="18" s="1"/>
  <c r="AH25" i="18"/>
  <c r="AD12" i="18"/>
  <c r="AD49" i="18" s="1"/>
  <c r="AD13" i="18"/>
  <c r="AD50" i="18" s="1"/>
  <c r="BW45" i="10"/>
  <c r="AL15" i="18" s="1"/>
  <c r="BK18" i="10"/>
  <c r="AH13" i="18"/>
  <c r="AT13" i="18" s="1"/>
  <c r="AH12" i="18"/>
  <c r="AH49" i="18" s="1"/>
  <c r="AA59" i="11"/>
  <c r="AE12" i="18"/>
  <c r="AE49" i="18" s="1"/>
  <c r="AE13" i="18"/>
  <c r="AE50" i="18" s="1"/>
  <c r="Q44" i="18"/>
  <c r="AE51" i="18"/>
  <c r="I256" i="12"/>
  <c r="I88" i="17"/>
  <c r="I70" i="17"/>
  <c r="C40" i="63"/>
  <c r="Q155" i="12"/>
  <c r="G11" i="18"/>
  <c r="G44" i="18"/>
  <c r="R154" i="12"/>
  <c r="T154" i="12"/>
  <c r="E30" i="63"/>
  <c r="E33" i="63" s="1"/>
  <c r="F28" i="38"/>
  <c r="AL96" i="66"/>
  <c r="AH109" i="66"/>
  <c r="I88" i="83"/>
  <c r="U55" i="82"/>
  <c r="U53" i="82"/>
  <c r="AF25" i="4"/>
  <c r="AJ25" i="4"/>
  <c r="AC25" i="4"/>
  <c r="J24" i="4"/>
  <c r="AB25" i="4"/>
  <c r="F50" i="63"/>
  <c r="P144" i="12"/>
  <c r="D30" i="63"/>
  <c r="E28" i="38"/>
  <c r="E45" i="17"/>
  <c r="Q12" i="18"/>
  <c r="Q49" i="18" s="1"/>
  <c r="E66" i="17"/>
  <c r="I582" i="10"/>
  <c r="I630" i="10"/>
  <c r="I573" i="10"/>
  <c r="I580" i="10" s="1"/>
  <c r="I571" i="10"/>
  <c r="I28" i="38"/>
  <c r="I11" i="38"/>
  <c r="I9" i="38" s="1"/>
  <c r="I3" i="38"/>
  <c r="I14" i="38" s="1"/>
  <c r="Q11" i="18"/>
  <c r="S11" i="18"/>
  <c r="AD37" i="18"/>
  <c r="AB50" i="18"/>
  <c r="AU76" i="66"/>
  <c r="AH24" i="18"/>
  <c r="D18" i="17"/>
  <c r="D57" i="17"/>
  <c r="H144" i="12"/>
  <c r="H159" i="24"/>
  <c r="H160" i="24" s="1"/>
  <c r="Y12" i="18"/>
  <c r="Y49" i="18" s="1"/>
  <c r="Y13" i="18"/>
  <c r="Y50" i="18" s="1"/>
  <c r="Y207" i="24"/>
  <c r="Q73" i="66"/>
  <c r="I52" i="17"/>
  <c r="I53" i="17" s="1"/>
  <c r="H19" i="17"/>
  <c r="H14" i="17"/>
  <c r="O34" i="4"/>
  <c r="AO34" i="4" s="1"/>
  <c r="G21" i="12"/>
  <c r="Y62" i="10"/>
  <c r="X79" i="66" s="1"/>
  <c r="BO46" i="10"/>
  <c r="AF12" i="18"/>
  <c r="AF49" i="18" s="1"/>
  <c r="AF13" i="18"/>
  <c r="AF50" i="18" s="1"/>
  <c r="Z12" i="18"/>
  <c r="Z49" i="18" s="1"/>
  <c r="Z13" i="18"/>
  <c r="Z50" i="18" s="1"/>
  <c r="AD67" i="66"/>
  <c r="Z44" i="18"/>
  <c r="U57" i="11"/>
  <c r="AN79" i="66"/>
  <c r="AA28" i="18"/>
  <c r="W44" i="18"/>
  <c r="I46" i="10"/>
  <c r="G15" i="18"/>
  <c r="G16" i="18" s="1"/>
  <c r="G26" i="18" s="1"/>
  <c r="N361" i="24"/>
  <c r="AE64" i="10"/>
  <c r="X54" i="12" s="1"/>
  <c r="K30" i="18"/>
  <c r="F18" i="17"/>
  <c r="F57" i="17"/>
  <c r="I25" i="18"/>
  <c r="AA56" i="10"/>
  <c r="T43" i="12" s="1"/>
  <c r="G31" i="38"/>
  <c r="G28" i="38"/>
  <c r="W56" i="11"/>
  <c r="BU55" i="10" s="1"/>
  <c r="AW71" i="66" s="1"/>
  <c r="AE55" i="10"/>
  <c r="X29" i="12" s="1"/>
  <c r="Y84" i="18"/>
  <c r="U155" i="12"/>
  <c r="AC56" i="10"/>
  <c r="V43" i="12" s="1"/>
  <c r="J25" i="18"/>
  <c r="Y159" i="24"/>
  <c r="U11" i="18"/>
  <c r="U16" i="18"/>
  <c r="U44" i="18"/>
  <c r="E22" i="38"/>
  <c r="G88" i="17"/>
  <c r="AH51" i="18"/>
  <c r="E134" i="12"/>
  <c r="E38" i="63"/>
  <c r="E43" i="63" s="1"/>
  <c r="E44" i="63" s="1"/>
  <c r="G573" i="10"/>
  <c r="H582" i="10"/>
  <c r="G571" i="10"/>
  <c r="G630" i="10"/>
  <c r="AC37" i="18"/>
  <c r="AC50" i="18"/>
  <c r="W12" i="18"/>
  <c r="W49" i="18" s="1"/>
  <c r="D88" i="17"/>
  <c r="AH15" i="4"/>
  <c r="AK15" i="4"/>
  <c r="AD15" i="4"/>
  <c r="AA84" i="18"/>
  <c r="AN23" i="4"/>
  <c r="AE85" i="66"/>
  <c r="G601" i="10"/>
  <c r="G608" i="10"/>
  <c r="H608" i="10"/>
  <c r="G599" i="10"/>
  <c r="M11" i="4"/>
  <c r="I18" i="17"/>
  <c r="I57" i="17"/>
  <c r="J72" i="63"/>
  <c r="F21" i="12"/>
  <c r="E18" i="17"/>
  <c r="E57" i="17"/>
  <c r="H21" i="12"/>
  <c r="G80" i="12"/>
  <c r="Y76" i="66"/>
  <c r="V15" i="18"/>
  <c r="V13" i="18"/>
  <c r="V12" i="18"/>
  <c r="Q57" i="11"/>
  <c r="Q81" i="11" s="1"/>
  <c r="AB14" i="18"/>
  <c r="AB51" i="18" s="1"/>
  <c r="AB12" i="18"/>
  <c r="AB49" i="18" s="1"/>
  <c r="AG15" i="18"/>
  <c r="AI37" i="18"/>
  <c r="G11" i="17"/>
  <c r="Z361" i="24"/>
  <c r="H83" i="17"/>
  <c r="AA361" i="24"/>
  <c r="R150" i="12"/>
  <c r="T143" i="12"/>
  <c r="H47" i="63"/>
  <c r="V53" i="12"/>
  <c r="AB79" i="66"/>
  <c r="Z82" i="18"/>
  <c r="AH66" i="66"/>
  <c r="AH103" i="66" s="1"/>
  <c r="O29" i="12"/>
  <c r="O27" i="12" s="1"/>
  <c r="W55" i="10"/>
  <c r="P29" i="12" s="1"/>
  <c r="F53" i="17"/>
  <c r="X25" i="18"/>
  <c r="L15" i="4"/>
  <c r="AL15" i="4" s="1"/>
  <c r="H43" i="17"/>
  <c r="H45" i="17" s="1"/>
  <c r="G67" i="66"/>
  <c r="H94" i="66" s="1"/>
  <c r="H81" i="12"/>
  <c r="G53" i="17"/>
  <c r="E19" i="18"/>
  <c r="G20" i="4"/>
  <c r="AB20" i="4" s="1"/>
  <c r="C73" i="66"/>
  <c r="O73" i="66" s="1"/>
  <c r="D196" i="12"/>
  <c r="Z51" i="18"/>
  <c r="K4" i="83"/>
  <c r="AA90" i="11"/>
  <c r="AA121" i="11" s="1"/>
  <c r="W143" i="11"/>
  <c r="W144" i="11" s="1"/>
  <c r="W122" i="11"/>
  <c r="AN124" i="11"/>
  <c r="N5" i="4"/>
  <c r="J72" i="83"/>
  <c r="J80" i="83" s="1"/>
  <c r="W90" i="11"/>
  <c r="M802" i="10"/>
  <c r="M806" i="10" s="1"/>
  <c r="M771" i="10"/>
  <c r="AF771" i="10" s="1"/>
  <c r="N182" i="10"/>
  <c r="N235" i="10" s="1"/>
  <c r="N237" i="10" s="1"/>
  <c r="AA157" i="11" s="1"/>
  <c r="N54" i="4"/>
  <c r="AN54" i="4" s="1"/>
  <c r="P201" i="10"/>
  <c r="P371" i="10" s="1"/>
  <c r="P377" i="10" s="1"/>
  <c r="L2" i="83"/>
  <c r="O177" i="10"/>
  <c r="O659" i="10"/>
  <c r="O666" i="10" s="1"/>
  <c r="O651" i="10"/>
  <c r="W30" i="12"/>
  <c r="W86" i="12" s="1"/>
  <c r="W85" i="12"/>
  <c r="W80" i="12"/>
  <c r="H211" i="12"/>
  <c r="H361" i="24"/>
  <c r="F361" i="24"/>
  <c r="F204" i="12"/>
  <c r="L197" i="12"/>
  <c r="O57" i="10"/>
  <c r="D324" i="24"/>
  <c r="D210" i="12"/>
  <c r="C286" i="24"/>
  <c r="C14" i="63"/>
  <c r="C226" i="12"/>
  <c r="C224" i="12"/>
  <c r="L630" i="10"/>
  <c r="L636" i="10" s="1"/>
  <c r="L644" i="10" s="1"/>
  <c r="P133" i="12"/>
  <c r="F38" i="63"/>
  <c r="F43" i="63" s="1"/>
  <c r="F44" i="63" s="1"/>
  <c r="F134" i="12"/>
  <c r="M44" i="12"/>
  <c r="T150" i="12"/>
  <c r="I207" i="24"/>
  <c r="S3" i="83"/>
  <c r="V3" i="83" s="1"/>
  <c r="I23" i="83"/>
  <c r="I38" i="83"/>
  <c r="I34" i="83"/>
  <c r="R163" i="12"/>
  <c r="G256" i="12"/>
  <c r="G178" i="12"/>
  <c r="G165" i="12"/>
  <c r="H14" i="63"/>
  <c r="H21" i="63" s="1"/>
  <c r="H286" i="24"/>
  <c r="G114" i="66"/>
  <c r="G115" i="66" s="1"/>
  <c r="G117" i="66"/>
  <c r="G118" i="66" s="1"/>
  <c r="H226" i="12"/>
  <c r="H227" i="12" s="1"/>
  <c r="H205" i="12"/>
  <c r="U361" i="24"/>
  <c r="E103" i="66"/>
  <c r="E104" i="66"/>
  <c r="E70" i="66"/>
  <c r="F97" i="66"/>
  <c r="F104" i="66"/>
  <c r="F93" i="66"/>
  <c r="F103" i="66"/>
  <c r="F70" i="66"/>
  <c r="H63" i="63"/>
  <c r="H40" i="63"/>
  <c r="H43" i="63" s="1"/>
  <c r="H44" i="63" s="1"/>
  <c r="H176" i="12"/>
  <c r="H151" i="12"/>
  <c r="T147" i="12"/>
  <c r="AJ85" i="66"/>
  <c r="V24" i="12"/>
  <c r="AC46" i="10"/>
  <c r="C94" i="66"/>
  <c r="D94" i="66"/>
  <c r="C110" i="66"/>
  <c r="C64" i="63"/>
  <c r="C65" i="63" s="1"/>
  <c r="C73" i="63" s="1"/>
  <c r="C100" i="12"/>
  <c r="C102" i="12" s="1"/>
  <c r="C180" i="12"/>
  <c r="C19" i="63" s="1"/>
  <c r="C49" i="63"/>
  <c r="D100" i="12"/>
  <c r="D102" i="12" s="1"/>
  <c r="R133" i="12"/>
  <c r="G38" i="63"/>
  <c r="G43" i="63" s="1"/>
  <c r="G44" i="63" s="1"/>
  <c r="G134" i="12"/>
  <c r="H207" i="24"/>
  <c r="U151" i="12"/>
  <c r="T361" i="24"/>
  <c r="I40" i="83"/>
  <c r="O65" i="66"/>
  <c r="C66" i="66"/>
  <c r="I28" i="83"/>
  <c r="I39" i="83" s="1"/>
  <c r="L588" i="10"/>
  <c r="V153" i="12"/>
  <c r="I155" i="12"/>
  <c r="I180" i="12"/>
  <c r="I100" i="12"/>
  <c r="I102" i="12" s="1"/>
  <c r="K102" i="12" s="1"/>
  <c r="L102" i="12" s="1"/>
  <c r="M102" i="12" s="1"/>
  <c r="I168" i="12"/>
  <c r="I49" i="63"/>
  <c r="I64" i="63"/>
  <c r="I63" i="63"/>
  <c r="V147" i="12"/>
  <c r="I40" i="63"/>
  <c r="I176" i="12"/>
  <c r="K176" i="12" s="1"/>
  <c r="L176" i="12" s="1"/>
  <c r="M176" i="12" s="1"/>
  <c r="I151" i="12"/>
  <c r="D224" i="12"/>
  <c r="C155" i="12"/>
  <c r="D41" i="63"/>
  <c r="D64" i="63"/>
  <c r="D65" i="63" s="1"/>
  <c r="D73" i="63" s="1"/>
  <c r="D49" i="63"/>
  <c r="E100" i="12"/>
  <c r="E102" i="12" s="1"/>
  <c r="D168" i="12"/>
  <c r="D151" i="12"/>
  <c r="I667" i="10"/>
  <c r="I678" i="10"/>
  <c r="I29" i="10"/>
  <c r="I676" i="10"/>
  <c r="I660" i="10"/>
  <c r="L601" i="10"/>
  <c r="L606" i="10" s="1"/>
  <c r="G361" i="24"/>
  <c r="G204" i="12"/>
  <c r="D207" i="24"/>
  <c r="O67" i="66"/>
  <c r="Q67" i="66"/>
  <c r="H110" i="66"/>
  <c r="G210" i="12"/>
  <c r="G324" i="24"/>
  <c r="C38" i="63"/>
  <c r="C134" i="12"/>
  <c r="I38" i="63"/>
  <c r="V133" i="12"/>
  <c r="I134" i="12"/>
  <c r="I37" i="83"/>
  <c r="W83" i="12"/>
  <c r="W14" i="12"/>
  <c r="W84" i="12"/>
  <c r="W78" i="12"/>
  <c r="W82" i="12"/>
  <c r="G93" i="66"/>
  <c r="G103" i="66"/>
  <c r="AC207" i="24"/>
  <c r="W81" i="12"/>
  <c r="C207" i="24"/>
  <c r="I286" i="24"/>
  <c r="I226" i="12"/>
  <c r="I227" i="12" s="1"/>
  <c r="H114" i="66"/>
  <c r="H115" i="66" s="1"/>
  <c r="I14" i="63"/>
  <c r="I21" i="63" s="1"/>
  <c r="H117" i="66"/>
  <c r="H118" i="66" s="1"/>
  <c r="I205" i="12"/>
  <c r="I224" i="12"/>
  <c r="I21" i="12"/>
  <c r="I80" i="12"/>
  <c r="I85" i="12"/>
  <c r="I30" i="12"/>
  <c r="J31" i="12" s="1"/>
  <c r="D38" i="63"/>
  <c r="D134" i="12"/>
  <c r="D85" i="12"/>
  <c r="D30" i="12"/>
  <c r="D80" i="12"/>
  <c r="N64" i="10"/>
  <c r="AA33" i="11"/>
  <c r="J80" i="66"/>
  <c r="D21" i="12"/>
  <c r="H23" i="63"/>
  <c r="V154" i="12"/>
  <c r="E94" i="66"/>
  <c r="E110" i="66"/>
  <c r="Q151" i="12"/>
  <c r="D256" i="12"/>
  <c r="D155" i="12"/>
  <c r="D180" i="12"/>
  <c r="AD51" i="10"/>
  <c r="AD40" i="10"/>
  <c r="W155" i="12"/>
  <c r="C151" i="12"/>
  <c r="Q65" i="66"/>
  <c r="H66" i="66"/>
  <c r="I35" i="83"/>
  <c r="S246" i="11"/>
  <c r="S111" i="11"/>
  <c r="S253" i="11"/>
  <c r="S249" i="11"/>
  <c r="S247" i="11"/>
  <c r="S252" i="11"/>
  <c r="S250" i="11"/>
  <c r="S248" i="11"/>
  <c r="S256" i="11"/>
  <c r="S255" i="11"/>
  <c r="O270" i="11"/>
  <c r="R283" i="11"/>
  <c r="S269" i="11"/>
  <c r="I298" i="11"/>
  <c r="J271" i="11"/>
  <c r="K269" i="11"/>
  <c r="V280" i="11"/>
  <c r="W266" i="11"/>
  <c r="O273" i="11"/>
  <c r="N287" i="11"/>
  <c r="V279" i="11"/>
  <c r="BS46" i="10"/>
  <c r="AU67" i="66"/>
  <c r="AE79" i="66"/>
  <c r="BE62" i="10"/>
  <c r="V62" i="10"/>
  <c r="K267" i="11"/>
  <c r="AX76" i="66"/>
  <c r="AF53" i="10"/>
  <c r="Y38" i="12" s="1"/>
  <c r="AH95" i="66"/>
  <c r="BK29" i="10"/>
  <c r="AM64" i="66"/>
  <c r="AM9" i="66"/>
  <c r="BK10" i="10"/>
  <c r="BK50" i="10"/>
  <c r="BK260" i="10"/>
  <c r="BK16" i="10" s="1"/>
  <c r="Q49" i="11"/>
  <c r="Q48" i="11"/>
  <c r="V282" i="11"/>
  <c r="N255" i="11"/>
  <c r="BP48" i="10"/>
  <c r="AR68" i="66"/>
  <c r="AR67" i="66"/>
  <c r="I48" i="11"/>
  <c r="D49" i="11"/>
  <c r="D48" i="11"/>
  <c r="J49" i="11"/>
  <c r="J48" i="11"/>
  <c r="V256" i="11"/>
  <c r="V243" i="11"/>
  <c r="I290" i="11"/>
  <c r="J263" i="11"/>
  <c r="J295" i="11" s="1"/>
  <c r="I297" i="11"/>
  <c r="I299" i="11"/>
  <c r="N282" i="11"/>
  <c r="O268" i="11"/>
  <c r="AV6" i="66"/>
  <c r="BT381" i="10"/>
  <c r="BT20" i="10"/>
  <c r="N281" i="11"/>
  <c r="O267" i="11"/>
  <c r="R49" i="11"/>
  <c r="R48" i="11"/>
  <c r="N48" i="11"/>
  <c r="N49" i="11"/>
  <c r="BS18" i="10"/>
  <c r="AU9" i="66"/>
  <c r="AU64" i="66"/>
  <c r="BS50" i="10"/>
  <c r="BS10" i="10"/>
  <c r="BN50" i="10"/>
  <c r="BN51" i="10"/>
  <c r="BN52" i="10" s="1"/>
  <c r="AP69" i="66"/>
  <c r="AP67" i="66"/>
  <c r="BN61" i="10"/>
  <c r="U300" i="11"/>
  <c r="V273" i="11"/>
  <c r="Z287" i="11" s="1"/>
  <c r="V278" i="11"/>
  <c r="M48" i="11"/>
  <c r="M49" i="11"/>
  <c r="V285" i="11"/>
  <c r="AP108" i="66"/>
  <c r="P47" i="12"/>
  <c r="R281" i="11"/>
  <c r="S267" i="11"/>
  <c r="R280" i="11"/>
  <c r="S266" i="11"/>
  <c r="K266" i="11"/>
  <c r="BQ48" i="10"/>
  <c r="AS68" i="66"/>
  <c r="AS67" i="66"/>
  <c r="BK48" i="10"/>
  <c r="AM68" i="66"/>
  <c r="R248" i="11"/>
  <c r="R256" i="11"/>
  <c r="S271" i="11"/>
  <c r="S254" i="11"/>
  <c r="S112" i="11"/>
  <c r="R279" i="11"/>
  <c r="R282" i="11"/>
  <c r="S268" i="11"/>
  <c r="N241" i="11"/>
  <c r="N254" i="11"/>
  <c r="R241" i="11"/>
  <c r="AO9" i="66"/>
  <c r="AO64" i="66"/>
  <c r="BM48" i="10"/>
  <c r="W242" i="11"/>
  <c r="E57" i="11"/>
  <c r="O238" i="11"/>
  <c r="S238" i="11"/>
  <c r="S251" i="11"/>
  <c r="X45" i="10"/>
  <c r="AH67" i="66"/>
  <c r="BF46" i="10"/>
  <c r="BI45" i="10"/>
  <c r="K268" i="11"/>
  <c r="S264" i="11"/>
  <c r="R278" i="11"/>
  <c r="BF61" i="10"/>
  <c r="AH78" i="66" s="1"/>
  <c r="AS9" i="66"/>
  <c r="AS64" i="66"/>
  <c r="BQ50" i="10"/>
  <c r="BQ18" i="10"/>
  <c r="BQ10" i="10"/>
  <c r="BQ46" i="10"/>
  <c r="BC46" i="10"/>
  <c r="BE45" i="10"/>
  <c r="T15" i="18" s="1"/>
  <c r="AE67" i="66"/>
  <c r="V45" i="10"/>
  <c r="K273" i="11"/>
  <c r="BJ260" i="10"/>
  <c r="BJ16" i="10" s="1"/>
  <c r="BJ29" i="10"/>
  <c r="AL9" i="66"/>
  <c r="AL64" i="66"/>
  <c r="Z9" i="10"/>
  <c r="Z50" i="10" s="1"/>
  <c r="BN10" i="10"/>
  <c r="BJ50" i="10"/>
  <c r="BJ46" i="10"/>
  <c r="BJ10" i="10"/>
  <c r="BN18" i="10"/>
  <c r="BJ18" i="10"/>
  <c r="M57" i="11"/>
  <c r="Z45" i="10"/>
  <c r="AM67" i="66"/>
  <c r="BK46" i="10"/>
  <c r="K265" i="11"/>
  <c r="R286" i="11"/>
  <c r="S272" i="11"/>
  <c r="AU68" i="66"/>
  <c r="BS48" i="10"/>
  <c r="BR46" i="10"/>
  <c r="AT67" i="66"/>
  <c r="BR61" i="10"/>
  <c r="BR51" i="10"/>
  <c r="BR52" i="10" s="1"/>
  <c r="BT18" i="10"/>
  <c r="AV9" i="66"/>
  <c r="AV64" i="66"/>
  <c r="BT48" i="10"/>
  <c r="BT10" i="10"/>
  <c r="V48" i="11"/>
  <c r="V49" i="11"/>
  <c r="V200" i="11" s="1"/>
  <c r="Z201" i="11" s="1"/>
  <c r="BT29" i="10"/>
  <c r="BT35" i="10" s="1"/>
  <c r="BV55" i="10"/>
  <c r="AF55" i="10" s="1"/>
  <c r="Y29" i="12" s="1"/>
  <c r="W270" i="11"/>
  <c r="BO18" i="10"/>
  <c r="AQ64" i="66"/>
  <c r="BO260" i="10"/>
  <c r="BO16" i="10" s="1"/>
  <c r="AQ9" i="66"/>
  <c r="BO10" i="10"/>
  <c r="K224" i="11"/>
  <c r="M285" i="11"/>
  <c r="K57" i="11"/>
  <c r="V9" i="10"/>
  <c r="AD64" i="66"/>
  <c r="BE9" i="10"/>
  <c r="T8" i="18" s="1"/>
  <c r="AD9" i="66"/>
  <c r="BB46" i="10"/>
  <c r="BB29" i="10"/>
  <c r="BF10" i="10"/>
  <c r="BF18" i="10"/>
  <c r="R251" i="11"/>
  <c r="V281" i="11"/>
  <c r="AD69" i="66"/>
  <c r="V49" i="10"/>
  <c r="BE49" i="10"/>
  <c r="T14" i="18" s="1"/>
  <c r="BB50" i="10"/>
  <c r="I295" i="11"/>
  <c r="S28" i="12"/>
  <c r="Y71" i="66"/>
  <c r="AA54" i="10"/>
  <c r="U80" i="11"/>
  <c r="V283" i="11"/>
  <c r="W269" i="11"/>
  <c r="L49" i="11"/>
  <c r="L48" i="11"/>
  <c r="BW49" i="10"/>
  <c r="AL14" i="18" s="1"/>
  <c r="Y9" i="11"/>
  <c r="BW9" i="10"/>
  <c r="AO69" i="66"/>
  <c r="BM50" i="10"/>
  <c r="N286" i="11"/>
  <c r="O272" i="11"/>
  <c r="BD260" i="10"/>
  <c r="AF9" i="66"/>
  <c r="BD29" i="10"/>
  <c r="AF64" i="66"/>
  <c r="BD46" i="10"/>
  <c r="BD50" i="10"/>
  <c r="BX49" i="10"/>
  <c r="AM14" i="18" s="1"/>
  <c r="AQ14" i="18" s="1"/>
  <c r="BX47" i="10"/>
  <c r="BX9" i="10"/>
  <c r="AM8" i="18" s="1"/>
  <c r="AN95" i="66"/>
  <c r="BH46" i="10"/>
  <c r="AJ67" i="66"/>
  <c r="K272" i="11"/>
  <c r="N57" i="11"/>
  <c r="O48" i="11"/>
  <c r="O49" i="11"/>
  <c r="Q290" i="11"/>
  <c r="R263" i="11"/>
  <c r="R296" i="11" s="1"/>
  <c r="Q298" i="11"/>
  <c r="Q297" i="11"/>
  <c r="BD48" i="10"/>
  <c r="AF68" i="66"/>
  <c r="AJ95" i="66" s="1"/>
  <c r="AF67" i="66"/>
  <c r="AV69" i="66"/>
  <c r="BT50" i="10"/>
  <c r="AJ64" i="66"/>
  <c r="AJ9" i="66"/>
  <c r="BI9" i="10"/>
  <c r="BH10" i="10"/>
  <c r="BH29" i="10"/>
  <c r="BH18" i="10"/>
  <c r="Q48" i="12"/>
  <c r="Q47" i="12" s="1"/>
  <c r="Y59" i="10"/>
  <c r="R48" i="12" s="1"/>
  <c r="BP18" i="10"/>
  <c r="BP260" i="10"/>
  <c r="BP16" i="10" s="1"/>
  <c r="AR64" i="66"/>
  <c r="AR9" i="66"/>
  <c r="BP46" i="10"/>
  <c r="BP50" i="10"/>
  <c r="BP10" i="10"/>
  <c r="O239" i="11"/>
  <c r="Q291" i="11"/>
  <c r="BI49" i="10"/>
  <c r="X14" i="18" s="1"/>
  <c r="BH50" i="10"/>
  <c r="AJ69" i="66"/>
  <c r="AE64" i="66"/>
  <c r="AE9" i="66"/>
  <c r="BG18" i="10"/>
  <c r="BG10" i="10"/>
  <c r="BC29" i="10"/>
  <c r="R246" i="11"/>
  <c r="R253" i="11"/>
  <c r="R111" i="11"/>
  <c r="R249" i="11"/>
  <c r="V233" i="11"/>
  <c r="R233" i="11"/>
  <c r="R255" i="11"/>
  <c r="R252" i="11"/>
  <c r="R254" i="11"/>
  <c r="BL51" i="10"/>
  <c r="BL52" i="10" s="1"/>
  <c r="BL40" i="10"/>
  <c r="BL61" i="10"/>
  <c r="N283" i="11"/>
  <c r="O269" i="11"/>
  <c r="N253" i="11"/>
  <c r="N249" i="11"/>
  <c r="N246" i="11"/>
  <c r="N233" i="11"/>
  <c r="O216" i="11"/>
  <c r="N250" i="11"/>
  <c r="N247" i="11"/>
  <c r="N256" i="11"/>
  <c r="N252" i="11"/>
  <c r="N248" i="11"/>
  <c r="BU12" i="10"/>
  <c r="W93" i="11"/>
  <c r="AE69" i="66"/>
  <c r="BC50" i="10"/>
  <c r="AI67" i="66"/>
  <c r="BG46" i="10"/>
  <c r="S49" i="11"/>
  <c r="S48" i="11"/>
  <c r="X49" i="10"/>
  <c r="BG50" i="10"/>
  <c r="AI69" i="66"/>
  <c r="AM96" i="66" s="1"/>
  <c r="AI68" i="66"/>
  <c r="X47" i="10"/>
  <c r="BG48" i="10"/>
  <c r="BI47" i="10"/>
  <c r="BL46" i="10"/>
  <c r="AN67" i="66"/>
  <c r="U48" i="11"/>
  <c r="U49" i="11"/>
  <c r="U200" i="11" s="1"/>
  <c r="Y201" i="11" s="1"/>
  <c r="BS29" i="10"/>
  <c r="BS23" i="10" s="1"/>
  <c r="BO48" i="10"/>
  <c r="AQ68" i="66"/>
  <c r="AQ67" i="66"/>
  <c r="BJ48" i="10"/>
  <c r="Z47" i="10"/>
  <c r="AL68" i="66"/>
  <c r="AL67" i="66"/>
  <c r="BC48" i="10"/>
  <c r="AE68" i="66"/>
  <c r="BE47" i="10"/>
  <c r="Z62" i="10"/>
  <c r="AM79" i="66"/>
  <c r="Q16" i="12"/>
  <c r="Q18" i="12" s="1"/>
  <c r="W65" i="66"/>
  <c r="Y23" i="10"/>
  <c r="BT46" i="10"/>
  <c r="AV67" i="66"/>
  <c r="J253" i="11"/>
  <c r="J246" i="11"/>
  <c r="J249" i="11"/>
  <c r="K216" i="11"/>
  <c r="K255" i="11" s="1"/>
  <c r="J247" i="11"/>
  <c r="J250" i="11"/>
  <c r="J248" i="11"/>
  <c r="AF54" i="10"/>
  <c r="Y28" i="12" s="1"/>
  <c r="AY71" i="66"/>
  <c r="BM46" i="10"/>
  <c r="AO67" i="66"/>
  <c r="BO50" i="10"/>
  <c r="AQ69" i="66"/>
  <c r="W265" i="11"/>
  <c r="Y65" i="66"/>
  <c r="S16" i="12"/>
  <c r="AA23" i="10"/>
  <c r="K49" i="11"/>
  <c r="K48" i="11"/>
  <c r="R247" i="11"/>
  <c r="V263" i="11"/>
  <c r="U290" i="11"/>
  <c r="U294" i="11"/>
  <c r="V80" i="11"/>
  <c r="AA49" i="10"/>
  <c r="S26" i="12"/>
  <c r="Y69" i="66"/>
  <c r="Z594" i="10"/>
  <c r="J251" i="11"/>
  <c r="U291" i="11"/>
  <c r="BW60" i="10"/>
  <c r="AF60" i="10" s="1"/>
  <c r="Y49" i="12" s="1"/>
  <c r="AA64" i="11"/>
  <c r="J254" i="11"/>
  <c r="N271" i="11"/>
  <c r="O224" i="11"/>
  <c r="S241" i="11" s="1"/>
  <c r="O242" i="11"/>
  <c r="S57" i="11"/>
  <c r="S81" i="11" s="1"/>
  <c r="N278" i="11"/>
  <c r="K264" i="11"/>
  <c r="V286" i="11"/>
  <c r="W272" i="11"/>
  <c r="U298" i="11"/>
  <c r="N279" i="11"/>
  <c r="O265" i="11"/>
  <c r="S279" i="11" s="1"/>
  <c r="J252" i="11"/>
  <c r="Q29" i="12"/>
  <c r="Q27" i="12" s="1"/>
  <c r="Y55" i="10"/>
  <c r="AC573" i="10"/>
  <c r="AC571" i="10"/>
  <c r="AC580" i="10" s="1"/>
  <c r="M303" i="10"/>
  <c r="N291" i="10"/>
  <c r="N304" i="10" s="1"/>
  <c r="AE393" i="10"/>
  <c r="O179" i="10"/>
  <c r="P227" i="10"/>
  <c r="BK20" i="10"/>
  <c r="AM6" i="66"/>
  <c r="BO20" i="10"/>
  <c r="O18" i="12"/>
  <c r="BQ381" i="10"/>
  <c r="BQ383" i="10" s="1"/>
  <c r="BQ19" i="10"/>
  <c r="AS5" i="66"/>
  <c r="P662" i="10"/>
  <c r="P28" i="12"/>
  <c r="G144" i="10"/>
  <c r="H145" i="10" s="1"/>
  <c r="G24" i="10"/>
  <c r="H81" i="10"/>
  <c r="L276" i="10"/>
  <c r="J109" i="10"/>
  <c r="K140" i="10"/>
  <c r="K764" i="10"/>
  <c r="L760" i="10"/>
  <c r="M317" i="10"/>
  <c r="M318" i="10" s="1"/>
  <c r="M341" i="10"/>
  <c r="M343" i="10"/>
  <c r="J136" i="10"/>
  <c r="I136" i="10"/>
  <c r="AA20" i="10"/>
  <c r="Z6" i="66"/>
  <c r="AC20" i="10"/>
  <c r="H736" i="10"/>
  <c r="H737" i="10" s="1"/>
  <c r="H138" i="10"/>
  <c r="M98" i="10"/>
  <c r="L92" i="10"/>
  <c r="L86" i="10" s="1"/>
  <c r="K143" i="10"/>
  <c r="J112" i="10"/>
  <c r="J150" i="10" s="1"/>
  <c r="BH20" i="10"/>
  <c r="AJ6" i="66"/>
  <c r="O204" i="10"/>
  <c r="O205" i="10"/>
  <c r="AS6" i="66"/>
  <c r="H34" i="66"/>
  <c r="H49" i="66"/>
  <c r="H57" i="66"/>
  <c r="I771" i="10"/>
  <c r="I273" i="10"/>
  <c r="I19" i="10"/>
  <c r="I343" i="10"/>
  <c r="I17" i="10"/>
  <c r="E5" i="66"/>
  <c r="J19" i="10"/>
  <c r="BM12" i="10"/>
  <c r="BQ20" i="10" s="1"/>
  <c r="BM178" i="10"/>
  <c r="BM260" i="10"/>
  <c r="BM16" i="10" s="1"/>
  <c r="L91" i="10"/>
  <c r="L85" i="10" s="1"/>
  <c r="L103" i="10"/>
  <c r="L111" i="10"/>
  <c r="L303" i="10"/>
  <c r="M304" i="10"/>
  <c r="K141" i="10"/>
  <c r="J110" i="10"/>
  <c r="J148" i="10" s="1"/>
  <c r="V8" i="66"/>
  <c r="Y22" i="10"/>
  <c r="O74" i="10"/>
  <c r="P135" i="10"/>
  <c r="N393" i="10"/>
  <c r="N340" i="10"/>
  <c r="N346" i="10" s="1"/>
  <c r="N347" i="10" s="1"/>
  <c r="N456" i="10"/>
  <c r="G623" i="10"/>
  <c r="G621" i="10"/>
  <c r="BE74" i="10"/>
  <c r="W11" i="10"/>
  <c r="Y99" i="10"/>
  <c r="L50" i="66"/>
  <c r="H337" i="10"/>
  <c r="N310" i="10"/>
  <c r="N99" i="10"/>
  <c r="N11" i="10"/>
  <c r="N76" i="10"/>
  <c r="N78" i="10" s="1"/>
  <c r="O186" i="10"/>
  <c r="O144" i="10"/>
  <c r="N151" i="10"/>
  <c r="J228" i="10"/>
  <c r="P664" i="10"/>
  <c r="P457" i="10"/>
  <c r="O303" i="10"/>
  <c r="P291" i="10"/>
  <c r="G771" i="10"/>
  <c r="C5" i="66"/>
  <c r="G17" i="10"/>
  <c r="H136" i="10"/>
  <c r="H152" i="10"/>
  <c r="N303" i="10"/>
  <c r="O291" i="10"/>
  <c r="O304" i="10" s="1"/>
  <c r="BP61" i="10"/>
  <c r="BP35" i="10"/>
  <c r="BP40" i="10"/>
  <c r="BP51" i="10"/>
  <c r="BP52" i="10" s="1"/>
  <c r="BP23" i="10"/>
  <c r="O79" i="10"/>
  <c r="O382" i="10"/>
  <c r="P313" i="10"/>
  <c r="O323" i="10"/>
  <c r="O324" i="10" s="1"/>
  <c r="P232" i="10"/>
  <c r="P231" i="10" s="1"/>
  <c r="P180" i="10" s="1"/>
  <c r="P773" i="10"/>
  <c r="P354" i="10"/>
  <c r="P355" i="10" s="1"/>
  <c r="P203" i="10"/>
  <c r="P185" i="10"/>
  <c r="L7" i="66"/>
  <c r="J290" i="10"/>
  <c r="I302" i="10"/>
  <c r="H288" i="10"/>
  <c r="I311" i="10"/>
  <c r="J311" i="10"/>
  <c r="K50" i="66"/>
  <c r="O775" i="10"/>
  <c r="O813" i="10" s="1"/>
  <c r="P194" i="10"/>
  <c r="H60" i="66"/>
  <c r="H771" i="10"/>
  <c r="H273" i="10"/>
  <c r="H275" i="10" s="1"/>
  <c r="H19" i="10"/>
  <c r="D5" i="66"/>
  <c r="H17" i="10"/>
  <c r="I337" i="10"/>
  <c r="J337" i="10"/>
  <c r="O77" i="10"/>
  <c r="N90" i="10"/>
  <c r="N84" i="10" s="1"/>
  <c r="O75" i="10"/>
  <c r="O776" i="10"/>
  <c r="O814" i="10" s="1"/>
  <c r="K276" i="10"/>
  <c r="P303" i="10"/>
  <c r="L291" i="10"/>
  <c r="L304" i="10" s="1"/>
  <c r="K303" i="10"/>
  <c r="O474" i="10"/>
  <c r="N463" i="10"/>
  <c r="BI12" i="10"/>
  <c r="P470" i="10"/>
  <c r="O459" i="10"/>
  <c r="P461" i="10"/>
  <c r="I144" i="10"/>
  <c r="I81" i="10"/>
  <c r="I24" i="10"/>
  <c r="I27" i="10" s="1"/>
  <c r="G43" i="10"/>
  <c r="G38" i="10"/>
  <c r="C15" i="66"/>
  <c r="H38" i="10"/>
  <c r="M347" i="10"/>
  <c r="M348" i="10"/>
  <c r="I736" i="10"/>
  <c r="I138" i="10"/>
  <c r="J138" i="10"/>
  <c r="I734" i="10"/>
  <c r="J735" i="10" s="1"/>
  <c r="J727" i="10"/>
  <c r="H35" i="66"/>
  <c r="G50" i="66"/>
  <c r="O777" i="10"/>
  <c r="R7" i="66"/>
  <c r="K43" i="66"/>
  <c r="S7" i="66"/>
  <c r="E85" i="12"/>
  <c r="E80" i="12"/>
  <c r="E30" i="12"/>
  <c r="E21" i="12"/>
  <c r="L174" i="12"/>
  <c r="K195" i="12"/>
  <c r="L54" i="12"/>
  <c r="AE33" i="11" s="1"/>
  <c r="AE69" i="11" s="1"/>
  <c r="CC64" i="10" s="1"/>
  <c r="BE80" i="66" s="1"/>
  <c r="L158" i="12"/>
  <c r="K164" i="12"/>
  <c r="X164" i="12"/>
  <c r="X150" i="12"/>
  <c r="H35" i="12"/>
  <c r="H86" i="12"/>
  <c r="V165" i="12"/>
  <c r="P60" i="10"/>
  <c r="O54" i="10"/>
  <c r="M28" i="12"/>
  <c r="W156" i="12" l="1"/>
  <c r="W166" i="12" s="1"/>
  <c r="W170" i="12" s="1"/>
  <c r="AM37" i="18"/>
  <c r="AP8" i="18"/>
  <c r="AE178" i="10"/>
  <c r="AP15" i="18"/>
  <c r="AQ15" i="18"/>
  <c r="V296" i="11"/>
  <c r="Z277" i="11"/>
  <c r="BX177" i="10"/>
  <c r="BX178" i="10" s="1"/>
  <c r="Z9" i="11"/>
  <c r="Z199" i="11"/>
  <c r="CB9" i="10"/>
  <c r="BD9" i="66" s="1"/>
  <c r="AE123" i="11"/>
  <c r="AI773" i="10"/>
  <c r="P811" i="10"/>
  <c r="AH777" i="10"/>
  <c r="O815" i="10"/>
  <c r="O790" i="10"/>
  <c r="M47" i="12"/>
  <c r="Q28" i="4" s="1"/>
  <c r="AQ28" i="4" s="1"/>
  <c r="K91" i="17"/>
  <c r="AM25" i="18"/>
  <c r="AP25" i="18" s="1"/>
  <c r="AM12" i="18"/>
  <c r="AQ12" i="18" s="1"/>
  <c r="AM13" i="18"/>
  <c r="AP14" i="18"/>
  <c r="AM51" i="18"/>
  <c r="AP51" i="18" s="1"/>
  <c r="AZ76" i="66"/>
  <c r="AM24" i="18"/>
  <c r="AP24" i="18" s="1"/>
  <c r="AQ8" i="18"/>
  <c r="AI49" i="18"/>
  <c r="AT28" i="18"/>
  <c r="L72" i="12"/>
  <c r="E209" i="24"/>
  <c r="E97" i="66"/>
  <c r="P165" i="12"/>
  <c r="C209" i="24"/>
  <c r="T165" i="12"/>
  <c r="I209" i="24"/>
  <c r="L262" i="10"/>
  <c r="L33" i="10" s="1"/>
  <c r="X83" i="11"/>
  <c r="Y70" i="12"/>
  <c r="H70" i="17"/>
  <c r="Y72" i="12"/>
  <c r="Y71" i="12" s="1"/>
  <c r="J38" i="18"/>
  <c r="L43" i="12"/>
  <c r="O56" i="10" s="1"/>
  <c r="AE24" i="11"/>
  <c r="AB83" i="11"/>
  <c r="AC83" i="11" s="1"/>
  <c r="AD83" i="11" s="1"/>
  <c r="Y83" i="11"/>
  <c r="J92" i="17"/>
  <c r="T65" i="11"/>
  <c r="T84" i="11" s="1"/>
  <c r="U81" i="11"/>
  <c r="AD54" i="11"/>
  <c r="CB49" i="10" s="1"/>
  <c r="P59" i="10"/>
  <c r="AZ71" i="66"/>
  <c r="Y27" i="12"/>
  <c r="AA160" i="11"/>
  <c r="AA161" i="11" s="1"/>
  <c r="AA137" i="11"/>
  <c r="AE97" i="10"/>
  <c r="Y47" i="12"/>
  <c r="AD47" i="11"/>
  <c r="AA143" i="11"/>
  <c r="AA144" i="11" s="1"/>
  <c r="AA164" i="11"/>
  <c r="AA124" i="11"/>
  <c r="AA145" i="11"/>
  <c r="AA146" i="11" s="1"/>
  <c r="AA166" i="11"/>
  <c r="Z195" i="11" s="1"/>
  <c r="Z196" i="11" s="1"/>
  <c r="AD52" i="11"/>
  <c r="CB47" i="10" s="1"/>
  <c r="BD68" i="66" s="1"/>
  <c r="AD50" i="11"/>
  <c r="CB45" i="10" s="1"/>
  <c r="BU74" i="10"/>
  <c r="BU99" i="10" s="1"/>
  <c r="W174" i="11"/>
  <c r="W100" i="11"/>
  <c r="W105" i="11" s="1"/>
  <c r="CC13" i="10"/>
  <c r="BE7" i="66" s="1"/>
  <c r="BE43" i="66" s="1"/>
  <c r="AE178" i="11"/>
  <c r="AD45" i="11"/>
  <c r="AC6" i="11"/>
  <c r="AD6" i="11" s="1"/>
  <c r="AD8" i="11"/>
  <c r="AD92" i="11"/>
  <c r="AD17" i="10"/>
  <c r="AF19" i="10"/>
  <c r="S27" i="12"/>
  <c r="CB56" i="10"/>
  <c r="CB60" i="10"/>
  <c r="CA56" i="10"/>
  <c r="AH56" i="10" s="1"/>
  <c r="AC24" i="11"/>
  <c r="AD24" i="11" s="1"/>
  <c r="BY56" i="10"/>
  <c r="AG56" i="10" s="1"/>
  <c r="AC175" i="11"/>
  <c r="AD28" i="11"/>
  <c r="AE64" i="11" s="1"/>
  <c r="CB54" i="10"/>
  <c r="AD23" i="11"/>
  <c r="AE59" i="11" s="1"/>
  <c r="CB11" i="10"/>
  <c r="CB19" i="10" s="1"/>
  <c r="CB74" i="10"/>
  <c r="CB99" i="10" s="1"/>
  <c r="AD174" i="11"/>
  <c r="CB55" i="10"/>
  <c r="AD20" i="11"/>
  <c r="CB58" i="10"/>
  <c r="AD25" i="11"/>
  <c r="BW177" i="10"/>
  <c r="BW178" i="10" s="1"/>
  <c r="BC5" i="66"/>
  <c r="BC41" i="66" s="1"/>
  <c r="AH11" i="10"/>
  <c r="AH19" i="10" s="1"/>
  <c r="CA9" i="10"/>
  <c r="CA10" i="10" s="1"/>
  <c r="AC47" i="11"/>
  <c r="AC46" i="11" s="1"/>
  <c r="AC10" i="11" s="1"/>
  <c r="AC45" i="11"/>
  <c r="AC52" i="11"/>
  <c r="AC92" i="11"/>
  <c r="AC54" i="11"/>
  <c r="M296" i="11"/>
  <c r="AC50" i="11"/>
  <c r="CB53" i="10"/>
  <c r="BD76" i="66" s="1"/>
  <c r="CB59" i="10"/>
  <c r="CA59" i="10"/>
  <c r="AH59" i="10" s="1"/>
  <c r="AC27" i="11"/>
  <c r="AD27" i="11" s="1"/>
  <c r="AE63" i="11" s="1"/>
  <c r="AA122" i="11"/>
  <c r="BY74" i="10"/>
  <c r="BY11" i="10"/>
  <c r="AZ5" i="66"/>
  <c r="AZ41" i="66" s="1"/>
  <c r="BY59" i="10"/>
  <c r="AG59" i="10" s="1"/>
  <c r="BY54" i="10"/>
  <c r="AY41" i="66"/>
  <c r="BZ18" i="10"/>
  <c r="BZ10" i="10"/>
  <c r="AE124" i="11"/>
  <c r="AL8" i="18"/>
  <c r="BY60" i="10"/>
  <c r="AG60" i="10" s="1"/>
  <c r="O190" i="10"/>
  <c r="O191" i="10" s="1"/>
  <c r="L4" i="83"/>
  <c r="AE90" i="11"/>
  <c r="M277" i="11"/>
  <c r="V76" i="66"/>
  <c r="AT24" i="18"/>
  <c r="M294" i="11"/>
  <c r="M290" i="11"/>
  <c r="M298" i="11"/>
  <c r="AT15" i="18"/>
  <c r="M299" i="11"/>
  <c r="M300" i="11"/>
  <c r="M295" i="11"/>
  <c r="N263" i="11"/>
  <c r="N292" i="11" s="1"/>
  <c r="K71" i="12"/>
  <c r="L71" i="12" s="1"/>
  <c r="M291" i="11"/>
  <c r="M297" i="11"/>
  <c r="M293" i="11"/>
  <c r="Q277" i="11"/>
  <c r="AT25" i="18"/>
  <c r="J61" i="12"/>
  <c r="I89" i="66"/>
  <c r="AL25" i="18"/>
  <c r="AT12" i="18"/>
  <c r="C23" i="63"/>
  <c r="D104" i="66"/>
  <c r="E93" i="66"/>
  <c r="C31" i="12"/>
  <c r="C58" i="17"/>
  <c r="D70" i="66"/>
  <c r="D20" i="66" s="1"/>
  <c r="BW47" i="10"/>
  <c r="AY67" i="66" s="1"/>
  <c r="M92" i="10"/>
  <c r="M86" i="10" s="1"/>
  <c r="N98" i="10"/>
  <c r="D114" i="66"/>
  <c r="D115" i="66" s="1"/>
  <c r="L17" i="4"/>
  <c r="H26" i="63"/>
  <c r="E286" i="24"/>
  <c r="T81" i="11"/>
  <c r="C43" i="63"/>
  <c r="C44" i="63" s="1"/>
  <c r="C51" i="63" s="1"/>
  <c r="C76" i="63" s="1"/>
  <c r="C78" i="63" s="1"/>
  <c r="E166" i="12"/>
  <c r="F19" i="17"/>
  <c r="X9" i="11"/>
  <c r="F209" i="24"/>
  <c r="G26" i="63"/>
  <c r="G86" i="12"/>
  <c r="F35" i="12"/>
  <c r="F15" i="17" s="1"/>
  <c r="F26" i="63"/>
  <c r="F86" i="12"/>
  <c r="F23" i="63"/>
  <c r="F72" i="17"/>
  <c r="BV18" i="10"/>
  <c r="AK8" i="18"/>
  <c r="M45" i="12"/>
  <c r="S273" i="11"/>
  <c r="S287" i="11" s="1"/>
  <c r="D209" i="24"/>
  <c r="O181" i="10"/>
  <c r="C26" i="63"/>
  <c r="F17" i="4"/>
  <c r="F55" i="4" s="1"/>
  <c r="C19" i="17"/>
  <c r="C35" i="12"/>
  <c r="F21" i="4" s="1"/>
  <c r="F57" i="4" s="1"/>
  <c r="F56" i="4" s="1"/>
  <c r="AK86" i="66"/>
  <c r="C72" i="17"/>
  <c r="C86" i="12"/>
  <c r="C14" i="17"/>
  <c r="I43" i="63"/>
  <c r="I44" i="63" s="1"/>
  <c r="X623" i="10"/>
  <c r="W64" i="66"/>
  <c r="W66" i="66" s="1"/>
  <c r="W103" i="66" s="1"/>
  <c r="L209" i="12"/>
  <c r="X496" i="10"/>
  <c r="S156" i="12"/>
  <c r="S166" i="12" s="1"/>
  <c r="S170" i="12" s="1"/>
  <c r="N15" i="10"/>
  <c r="O8" i="4" s="1"/>
  <c r="AO8" i="4" s="1"/>
  <c r="J229" i="12"/>
  <c r="I125" i="66"/>
  <c r="BX19" i="10"/>
  <c r="I97" i="83"/>
  <c r="N42" i="4"/>
  <c r="AN5" i="4"/>
  <c r="AA174" i="11"/>
  <c r="AA91" i="11"/>
  <c r="BV45" i="10"/>
  <c r="BV12" i="10"/>
  <c r="L14" i="66"/>
  <c r="L58" i="66" s="1"/>
  <c r="W8" i="11"/>
  <c r="AV125" i="11"/>
  <c r="BV23" i="10"/>
  <c r="BV10" i="10"/>
  <c r="Z37" i="18"/>
  <c r="J93" i="10"/>
  <c r="J89" i="10"/>
  <c r="J83" i="10" s="1"/>
  <c r="J147" i="10" s="1"/>
  <c r="Y9" i="10"/>
  <c r="R13" i="12" s="1"/>
  <c r="X40" i="10"/>
  <c r="AI66" i="66"/>
  <c r="AI104" i="66" s="1"/>
  <c r="X605" i="10"/>
  <c r="N236" i="10"/>
  <c r="J16" i="66"/>
  <c r="X643" i="10"/>
  <c r="J318" i="10"/>
  <c r="I317" i="10"/>
  <c r="I318" i="10" s="1"/>
  <c r="BG61" i="10"/>
  <c r="BG63" i="10" s="1"/>
  <c r="BG69" i="10" s="1"/>
  <c r="X642" i="10"/>
  <c r="X578" i="10"/>
  <c r="H313" i="10"/>
  <c r="I314" i="10" s="1"/>
  <c r="BG51" i="10"/>
  <c r="BG52" i="10" s="1"/>
  <c r="X639" i="10"/>
  <c r="W9" i="66"/>
  <c r="X625" i="10"/>
  <c r="X640" i="10"/>
  <c r="X603" i="10"/>
  <c r="V11" i="18"/>
  <c r="Z38" i="18" s="1"/>
  <c r="AX9" i="66"/>
  <c r="X602" i="10"/>
  <c r="X17" i="10"/>
  <c r="X641" i="10"/>
  <c r="BG40" i="10"/>
  <c r="AF9" i="10"/>
  <c r="AX64" i="66"/>
  <c r="X575" i="10"/>
  <c r="X579" i="10"/>
  <c r="J291" i="11"/>
  <c r="Q13" i="12"/>
  <c r="Q20" i="12" s="1"/>
  <c r="Q80" i="12" s="1"/>
  <c r="X604" i="10"/>
  <c r="V298" i="11"/>
  <c r="V299" i="11"/>
  <c r="BV47" i="10"/>
  <c r="R292" i="11"/>
  <c r="F50" i="66"/>
  <c r="H30" i="66"/>
  <c r="I97" i="66"/>
  <c r="I93" i="66"/>
  <c r="B20" i="66"/>
  <c r="AG86" i="66"/>
  <c r="J314" i="10"/>
  <c r="F57" i="66"/>
  <c r="Q13" i="66"/>
  <c r="BM19" i="10"/>
  <c r="Y29" i="10"/>
  <c r="B30" i="66"/>
  <c r="I323" i="10"/>
  <c r="I328" i="10" s="1"/>
  <c r="AN109" i="66"/>
  <c r="O12" i="10"/>
  <c r="O221" i="10"/>
  <c r="O222" i="10" s="1"/>
  <c r="G27" i="10"/>
  <c r="G33" i="10" s="1"/>
  <c r="G606" i="10"/>
  <c r="AT92" i="66"/>
  <c r="D25" i="66"/>
  <c r="G580" i="10"/>
  <c r="K52" i="10"/>
  <c r="BI178" i="10"/>
  <c r="K636" i="10"/>
  <c r="K644" i="10" s="1"/>
  <c r="R47" i="12"/>
  <c r="V20" i="12"/>
  <c r="V85" i="12" s="1"/>
  <c r="J26" i="18"/>
  <c r="J316" i="10"/>
  <c r="V83" i="12"/>
  <c r="E50" i="18"/>
  <c r="F61" i="10"/>
  <c r="I26" i="18"/>
  <c r="Y20" i="10"/>
  <c r="AC40" i="10"/>
  <c r="L264" i="10"/>
  <c r="AC51" i="10"/>
  <c r="AC61" i="10" s="1"/>
  <c r="AB78" i="66" s="1"/>
  <c r="AA50" i="18"/>
  <c r="M149" i="10"/>
  <c r="J37" i="10"/>
  <c r="G40" i="10"/>
  <c r="AG50" i="18"/>
  <c r="R53" i="12"/>
  <c r="V78" i="12"/>
  <c r="E13" i="66"/>
  <c r="F49" i="66" s="1"/>
  <c r="AN66" i="66"/>
  <c r="AN104" i="66" s="1"/>
  <c r="AG37" i="18"/>
  <c r="I96" i="83"/>
  <c r="AB109" i="66"/>
  <c r="G35" i="10"/>
  <c r="AB108" i="66"/>
  <c r="F16" i="18"/>
  <c r="F26" i="18" s="1"/>
  <c r="F32" i="18" s="1"/>
  <c r="F48" i="18" s="1"/>
  <c r="G52" i="10"/>
  <c r="AN108" i="66"/>
  <c r="BH17" i="10"/>
  <c r="AH50" i="18"/>
  <c r="AG51" i="18"/>
  <c r="H580" i="10"/>
  <c r="E49" i="18"/>
  <c r="AS30" i="18"/>
  <c r="D45" i="66"/>
  <c r="O9" i="66"/>
  <c r="C28" i="66"/>
  <c r="C45" i="66"/>
  <c r="E50" i="66"/>
  <c r="F34" i="66"/>
  <c r="E38" i="18"/>
  <c r="F36" i="66"/>
  <c r="E51" i="18"/>
  <c r="F35" i="66"/>
  <c r="Q18" i="66"/>
  <c r="E37" i="18"/>
  <c r="AC599" i="10"/>
  <c r="AC606" i="10" s="1"/>
  <c r="E16" i="18"/>
  <c r="E26" i="18" s="1"/>
  <c r="E44" i="18"/>
  <c r="AG49" i="18"/>
  <c r="F33" i="66"/>
  <c r="V23" i="12"/>
  <c r="V81" i="12" s="1"/>
  <c r="D28" i="66"/>
  <c r="I37" i="10"/>
  <c r="AB110" i="66"/>
  <c r="C18" i="66"/>
  <c r="C60" i="66" s="1"/>
  <c r="J61" i="10"/>
  <c r="J52" i="10"/>
  <c r="O292" i="10"/>
  <c r="O308" i="10" s="1"/>
  <c r="AA11" i="18"/>
  <c r="AA38" i="18" s="1"/>
  <c r="AE37" i="18"/>
  <c r="AA44" i="18"/>
  <c r="P16" i="12"/>
  <c r="P18" i="12" s="1"/>
  <c r="AA260" i="10"/>
  <c r="AA16" i="10" s="1"/>
  <c r="Z8" i="66" s="1"/>
  <c r="AA49" i="18"/>
  <c r="BO40" i="10"/>
  <c r="K264" i="10"/>
  <c r="K251" i="11"/>
  <c r="AA37" i="18"/>
  <c r="D27" i="66"/>
  <c r="G30" i="66"/>
  <c r="AB52" i="10"/>
  <c r="BO51" i="10"/>
  <c r="BO52" i="10" s="1"/>
  <c r="K252" i="11"/>
  <c r="AA51" i="18"/>
  <c r="X28" i="18"/>
  <c r="K254" i="11"/>
  <c r="H228" i="10"/>
  <c r="H52" i="10"/>
  <c r="H61" i="10"/>
  <c r="F38" i="18"/>
  <c r="W35" i="12"/>
  <c r="W50" i="12" s="1"/>
  <c r="V82" i="12"/>
  <c r="H606" i="10"/>
  <c r="P150" i="12"/>
  <c r="F151" i="12"/>
  <c r="F81" i="17" s="1"/>
  <c r="H31" i="12"/>
  <c r="G104" i="66"/>
  <c r="D117" i="66"/>
  <c r="D118" i="66" s="1"/>
  <c r="M44" i="4"/>
  <c r="BO61" i="10"/>
  <c r="AQ78" i="66" s="1"/>
  <c r="D43" i="63"/>
  <c r="D44" i="63" s="1"/>
  <c r="G70" i="66"/>
  <c r="G72" i="66" s="1"/>
  <c r="E14" i="63"/>
  <c r="E21" i="63" s="1"/>
  <c r="E83" i="63" s="1"/>
  <c r="F51" i="63"/>
  <c r="F53" i="63" s="1"/>
  <c r="R22" i="83"/>
  <c r="G66" i="17"/>
  <c r="AT108" i="66"/>
  <c r="D18" i="66"/>
  <c r="H40" i="10"/>
  <c r="H35" i="10"/>
  <c r="G97" i="66"/>
  <c r="G35" i="12"/>
  <c r="K21" i="4" s="1"/>
  <c r="F160" i="24"/>
  <c r="H65" i="63"/>
  <c r="H73" i="63" s="1"/>
  <c r="E205" i="12"/>
  <c r="E226" i="12"/>
  <c r="E227" i="12" s="1"/>
  <c r="E83" i="17"/>
  <c r="O170" i="12"/>
  <c r="AT65" i="66"/>
  <c r="AG10" i="18"/>
  <c r="F49" i="18"/>
  <c r="F44" i="18"/>
  <c r="F50" i="18"/>
  <c r="F51" i="18"/>
  <c r="F37" i="18"/>
  <c r="G31" i="12"/>
  <c r="Q156" i="12"/>
  <c r="Q166" i="12" s="1"/>
  <c r="Q170" i="12" s="1"/>
  <c r="G23" i="63"/>
  <c r="E224" i="12"/>
  <c r="H224" i="12"/>
  <c r="I90" i="83"/>
  <c r="I94" i="83" s="1"/>
  <c r="BX46" i="10"/>
  <c r="I33" i="63"/>
  <c r="G37" i="18"/>
  <c r="AJ52" i="4"/>
  <c r="AB52" i="4"/>
  <c r="AF52" i="4"/>
  <c r="AC52" i="4"/>
  <c r="X51" i="10"/>
  <c r="X52" i="10" s="1"/>
  <c r="V71" i="66"/>
  <c r="J299" i="11"/>
  <c r="J300" i="11"/>
  <c r="J293" i="11"/>
  <c r="W47" i="10"/>
  <c r="V68" i="66" s="1"/>
  <c r="J292" i="11"/>
  <c r="P27" i="12"/>
  <c r="AP66" i="66"/>
  <c r="AP103" i="66" s="1"/>
  <c r="V291" i="11"/>
  <c r="U68" i="66"/>
  <c r="AC44" i="18"/>
  <c r="G37" i="10"/>
  <c r="C13" i="66"/>
  <c r="G42" i="10"/>
  <c r="G782" i="10" s="1"/>
  <c r="O11" i="83"/>
  <c r="O16" i="83"/>
  <c r="O17" i="83" s="1"/>
  <c r="S6" i="83" s="1"/>
  <c r="W6" i="83" s="1"/>
  <c r="X6" i="83" s="1"/>
  <c r="D42" i="66"/>
  <c r="U86" i="12"/>
  <c r="U35" i="12"/>
  <c r="G35" i="66"/>
  <c r="B34" i="66"/>
  <c r="L52" i="10"/>
  <c r="G52" i="66"/>
  <c r="N31" i="10"/>
  <c r="O13" i="4" s="1"/>
  <c r="V622" i="10"/>
  <c r="BO35" i="10"/>
  <c r="K3" i="83"/>
  <c r="K12" i="83" s="1"/>
  <c r="R16" i="18"/>
  <c r="R46" i="18" s="1"/>
  <c r="H27" i="10"/>
  <c r="L305" i="10"/>
  <c r="L292" i="10"/>
  <c r="L308" i="10" s="1"/>
  <c r="G34" i="66"/>
  <c r="B35" i="66"/>
  <c r="B33" i="66"/>
  <c r="N292" i="10"/>
  <c r="N308" i="10" s="1"/>
  <c r="I228" i="10"/>
  <c r="L61" i="10"/>
  <c r="G60" i="66"/>
  <c r="V564" i="10"/>
  <c r="V571" i="10" s="1"/>
  <c r="V580" i="10" s="1"/>
  <c r="U85" i="12"/>
  <c r="O6" i="66"/>
  <c r="C25" i="66"/>
  <c r="H42" i="10"/>
  <c r="H782" i="10" s="1"/>
  <c r="D13" i="66"/>
  <c r="H37" i="10"/>
  <c r="F42" i="66"/>
  <c r="E42" i="66"/>
  <c r="E25" i="66"/>
  <c r="BF63" i="10"/>
  <c r="BF65" i="10" s="1"/>
  <c r="B36" i="66"/>
  <c r="G30" i="10"/>
  <c r="G36" i="10" s="1"/>
  <c r="AC16" i="18"/>
  <c r="AC26" i="18" s="1"/>
  <c r="U80" i="12"/>
  <c r="J327" i="10"/>
  <c r="J328" i="10"/>
  <c r="K324" i="10"/>
  <c r="N20" i="10"/>
  <c r="N803" i="10"/>
  <c r="N807" i="10" s="1"/>
  <c r="O6" i="4"/>
  <c r="N772" i="10"/>
  <c r="N810" i="10" s="1"/>
  <c r="J6" i="66"/>
  <c r="J42" i="66" s="1"/>
  <c r="K73" i="83"/>
  <c r="O27" i="4"/>
  <c r="AO27" i="4" s="1"/>
  <c r="N229" i="10"/>
  <c r="N183" i="10"/>
  <c r="L24" i="83"/>
  <c r="L148" i="12"/>
  <c r="K41" i="63"/>
  <c r="Y16" i="18"/>
  <c r="Y46" i="18" s="1"/>
  <c r="D33" i="63"/>
  <c r="AD108" i="66"/>
  <c r="AX71" i="66"/>
  <c r="L92" i="17"/>
  <c r="H66" i="17"/>
  <c r="H65" i="17"/>
  <c r="H64" i="17"/>
  <c r="H81" i="17"/>
  <c r="G20" i="18"/>
  <c r="G46" i="18"/>
  <c r="T155" i="12"/>
  <c r="AE56" i="10"/>
  <c r="X43" i="12" s="1"/>
  <c r="AF85" i="66"/>
  <c r="E64" i="17"/>
  <c r="E65" i="17"/>
  <c r="E81" i="17"/>
  <c r="E145" i="12"/>
  <c r="E179" i="12"/>
  <c r="X143" i="12"/>
  <c r="AE108" i="66"/>
  <c r="AU65" i="66"/>
  <c r="AH10" i="18"/>
  <c r="X12" i="18"/>
  <c r="X13" i="18"/>
  <c r="AE109" i="66"/>
  <c r="BT23" i="10"/>
  <c r="AG79" i="66"/>
  <c r="T28" i="18"/>
  <c r="I66" i="17"/>
  <c r="G51" i="63"/>
  <c r="G53" i="63" s="1"/>
  <c r="F83" i="17"/>
  <c r="G636" i="10"/>
  <c r="G644" i="10" s="1"/>
  <c r="G638" i="10"/>
  <c r="AE20" i="11"/>
  <c r="K27" i="12"/>
  <c r="N55" i="10"/>
  <c r="AA20" i="11"/>
  <c r="AA56" i="11" s="1"/>
  <c r="T144" i="12"/>
  <c r="H50" i="63"/>
  <c r="H51" i="63" s="1"/>
  <c r="H145" i="12"/>
  <c r="Q16" i="18"/>
  <c r="J9" i="38"/>
  <c r="Y38" i="18"/>
  <c r="I64" i="17"/>
  <c r="I81" i="17"/>
  <c r="I65" i="17"/>
  <c r="G83" i="17"/>
  <c r="I65" i="63"/>
  <c r="I73" i="63" s="1"/>
  <c r="P34" i="4"/>
  <c r="AP34" i="4" s="1"/>
  <c r="E19" i="17"/>
  <c r="H17" i="4"/>
  <c r="H55" i="4" s="1"/>
  <c r="E58" i="17"/>
  <c r="E14" i="17"/>
  <c r="J17" i="4"/>
  <c r="E72" i="17"/>
  <c r="K261" i="10"/>
  <c r="K27" i="10" s="1"/>
  <c r="K24" i="10" s="1"/>
  <c r="K30" i="10" s="1"/>
  <c r="L12" i="4" s="1"/>
  <c r="AM109" i="66"/>
  <c r="C64" i="17"/>
  <c r="C81" i="17"/>
  <c r="C65" i="17"/>
  <c r="G94" i="66"/>
  <c r="G110" i="66"/>
  <c r="Z16" i="18"/>
  <c r="AC38" i="18"/>
  <c r="G58" i="17"/>
  <c r="G72" i="17"/>
  <c r="G19" i="17"/>
  <c r="K17" i="4"/>
  <c r="G14" i="17"/>
  <c r="I20" i="18"/>
  <c r="I39" i="18"/>
  <c r="I46" i="18"/>
  <c r="G156" i="12"/>
  <c r="G166" i="12" s="1"/>
  <c r="R155" i="12"/>
  <c r="V49" i="18"/>
  <c r="V16" i="18"/>
  <c r="I638" i="10"/>
  <c r="I636" i="10"/>
  <c r="I644" i="10" s="1"/>
  <c r="AA46" i="18"/>
  <c r="AA26" i="18"/>
  <c r="AA20" i="18"/>
  <c r="H71" i="17"/>
  <c r="H20" i="17"/>
  <c r="L21" i="4"/>
  <c r="H15" i="17"/>
  <c r="C66" i="17"/>
  <c r="L91" i="17"/>
  <c r="J88" i="17"/>
  <c r="U20" i="18"/>
  <c r="U45" i="18" s="1"/>
  <c r="U26" i="18"/>
  <c r="U46" i="18"/>
  <c r="H38" i="18"/>
  <c r="G38" i="18"/>
  <c r="K19" i="63"/>
  <c r="BM18" i="10"/>
  <c r="X8" i="18"/>
  <c r="I72" i="17"/>
  <c r="I19" i="17"/>
  <c r="M17" i="4"/>
  <c r="I58" i="17"/>
  <c r="I14" i="17"/>
  <c r="J47" i="63"/>
  <c r="D66" i="17"/>
  <c r="U156" i="12"/>
  <c r="U166" i="12" s="1"/>
  <c r="U170" i="12" s="1"/>
  <c r="F58" i="17"/>
  <c r="W16" i="18"/>
  <c r="AA39" i="18" s="1"/>
  <c r="AD16" i="18"/>
  <c r="AD26" i="18" s="1"/>
  <c r="AF24" i="4"/>
  <c r="AJ24" i="4"/>
  <c r="U54" i="82"/>
  <c r="E51" i="63"/>
  <c r="H46" i="18"/>
  <c r="H20" i="18"/>
  <c r="H39" i="18"/>
  <c r="N16" i="4"/>
  <c r="AN16" i="4" s="1"/>
  <c r="AR65" i="66"/>
  <c r="AE10" i="18"/>
  <c r="T12" i="18"/>
  <c r="T49" i="18" s="1"/>
  <c r="T13" i="18"/>
  <c r="AK67" i="66"/>
  <c r="X15" i="18"/>
  <c r="D81" i="17"/>
  <c r="D64" i="17"/>
  <c r="D65" i="17"/>
  <c r="G65" i="17"/>
  <c r="G64" i="17"/>
  <c r="G81" i="17"/>
  <c r="AZ67" i="66"/>
  <c r="T44" i="18"/>
  <c r="D19" i="17"/>
  <c r="G17" i="4"/>
  <c r="G55" i="4" s="1"/>
  <c r="D58" i="17"/>
  <c r="D14" i="17"/>
  <c r="D72" i="17"/>
  <c r="H209" i="24"/>
  <c r="J46" i="18"/>
  <c r="J20" i="18"/>
  <c r="J39" i="18"/>
  <c r="AL17" i="4"/>
  <c r="L55" i="4"/>
  <c r="AL55" i="4" s="1"/>
  <c r="K143" i="12"/>
  <c r="AD44" i="18"/>
  <c r="Z84" i="18"/>
  <c r="T11" i="18"/>
  <c r="D20" i="18"/>
  <c r="D45" i="18" s="1"/>
  <c r="D46" i="18"/>
  <c r="G70" i="17"/>
  <c r="J636" i="10"/>
  <c r="J644" i="10" s="1"/>
  <c r="J638" i="10"/>
  <c r="S16" i="18"/>
  <c r="L44" i="4"/>
  <c r="W216" i="11"/>
  <c r="M325" i="10"/>
  <c r="AE381" i="10"/>
  <c r="BU11" i="10"/>
  <c r="W91" i="11"/>
  <c r="N311" i="10"/>
  <c r="K10" i="83"/>
  <c r="O5" i="4"/>
  <c r="K72" i="83"/>
  <c r="AS124" i="11"/>
  <c r="AA8" i="11"/>
  <c r="O198" i="10"/>
  <c r="O199" i="10" s="1"/>
  <c r="AT157" i="11" s="1"/>
  <c r="M2" i="83"/>
  <c r="P651" i="10"/>
  <c r="P659" i="10"/>
  <c r="P666" i="10" s="1"/>
  <c r="P177" i="10"/>
  <c r="P190" i="10" s="1"/>
  <c r="O178" i="10"/>
  <c r="D156" i="12"/>
  <c r="M72" i="12"/>
  <c r="M70" i="12"/>
  <c r="AK85" i="66"/>
  <c r="H83" i="63"/>
  <c r="H25" i="63"/>
  <c r="H24" i="63"/>
  <c r="V4" i="83"/>
  <c r="V5" i="83" s="1"/>
  <c r="X4" i="83"/>
  <c r="C21" i="63"/>
  <c r="K72" i="63"/>
  <c r="M27" i="16"/>
  <c r="E23" i="63"/>
  <c r="E26" i="63"/>
  <c r="H70" i="66"/>
  <c r="H103" i="66"/>
  <c r="Q66" i="66"/>
  <c r="H104" i="66"/>
  <c r="H93" i="66"/>
  <c r="O66" i="66"/>
  <c r="H97" i="66"/>
  <c r="D145" i="12"/>
  <c r="D179" i="12"/>
  <c r="I26" i="63"/>
  <c r="I23" i="63"/>
  <c r="I24" i="63" s="1"/>
  <c r="I86" i="12"/>
  <c r="I31" i="12"/>
  <c r="I35" i="12"/>
  <c r="J36" i="12" s="1"/>
  <c r="G286" i="24"/>
  <c r="G14" i="63"/>
  <c r="G21" i="63" s="1"/>
  <c r="F117" i="66"/>
  <c r="F118" i="66" s="1"/>
  <c r="F114" i="66"/>
  <c r="F115" i="66" s="1"/>
  <c r="G226" i="12"/>
  <c r="G227" i="12" s="1"/>
  <c r="G205" i="12"/>
  <c r="G224" i="12"/>
  <c r="I51" i="10"/>
  <c r="J35" i="10"/>
  <c r="E18" i="66"/>
  <c r="I40" i="10"/>
  <c r="I35" i="10"/>
  <c r="K85" i="66"/>
  <c r="V155" i="12"/>
  <c r="I156" i="12"/>
  <c r="P134" i="12"/>
  <c r="F145" i="12"/>
  <c r="H324" i="24"/>
  <c r="H210" i="12"/>
  <c r="K153" i="12"/>
  <c r="J64" i="63"/>
  <c r="X153" i="12"/>
  <c r="BI260" i="10"/>
  <c r="BI16" i="10" s="1"/>
  <c r="AK8" i="66" s="1"/>
  <c r="AD52" i="10"/>
  <c r="AD61" i="10"/>
  <c r="AD63" i="10" s="1"/>
  <c r="AD65" i="10" s="1"/>
  <c r="AD67" i="10" s="1"/>
  <c r="D362" i="24"/>
  <c r="D239" i="12"/>
  <c r="G179" i="12"/>
  <c r="G145" i="12"/>
  <c r="R134" i="12"/>
  <c r="H156" i="12"/>
  <c r="T151" i="12"/>
  <c r="H179" i="12"/>
  <c r="E20" i="66"/>
  <c r="E72" i="66"/>
  <c r="R165" i="12"/>
  <c r="P57" i="10"/>
  <c r="M197" i="12"/>
  <c r="C362" i="24"/>
  <c r="I83" i="63"/>
  <c r="I25" i="63"/>
  <c r="M71" i="12"/>
  <c r="K86" i="66"/>
  <c r="L638" i="10"/>
  <c r="J38" i="63"/>
  <c r="X133" i="12"/>
  <c r="K133" i="12"/>
  <c r="C179" i="12"/>
  <c r="C145" i="12"/>
  <c r="C156" i="12"/>
  <c r="V151" i="12"/>
  <c r="F20" i="66"/>
  <c r="F72" i="66"/>
  <c r="F14" i="63"/>
  <c r="F21" i="63" s="1"/>
  <c r="F286" i="24"/>
  <c r="F226" i="12"/>
  <c r="F227" i="12" s="1"/>
  <c r="E114" i="66"/>
  <c r="E115" i="66" s="1"/>
  <c r="E117" i="66"/>
  <c r="E118" i="66" s="1"/>
  <c r="F205" i="12"/>
  <c r="F224" i="12"/>
  <c r="C104" i="66"/>
  <c r="C103" i="66"/>
  <c r="C70" i="66"/>
  <c r="D93" i="66"/>
  <c r="D97" i="66"/>
  <c r="C93" i="66"/>
  <c r="C97" i="66"/>
  <c r="D25" i="63"/>
  <c r="D83" i="63"/>
  <c r="O64" i="10"/>
  <c r="K80" i="66"/>
  <c r="X154" i="12"/>
  <c r="K154" i="12"/>
  <c r="D23" i="63"/>
  <c r="D24" i="63" s="1"/>
  <c r="D26" i="63"/>
  <c r="D35" i="12"/>
  <c r="D86" i="12"/>
  <c r="D31" i="12"/>
  <c r="I239" i="12"/>
  <c r="I362" i="24"/>
  <c r="I145" i="12"/>
  <c r="V134" i="12"/>
  <c r="I179" i="12"/>
  <c r="I661" i="10"/>
  <c r="J661" i="10"/>
  <c r="I31" i="83"/>
  <c r="W279" i="11"/>
  <c r="AV94" i="66"/>
  <c r="AV110" i="66"/>
  <c r="AW6" i="66"/>
  <c r="AJ96" i="66"/>
  <c r="AJ109" i="66"/>
  <c r="AN96" i="66"/>
  <c r="AZ69" i="66"/>
  <c r="BX50" i="10"/>
  <c r="AG69" i="66"/>
  <c r="BE50" i="10"/>
  <c r="AU94" i="66"/>
  <c r="AU110" i="66"/>
  <c r="Z599" i="10"/>
  <c r="AB608" i="10"/>
  <c r="Z601" i="10"/>
  <c r="AG68" i="66"/>
  <c r="BE48" i="10"/>
  <c r="BH35" i="10"/>
  <c r="BD61" i="10"/>
  <c r="BD51" i="10"/>
  <c r="BD52" i="10" s="1"/>
  <c r="BD40" i="10"/>
  <c r="T28" i="12"/>
  <c r="Z71" i="66"/>
  <c r="W281" i="11"/>
  <c r="S281" i="11"/>
  <c r="K249" i="11"/>
  <c r="K253" i="11"/>
  <c r="K246" i="11"/>
  <c r="K250" i="11"/>
  <c r="K247" i="11"/>
  <c r="K248" i="11"/>
  <c r="X65" i="66"/>
  <c r="R16" i="12"/>
  <c r="R18" i="12" s="1"/>
  <c r="AL94" i="66"/>
  <c r="AL110" i="66"/>
  <c r="AQ110" i="66"/>
  <c r="AN110" i="66"/>
  <c r="AN94" i="66"/>
  <c r="AI95" i="66"/>
  <c r="AI108" i="66"/>
  <c r="AK69" i="66"/>
  <c r="AO96" i="66" s="1"/>
  <c r="BI50" i="10"/>
  <c r="BI46" i="10"/>
  <c r="AK64" i="66"/>
  <c r="BI10" i="10"/>
  <c r="AK9" i="66"/>
  <c r="BM10" i="10"/>
  <c r="BI18" i="10"/>
  <c r="AF108" i="66"/>
  <c r="W283" i="11"/>
  <c r="AD109" i="66"/>
  <c r="AH96" i="66"/>
  <c r="V18" i="10"/>
  <c r="U64" i="66"/>
  <c r="U9" i="66"/>
  <c r="V579" i="10"/>
  <c r="V605" i="10"/>
  <c r="V604" i="10"/>
  <c r="V574" i="10"/>
  <c r="V17" i="10"/>
  <c r="V602" i="10"/>
  <c r="V623" i="10"/>
  <c r="V603" i="10"/>
  <c r="V575" i="10"/>
  <c r="V578" i="10"/>
  <c r="O13" i="12"/>
  <c r="O20" i="12" s="1"/>
  <c r="V625" i="10"/>
  <c r="W9" i="10"/>
  <c r="W17" i="10" s="1"/>
  <c r="X10" i="10"/>
  <c r="X18" i="10"/>
  <c r="V297" i="11"/>
  <c r="AT78" i="66"/>
  <c r="BR63" i="10"/>
  <c r="S286" i="11"/>
  <c r="AQ94" i="66"/>
  <c r="AM94" i="66"/>
  <c r="AM110" i="66"/>
  <c r="BJ40" i="10"/>
  <c r="BN35" i="10"/>
  <c r="BJ35" i="10"/>
  <c r="BJ51" i="10"/>
  <c r="BJ52" i="10" s="1"/>
  <c r="BJ61" i="10"/>
  <c r="BM29" i="10"/>
  <c r="BQ35" i="10" s="1"/>
  <c r="BE46" i="10"/>
  <c r="AG67" i="66"/>
  <c r="W282" i="11"/>
  <c r="S282" i="11"/>
  <c r="O280" i="11"/>
  <c r="V300" i="11"/>
  <c r="V287" i="11"/>
  <c r="BN63" i="10"/>
  <c r="AP78" i="66"/>
  <c r="J290" i="11"/>
  <c r="J297" i="11"/>
  <c r="K263" i="11"/>
  <c r="K291" i="11" s="1"/>
  <c r="J294" i="11"/>
  <c r="V292" i="11"/>
  <c r="V293" i="11"/>
  <c r="Y79" i="66"/>
  <c r="S53" i="12"/>
  <c r="AA62" i="10"/>
  <c r="O246" i="11"/>
  <c r="O253" i="11"/>
  <c r="O250" i="11"/>
  <c r="O252" i="11"/>
  <c r="O248" i="11"/>
  <c r="O247" i="11"/>
  <c r="O233" i="11"/>
  <c r="O249" i="11"/>
  <c r="O256" i="11"/>
  <c r="BH61" i="10"/>
  <c r="BH51" i="10"/>
  <c r="BH52" i="10" s="1"/>
  <c r="BH40" i="10"/>
  <c r="BI29" i="10"/>
  <c r="BI23" i="10" s="1"/>
  <c r="O286" i="11"/>
  <c r="AU108" i="66"/>
  <c r="AU95" i="66"/>
  <c r="U67" i="66"/>
  <c r="W45" i="10"/>
  <c r="V46" i="10"/>
  <c r="O24" i="12"/>
  <c r="AR110" i="66"/>
  <c r="AR94" i="66"/>
  <c r="O287" i="11"/>
  <c r="W286" i="11"/>
  <c r="AF110" i="66"/>
  <c r="BX12" i="10"/>
  <c r="W280" i="11"/>
  <c r="BS35" i="10"/>
  <c r="O279" i="11"/>
  <c r="O255" i="11"/>
  <c r="T16" i="12"/>
  <c r="Z65" i="66"/>
  <c r="AL108" i="66"/>
  <c r="AL95" i="66"/>
  <c r="AP95" i="66"/>
  <c r="AQ108" i="66"/>
  <c r="AQ95" i="66"/>
  <c r="AI96" i="66"/>
  <c r="AI109" i="66"/>
  <c r="AI94" i="66"/>
  <c r="AI110" i="66"/>
  <c r="AE66" i="66"/>
  <c r="AI92" i="66"/>
  <c r="AJ110" i="66"/>
  <c r="AJ94" i="66"/>
  <c r="BX10" i="10"/>
  <c r="BX18" i="10"/>
  <c r="AZ64" i="66"/>
  <c r="AZ9" i="66"/>
  <c r="BD16" i="10"/>
  <c r="BE260" i="10"/>
  <c r="BE16" i="10" s="1"/>
  <c r="AG8" i="66" s="1"/>
  <c r="BB40" i="10"/>
  <c r="BB51" i="10"/>
  <c r="BB52" i="10" s="1"/>
  <c r="BB61" i="10"/>
  <c r="BF35" i="10"/>
  <c r="BE29" i="10"/>
  <c r="V29" i="10"/>
  <c r="AV108" i="66"/>
  <c r="AV92" i="66"/>
  <c r="AT110" i="66"/>
  <c r="AT94" i="66"/>
  <c r="R299" i="11"/>
  <c r="S24" i="12"/>
  <c r="Y67" i="66"/>
  <c r="AA45" i="10"/>
  <c r="Z46" i="10"/>
  <c r="S278" i="11"/>
  <c r="AH94" i="66"/>
  <c r="AH110" i="66"/>
  <c r="AH104" i="66"/>
  <c r="AH70" i="66"/>
  <c r="AO108" i="66"/>
  <c r="R295" i="11"/>
  <c r="AM108" i="66"/>
  <c r="AM95" i="66"/>
  <c r="R294" i="11"/>
  <c r="O282" i="11"/>
  <c r="U79" i="66"/>
  <c r="O53" i="12"/>
  <c r="W62" i="10"/>
  <c r="V48" i="10"/>
  <c r="S233" i="11"/>
  <c r="AG9" i="66"/>
  <c r="AG64" i="66"/>
  <c r="AL66" i="66"/>
  <c r="AL92" i="66"/>
  <c r="AL109" i="66"/>
  <c r="AS95" i="66"/>
  <c r="AS108" i="66"/>
  <c r="AM66" i="66"/>
  <c r="AM92" i="66"/>
  <c r="R290" i="11"/>
  <c r="S263" i="11"/>
  <c r="S299" i="11" s="1"/>
  <c r="R297" i="11"/>
  <c r="R298" i="11"/>
  <c r="BW12" i="10"/>
  <c r="W49" i="10"/>
  <c r="U69" i="66"/>
  <c r="O26" i="12"/>
  <c r="V50" i="10"/>
  <c r="V594" i="10"/>
  <c r="AD66" i="66"/>
  <c r="AH92" i="66"/>
  <c r="AE110" i="66"/>
  <c r="O251" i="11"/>
  <c r="AV95" i="66"/>
  <c r="AR95" i="66"/>
  <c r="AR108" i="66"/>
  <c r="Z29" i="10"/>
  <c r="BK61" i="10"/>
  <c r="BK35" i="10"/>
  <c r="BK40" i="10"/>
  <c r="BK51" i="10"/>
  <c r="BK52" i="10" s="1"/>
  <c r="R29" i="12"/>
  <c r="R27" i="12" s="1"/>
  <c r="X71" i="66"/>
  <c r="O278" i="11"/>
  <c r="O254" i="11"/>
  <c r="O241" i="11"/>
  <c r="V277" i="11"/>
  <c r="V290" i="11"/>
  <c r="V294" i="11"/>
  <c r="S18" i="12"/>
  <c r="Z564" i="10"/>
  <c r="S25" i="12"/>
  <c r="AA47" i="10"/>
  <c r="Z48" i="10"/>
  <c r="Y68" i="66"/>
  <c r="BL63" i="10"/>
  <c r="AN78" i="66"/>
  <c r="AJ66" i="66"/>
  <c r="AJ92" i="66"/>
  <c r="AJ108" i="66"/>
  <c r="BX29" i="10"/>
  <c r="AN92" i="66"/>
  <c r="AO109" i="66"/>
  <c r="AS96" i="66"/>
  <c r="BW29" i="10"/>
  <c r="AA92" i="11"/>
  <c r="AA128" i="11" s="1"/>
  <c r="BT40" i="10"/>
  <c r="BT61" i="10"/>
  <c r="BT51" i="10"/>
  <c r="BT52" i="10" s="1"/>
  <c r="K256" i="11"/>
  <c r="AS92" i="66"/>
  <c r="AS109" i="66"/>
  <c r="R291" i="11"/>
  <c r="Y45" i="10"/>
  <c r="W67" i="66"/>
  <c r="Q24" i="12"/>
  <c r="X46" i="10"/>
  <c r="R293" i="11"/>
  <c r="AP110" i="66"/>
  <c r="AP94" i="66"/>
  <c r="O281" i="11"/>
  <c r="V295" i="11"/>
  <c r="R300" i="11"/>
  <c r="J296" i="11"/>
  <c r="S283" i="11"/>
  <c r="W278" i="11"/>
  <c r="AV109" i="66"/>
  <c r="AV96" i="66"/>
  <c r="AF109" i="66"/>
  <c r="AF66" i="66"/>
  <c r="BU20" i="10"/>
  <c r="J298" i="11"/>
  <c r="K271" i="11"/>
  <c r="AO110" i="66"/>
  <c r="Q25" i="12"/>
  <c r="W68" i="66"/>
  <c r="X622" i="10"/>
  <c r="X564" i="10"/>
  <c r="Y47" i="10"/>
  <c r="X48" i="10"/>
  <c r="O283" i="11"/>
  <c r="BV35" i="10"/>
  <c r="BV40" i="10"/>
  <c r="N285" i="11"/>
  <c r="O271" i="11"/>
  <c r="S285" i="11" s="1"/>
  <c r="R285" i="11"/>
  <c r="AA594" i="10"/>
  <c r="T26" i="12"/>
  <c r="Z69" i="66"/>
  <c r="AQ96" i="66"/>
  <c r="AQ109" i="66"/>
  <c r="AU96" i="66"/>
  <c r="BS40" i="10"/>
  <c r="BS61" i="10"/>
  <c r="BS51" i="10"/>
  <c r="BS52" i="10" s="1"/>
  <c r="BI48" i="10"/>
  <c r="AK68" i="66"/>
  <c r="Y49" i="10"/>
  <c r="X50" i="10"/>
  <c r="W69" i="66"/>
  <c r="Q26" i="12"/>
  <c r="X594" i="10"/>
  <c r="Z608" i="10" s="1"/>
  <c r="AD110" i="66"/>
  <c r="BL35" i="10"/>
  <c r="BC40" i="10"/>
  <c r="BG35" i="10"/>
  <c r="BC51" i="10"/>
  <c r="BC52" i="10" s="1"/>
  <c r="BC61" i="10"/>
  <c r="AR109" i="66"/>
  <c r="AR92" i="66"/>
  <c r="BX48" i="10"/>
  <c r="AZ68" i="66"/>
  <c r="BW18" i="10"/>
  <c r="AY64" i="66"/>
  <c r="AY9" i="66"/>
  <c r="BW10" i="10"/>
  <c r="BW50" i="10"/>
  <c r="AY69" i="66"/>
  <c r="AQ92" i="66"/>
  <c r="AB10" i="10"/>
  <c r="Z574" i="10"/>
  <c r="Z579" i="10"/>
  <c r="Z602" i="10"/>
  <c r="Z603" i="10"/>
  <c r="AB18" i="10"/>
  <c r="Y9" i="66"/>
  <c r="S13" i="12"/>
  <c r="Z604" i="10"/>
  <c r="Z578" i="10"/>
  <c r="Z575" i="10"/>
  <c r="Z18" i="10"/>
  <c r="Y64" i="66"/>
  <c r="Y109" i="66" s="1"/>
  <c r="Z605" i="10"/>
  <c r="AA9" i="10"/>
  <c r="Z10" i="10"/>
  <c r="Z17" i="10"/>
  <c r="AS110" i="66"/>
  <c r="AS94" i="66"/>
  <c r="S280" i="11"/>
  <c r="BW46" i="10"/>
  <c r="AP92" i="66"/>
  <c r="AF49" i="10"/>
  <c r="Y26" i="12" s="1"/>
  <c r="AX69" i="66"/>
  <c r="BB96" i="66" s="1"/>
  <c r="BV50" i="10"/>
  <c r="AP109" i="66"/>
  <c r="AT96" i="66"/>
  <c r="AP96" i="66"/>
  <c r="AU92" i="66"/>
  <c r="AU109" i="66"/>
  <c r="P777" i="10"/>
  <c r="I151" i="10"/>
  <c r="I145" i="10"/>
  <c r="O463" i="10"/>
  <c r="P474" i="10"/>
  <c r="P204" i="10"/>
  <c r="P205" i="10"/>
  <c r="O393" i="10"/>
  <c r="O340" i="10"/>
  <c r="O346" i="10" s="1"/>
  <c r="O456" i="10"/>
  <c r="L39" i="10"/>
  <c r="H17" i="66"/>
  <c r="L44" i="10"/>
  <c r="V5" i="66"/>
  <c r="Y19" i="10"/>
  <c r="N317" i="10"/>
  <c r="N318" i="10" s="1"/>
  <c r="N341" i="10"/>
  <c r="J144" i="10"/>
  <c r="J81" i="10"/>
  <c r="K81" i="10"/>
  <c r="H151" i="10"/>
  <c r="E41" i="66"/>
  <c r="E24" i="66"/>
  <c r="F41" i="66"/>
  <c r="BQ61" i="10"/>
  <c r="BQ40" i="10"/>
  <c r="BQ51" i="10"/>
  <c r="BQ52" i="10" s="1"/>
  <c r="BQ23" i="10"/>
  <c r="I152" i="10"/>
  <c r="M344" i="10"/>
  <c r="M327" i="10"/>
  <c r="M760" i="10"/>
  <c r="L764" i="10"/>
  <c r="K109" i="10"/>
  <c r="L140" i="10"/>
  <c r="M140" i="10" s="1"/>
  <c r="M109" i="10" s="1"/>
  <c r="M292" i="10"/>
  <c r="M308" i="10" s="1"/>
  <c r="I261" i="10"/>
  <c r="I262" i="10" s="1"/>
  <c r="I263" i="10" s="1"/>
  <c r="I33" i="10"/>
  <c r="P186" i="10"/>
  <c r="P79" i="10"/>
  <c r="P144" i="10"/>
  <c r="P152" i="10" s="1"/>
  <c r="O151" i="10"/>
  <c r="O80" i="10"/>
  <c r="O87" i="10" s="1"/>
  <c r="M328" i="10"/>
  <c r="M349" i="10"/>
  <c r="O5" i="66"/>
  <c r="C24" i="66"/>
  <c r="M103" i="10"/>
  <c r="N103" i="10"/>
  <c r="N111" i="10"/>
  <c r="N91" i="10"/>
  <c r="N85" i="10" s="1"/>
  <c r="BE11" i="10"/>
  <c r="BI99" i="10"/>
  <c r="O152" i="10"/>
  <c r="L141" i="10"/>
  <c r="M141" i="10" s="1"/>
  <c r="M110" i="10" s="1"/>
  <c r="M148" i="10" s="1"/>
  <c r="K110" i="10"/>
  <c r="K148" i="10" s="1"/>
  <c r="I30" i="10"/>
  <c r="J108" i="10"/>
  <c r="P179" i="10"/>
  <c r="P181" i="10" s="1"/>
  <c r="N348" i="10"/>
  <c r="AB63" i="10"/>
  <c r="AA78" i="66"/>
  <c r="P775" i="10"/>
  <c r="P813" i="10" s="1"/>
  <c r="K291" i="10"/>
  <c r="I290" i="10"/>
  <c r="J303" i="10"/>
  <c r="BP63" i="10"/>
  <c r="AR78" i="66"/>
  <c r="N81" i="10"/>
  <c r="N24" i="10"/>
  <c r="N30" i="10" s="1"/>
  <c r="O12" i="4" s="1"/>
  <c r="AO12" i="4" s="1"/>
  <c r="N802" i="10"/>
  <c r="N806" i="10" s="1"/>
  <c r="N771" i="10"/>
  <c r="N343" i="10"/>
  <c r="N381" i="10"/>
  <c r="AA216" i="11" s="1"/>
  <c r="N273" i="10"/>
  <c r="N19" i="10"/>
  <c r="J5" i="66"/>
  <c r="J26" i="66" s="1"/>
  <c r="G152" i="10"/>
  <c r="P74" i="10"/>
  <c r="M4" i="83" s="1"/>
  <c r="BM20" i="10"/>
  <c r="AO6" i="66"/>
  <c r="K39" i="10"/>
  <c r="G17" i="66"/>
  <c r="K44" i="10"/>
  <c r="O25" i="10"/>
  <c r="O182" i="10"/>
  <c r="M305" i="10"/>
  <c r="I737" i="10"/>
  <c r="J737" i="10"/>
  <c r="P459" i="10"/>
  <c r="P77" i="10"/>
  <c r="O90" i="10"/>
  <c r="O84" i="10" s="1"/>
  <c r="K326" i="10"/>
  <c r="BI20" i="10"/>
  <c r="AK6" i="66"/>
  <c r="P776" i="10"/>
  <c r="P814" i="10" s="1"/>
  <c r="L43" i="66"/>
  <c r="BQ260" i="10"/>
  <c r="BQ16" i="10" s="1"/>
  <c r="AC16" i="10"/>
  <c r="O76" i="10"/>
  <c r="O78" i="10" s="1"/>
  <c r="N87" i="10"/>
  <c r="O310" i="10"/>
  <c r="O99" i="10"/>
  <c r="O11" i="10"/>
  <c r="L149" i="10"/>
  <c r="J344" i="10"/>
  <c r="AH81" i="66"/>
  <c r="AH111" i="66"/>
  <c r="D50" i="66"/>
  <c r="D41" i="66"/>
  <c r="D24" i="66"/>
  <c r="P304" i="10"/>
  <c r="P292" i="10"/>
  <c r="P308" i="10" s="1"/>
  <c r="AQ65" i="66"/>
  <c r="P75" i="10"/>
  <c r="D12" i="66"/>
  <c r="H41" i="10"/>
  <c r="H781" i="10" s="1"/>
  <c r="M14" i="66"/>
  <c r="M7" i="66"/>
  <c r="P382" i="10"/>
  <c r="P323" i="10"/>
  <c r="P324" i="10" s="1"/>
  <c r="L261" i="10"/>
  <c r="L27" i="10" s="1"/>
  <c r="L24" i="10" s="1"/>
  <c r="L30" i="10" s="1"/>
  <c r="I280" i="10"/>
  <c r="I274" i="10"/>
  <c r="I275" i="10"/>
  <c r="J274" i="10"/>
  <c r="O206" i="10"/>
  <c r="K112" i="10"/>
  <c r="K150" i="10" s="1"/>
  <c r="L143" i="10"/>
  <c r="M143" i="10" s="1"/>
  <c r="M112" i="10" s="1"/>
  <c r="AB104" i="66"/>
  <c r="AB70" i="66"/>
  <c r="AB72" i="66" s="1"/>
  <c r="AB103" i="66"/>
  <c r="H87" i="12"/>
  <c r="H37" i="12"/>
  <c r="H50" i="12"/>
  <c r="L164" i="12"/>
  <c r="M174" i="12"/>
  <c r="E86" i="12"/>
  <c r="E35" i="12"/>
  <c r="E31" i="12"/>
  <c r="F31" i="12"/>
  <c r="M158" i="12"/>
  <c r="L195" i="12"/>
  <c r="M54" i="12"/>
  <c r="B105" i="66"/>
  <c r="B74" i="66"/>
  <c r="X27" i="12"/>
  <c r="P54" i="10"/>
  <c r="AB37" i="11" l="1"/>
  <c r="AA233" i="11"/>
  <c r="CB18" i="10"/>
  <c r="CB50" i="10"/>
  <c r="CB10" i="10"/>
  <c r="BD64" i="66"/>
  <c r="CB46" i="10"/>
  <c r="AA193" i="11"/>
  <c r="Z193" i="11" s="1"/>
  <c r="Z194" i="11" s="1"/>
  <c r="AD182" i="11"/>
  <c r="AD183" i="11" s="1"/>
  <c r="AD48" i="11"/>
  <c r="AG771" i="10"/>
  <c r="N809" i="10"/>
  <c r="AI777" i="10"/>
  <c r="P790" i="10"/>
  <c r="P815" i="10"/>
  <c r="AQ25" i="18"/>
  <c r="AQ51" i="18"/>
  <c r="AP13" i="18"/>
  <c r="AM50" i="18"/>
  <c r="AQ13" i="18"/>
  <c r="BD69" i="66"/>
  <c r="BD96" i="66" s="1"/>
  <c r="AQ24" i="18"/>
  <c r="AP12" i="18"/>
  <c r="AM49" i="18"/>
  <c r="AP49" i="18" s="1"/>
  <c r="M150" i="10"/>
  <c r="P27" i="4"/>
  <c r="AP27" i="4" s="1"/>
  <c r="F71" i="17"/>
  <c r="AE83" i="11"/>
  <c r="AE60" i="11"/>
  <c r="CC56" i="10" s="1"/>
  <c r="X176" i="11"/>
  <c r="W193" i="11"/>
  <c r="AB36" i="11"/>
  <c r="AB76" i="11"/>
  <c r="BZ68" i="10" s="1"/>
  <c r="C71" i="17"/>
  <c r="AA165" i="11"/>
  <c r="CB29" i="10"/>
  <c r="CB23" i="10" s="1"/>
  <c r="BD65" i="66" s="1"/>
  <c r="CB48" i="10"/>
  <c r="AD46" i="11"/>
  <c r="AD10" i="11" s="1"/>
  <c r="BD95" i="66"/>
  <c r="AD57" i="11"/>
  <c r="AE92" i="11"/>
  <c r="AD93" i="11"/>
  <c r="BD108" i="66"/>
  <c r="BD67" i="66"/>
  <c r="CB12" i="10"/>
  <c r="BD6" i="66" s="1"/>
  <c r="AF18" i="10"/>
  <c r="Y13" i="12"/>
  <c r="BY99" i="10"/>
  <c r="AL51" i="18"/>
  <c r="CB177" i="10"/>
  <c r="CB178" i="10" s="1"/>
  <c r="AD94" i="11"/>
  <c r="K92" i="17"/>
  <c r="D72" i="66"/>
  <c r="E98" i="66" s="1"/>
  <c r="J86" i="66"/>
  <c r="X86" i="66" s="1"/>
  <c r="AD175" i="11"/>
  <c r="T27" i="12"/>
  <c r="CC59" i="10"/>
  <c r="AC7" i="11"/>
  <c r="CC54" i="10"/>
  <c r="AI54" i="10" s="1"/>
  <c r="CA45" i="10"/>
  <c r="AC14" i="11"/>
  <c r="BD71" i="66"/>
  <c r="CA49" i="10"/>
  <c r="AC18" i="11"/>
  <c r="AC57" i="11"/>
  <c r="AC65" i="11" s="1"/>
  <c r="AC48" i="11"/>
  <c r="CA29" i="10"/>
  <c r="CA35" i="10" s="1"/>
  <c r="AC11" i="11"/>
  <c r="BD5" i="66"/>
  <c r="BD41" i="66" s="1"/>
  <c r="CC60" i="10"/>
  <c r="CA47" i="10"/>
  <c r="AC16" i="11"/>
  <c r="BC9" i="66"/>
  <c r="BC45" i="66" s="1"/>
  <c r="BC64" i="66"/>
  <c r="AH9" i="10"/>
  <c r="CA18" i="10"/>
  <c r="AE56" i="11"/>
  <c r="AC182" i="11"/>
  <c r="AC128" i="11"/>
  <c r="CA12" i="10"/>
  <c r="CA20" i="10" s="1"/>
  <c r="AC94" i="11"/>
  <c r="CA177" i="10"/>
  <c r="CA178" i="10" s="1"/>
  <c r="AC93" i="11"/>
  <c r="AC9" i="11"/>
  <c r="AD9" i="11" s="1"/>
  <c r="BD109" i="66"/>
  <c r="AL37" i="18"/>
  <c r="O20" i="10"/>
  <c r="AZ45" i="66"/>
  <c r="BD45" i="66"/>
  <c r="BY55" i="10"/>
  <c r="BA71" i="66" s="1"/>
  <c r="BB92" i="66"/>
  <c r="AX45" i="66"/>
  <c r="BB45" i="66"/>
  <c r="BD92" i="66"/>
  <c r="BV20" i="10"/>
  <c r="BZ20" i="10"/>
  <c r="BA5" i="66"/>
  <c r="BY19" i="10"/>
  <c r="AF29" i="10"/>
  <c r="CC74" i="10"/>
  <c r="AE121" i="11"/>
  <c r="CC11" i="10"/>
  <c r="AG54" i="10"/>
  <c r="AY45" i="66"/>
  <c r="BY177" i="10"/>
  <c r="BY178" i="10" s="1"/>
  <c r="BY12" i="10"/>
  <c r="AG12" i="10" s="1"/>
  <c r="AG20" i="10" s="1"/>
  <c r="AE91" i="11"/>
  <c r="AE174" i="11"/>
  <c r="AE8" i="11"/>
  <c r="N277" i="11"/>
  <c r="N299" i="11"/>
  <c r="N295" i="11"/>
  <c r="N294" i="11"/>
  <c r="N293" i="11"/>
  <c r="N296" i="11"/>
  <c r="N298" i="11"/>
  <c r="O263" i="11"/>
  <c r="O294" i="11" s="1"/>
  <c r="F50" i="12"/>
  <c r="F57" i="12" s="1"/>
  <c r="E6" i="16" s="1"/>
  <c r="N300" i="11"/>
  <c r="N291" i="11"/>
  <c r="F37" i="12"/>
  <c r="R277" i="11"/>
  <c r="N290" i="11"/>
  <c r="N297" i="11"/>
  <c r="AK51" i="18"/>
  <c r="BW48" i="10"/>
  <c r="AL13" i="18"/>
  <c r="AL12" i="18"/>
  <c r="M209" i="12"/>
  <c r="M43" i="12"/>
  <c r="P56" i="10" s="1"/>
  <c r="AY68" i="66"/>
  <c r="M326" i="10"/>
  <c r="N778" i="10"/>
  <c r="N792" i="10"/>
  <c r="K100" i="12"/>
  <c r="K101" i="12" s="1"/>
  <c r="K40" i="12" s="1"/>
  <c r="D51" i="63"/>
  <c r="D53" i="63" s="1"/>
  <c r="H239" i="12"/>
  <c r="E239" i="12"/>
  <c r="G87" i="12"/>
  <c r="G37" i="12"/>
  <c r="C87" i="12"/>
  <c r="W109" i="66"/>
  <c r="H362" i="24"/>
  <c r="E362" i="24"/>
  <c r="E25" i="63"/>
  <c r="E69" i="17"/>
  <c r="C36" i="12"/>
  <c r="C50" i="12"/>
  <c r="C21" i="17" s="1"/>
  <c r="E24" i="63"/>
  <c r="C20" i="17"/>
  <c r="F87" i="12"/>
  <c r="H36" i="12"/>
  <c r="F76" i="63"/>
  <c r="F78" i="63" s="1"/>
  <c r="F59" i="17"/>
  <c r="F20" i="17"/>
  <c r="I51" i="63"/>
  <c r="I53" i="63" s="1"/>
  <c r="G20" i="17"/>
  <c r="AI78" i="66"/>
  <c r="I36" i="12"/>
  <c r="BG65" i="10"/>
  <c r="BG67" i="10" s="1"/>
  <c r="BV15" i="10"/>
  <c r="AX8" i="66" s="1"/>
  <c r="C15" i="17"/>
  <c r="C59" i="17"/>
  <c r="BV48" i="10"/>
  <c r="AK12" i="18"/>
  <c r="AK49" i="18" s="1"/>
  <c r="AK13" i="18"/>
  <c r="AX65" i="66"/>
  <c r="AK10" i="18"/>
  <c r="AK44" i="18" s="1"/>
  <c r="AK37" i="18"/>
  <c r="C37" i="12"/>
  <c r="W108" i="66"/>
  <c r="BV46" i="10"/>
  <c r="AK15" i="18"/>
  <c r="AL86" i="66"/>
  <c r="AI70" i="66"/>
  <c r="AI72" i="66" s="1"/>
  <c r="AI103" i="66"/>
  <c r="C82" i="63"/>
  <c r="F179" i="12"/>
  <c r="F82" i="63"/>
  <c r="G15" i="17"/>
  <c r="C53" i="63"/>
  <c r="G55" i="63"/>
  <c r="G258" i="12" s="1"/>
  <c r="J95" i="10"/>
  <c r="K95" i="10" s="1"/>
  <c r="L95" i="10" s="1"/>
  <c r="G82" i="63"/>
  <c r="G76" i="63"/>
  <c r="G78" i="63" s="1"/>
  <c r="I327" i="10"/>
  <c r="W87" i="12"/>
  <c r="AF45" i="10"/>
  <c r="O15" i="10"/>
  <c r="P8" i="4" s="1"/>
  <c r="AP8" i="4" s="1"/>
  <c r="P15" i="10"/>
  <c r="Q8" i="4" s="1"/>
  <c r="AQ8" i="4" s="1"/>
  <c r="P191" i="10"/>
  <c r="P198" i="10"/>
  <c r="P199" i="10" s="1"/>
  <c r="AU157" i="11" s="1"/>
  <c r="O43" i="4"/>
  <c r="AO6" i="4"/>
  <c r="O42" i="4"/>
  <c r="AO5" i="4"/>
  <c r="Y129" i="11"/>
  <c r="AA175" i="11"/>
  <c r="O46" i="4"/>
  <c r="AO13" i="4"/>
  <c r="AA182" i="11"/>
  <c r="AF12" i="10"/>
  <c r="AF20" i="10" s="1"/>
  <c r="AX6" i="66"/>
  <c r="X64" i="66"/>
  <c r="X66" i="66" s="1"/>
  <c r="X103" i="66" s="1"/>
  <c r="Y575" i="10"/>
  <c r="BV61" i="10"/>
  <c r="AX78" i="66" s="1"/>
  <c r="H323" i="10"/>
  <c r="H325" i="10" s="1"/>
  <c r="R20" i="12"/>
  <c r="R85" i="12" s="1"/>
  <c r="Q78" i="12"/>
  <c r="X9" i="66"/>
  <c r="H315" i="10"/>
  <c r="I316" i="10" s="1"/>
  <c r="AX68" i="66"/>
  <c r="Y579" i="10"/>
  <c r="Y604" i="10"/>
  <c r="Y578" i="10"/>
  <c r="Q84" i="12"/>
  <c r="Y574" i="10"/>
  <c r="Y17" i="10"/>
  <c r="Y602" i="10"/>
  <c r="Y603" i="10"/>
  <c r="Y605" i="10"/>
  <c r="Y40" i="10"/>
  <c r="M58" i="66"/>
  <c r="J324" i="10"/>
  <c r="AX92" i="66"/>
  <c r="AF50" i="10"/>
  <c r="AF47" i="10"/>
  <c r="AX67" i="66"/>
  <c r="BV51" i="10"/>
  <c r="BV52" i="10" s="1"/>
  <c r="Q83" i="12"/>
  <c r="X61" i="10"/>
  <c r="W78" i="66" s="1"/>
  <c r="W111" i="66" s="1"/>
  <c r="AI93" i="66"/>
  <c r="W263" i="11"/>
  <c r="W296" i="11" s="1"/>
  <c r="G20" i="66"/>
  <c r="G261" i="10"/>
  <c r="G262" i="10" s="1"/>
  <c r="G263" i="10" s="1"/>
  <c r="AC52" i="10"/>
  <c r="L3" i="83"/>
  <c r="L12" i="83" s="1"/>
  <c r="BO63" i="10"/>
  <c r="BO69" i="10" s="1"/>
  <c r="I325" i="10"/>
  <c r="J326" i="10" s="1"/>
  <c r="P6" i="4"/>
  <c r="AN70" i="66"/>
  <c r="AN72" i="66" s="1"/>
  <c r="AN103" i="66"/>
  <c r="E46" i="18"/>
  <c r="AT126" i="11"/>
  <c r="L73" i="83"/>
  <c r="O31" i="10"/>
  <c r="P13" i="4" s="1"/>
  <c r="V80" i="12"/>
  <c r="O772" i="10"/>
  <c r="O810" i="10" s="1"/>
  <c r="O803" i="10"/>
  <c r="O807" i="10" s="1"/>
  <c r="K6" i="66"/>
  <c r="R6" i="66" s="1"/>
  <c r="P221" i="10"/>
  <c r="P222" i="10" s="1"/>
  <c r="G39" i="18"/>
  <c r="F46" i="18"/>
  <c r="H36" i="10"/>
  <c r="W564" i="10"/>
  <c r="W573" i="10" s="1"/>
  <c r="U108" i="66"/>
  <c r="F39" i="18"/>
  <c r="P25" i="12"/>
  <c r="W622" i="10"/>
  <c r="G28" i="10"/>
  <c r="G41" i="10"/>
  <c r="G781" i="10" s="1"/>
  <c r="Q85" i="12"/>
  <c r="C35" i="66"/>
  <c r="C12" i="66"/>
  <c r="D48" i="66" s="1"/>
  <c r="AU66" i="66"/>
  <c r="AU103" i="66" s="1"/>
  <c r="F52" i="18"/>
  <c r="E34" i="66"/>
  <c r="E39" i="18"/>
  <c r="AG16" i="18"/>
  <c r="F47" i="18"/>
  <c r="O18" i="66"/>
  <c r="E57" i="66"/>
  <c r="R20" i="18"/>
  <c r="R45" i="18" s="1"/>
  <c r="Y39" i="18"/>
  <c r="BF69" i="10"/>
  <c r="W70" i="66"/>
  <c r="W72" i="66" s="1"/>
  <c r="W74" i="66" s="1"/>
  <c r="E20" i="18"/>
  <c r="E45" i="18" s="1"/>
  <c r="C52" i="66"/>
  <c r="F20" i="18"/>
  <c r="F45" i="18" s="1"/>
  <c r="Y26" i="18"/>
  <c r="Y47" i="18" s="1"/>
  <c r="Y20" i="18"/>
  <c r="Y45" i="18" s="1"/>
  <c r="F37" i="66"/>
  <c r="D30" i="66"/>
  <c r="V30" i="12"/>
  <c r="V35" i="12" s="1"/>
  <c r="AA22" i="10"/>
  <c r="N37" i="10"/>
  <c r="J13" i="66"/>
  <c r="J49" i="66" s="1"/>
  <c r="N42" i="10"/>
  <c r="N782" i="10" s="1"/>
  <c r="J8" i="66"/>
  <c r="J59" i="66" s="1"/>
  <c r="L298" i="10"/>
  <c r="D35" i="66"/>
  <c r="D60" i="66"/>
  <c r="D52" i="66"/>
  <c r="G36" i="12"/>
  <c r="H59" i="17"/>
  <c r="G71" i="17"/>
  <c r="AG44" i="18"/>
  <c r="AG11" i="18"/>
  <c r="AG21" i="18" s="1"/>
  <c r="P151" i="12"/>
  <c r="F66" i="17"/>
  <c r="F156" i="12"/>
  <c r="G50" i="12"/>
  <c r="E30" i="66"/>
  <c r="AC39" i="18"/>
  <c r="F64" i="17"/>
  <c r="G59" i="17"/>
  <c r="AT66" i="66"/>
  <c r="F65" i="17"/>
  <c r="B37" i="66"/>
  <c r="AP70" i="66"/>
  <c r="AP72" i="66" s="1"/>
  <c r="AP104" i="66"/>
  <c r="AC20" i="18"/>
  <c r="AR66" i="66"/>
  <c r="AR103" i="66" s="1"/>
  <c r="S296" i="11"/>
  <c r="AC46" i="18"/>
  <c r="S293" i="11"/>
  <c r="AO94" i="66"/>
  <c r="V573" i="10"/>
  <c r="D34" i="66"/>
  <c r="D57" i="66"/>
  <c r="D49" i="66"/>
  <c r="R78" i="12"/>
  <c r="E49" i="66"/>
  <c r="K36" i="10"/>
  <c r="C30" i="66"/>
  <c r="M108" i="10"/>
  <c r="M139" i="10" s="1"/>
  <c r="S298" i="11"/>
  <c r="S295" i="11"/>
  <c r="R26" i="18"/>
  <c r="R47" i="18" s="1"/>
  <c r="U50" i="12"/>
  <c r="U87" i="12"/>
  <c r="C57" i="66"/>
  <c r="C34" i="66"/>
  <c r="O13" i="66"/>
  <c r="X63" i="10"/>
  <c r="S300" i="11"/>
  <c r="S83" i="12"/>
  <c r="H33" i="10"/>
  <c r="H39" i="10" s="1"/>
  <c r="H261" i="10"/>
  <c r="H262" i="10" s="1"/>
  <c r="H263" i="10" s="1"/>
  <c r="O54" i="4"/>
  <c r="AO54" i="4" s="1"/>
  <c r="X49" i="18"/>
  <c r="U109" i="66"/>
  <c r="K41" i="10"/>
  <c r="K781" i="10" s="1"/>
  <c r="O84" i="12"/>
  <c r="K28" i="10"/>
  <c r="AA9" i="11"/>
  <c r="L41" i="63"/>
  <c r="M148" i="12"/>
  <c r="O83" i="12"/>
  <c r="W104" i="66"/>
  <c r="G12" i="66"/>
  <c r="G48" i="66" s="1"/>
  <c r="O85" i="12"/>
  <c r="O80" i="12"/>
  <c r="H53" i="63"/>
  <c r="H82" i="63"/>
  <c r="H84" i="63" s="1"/>
  <c r="H76" i="63"/>
  <c r="H78" i="63" s="1"/>
  <c r="H55" i="63"/>
  <c r="AC32" i="18"/>
  <c r="AC52" i="18"/>
  <c r="AC47" i="18"/>
  <c r="AG85" i="66"/>
  <c r="D71" i="17"/>
  <c r="D20" i="17"/>
  <c r="D15" i="17"/>
  <c r="G21" i="4"/>
  <c r="G57" i="4" s="1"/>
  <c r="G56" i="4" s="1"/>
  <c r="D59" i="17"/>
  <c r="H27" i="17"/>
  <c r="G87" i="17"/>
  <c r="H26" i="17"/>
  <c r="AD20" i="18"/>
  <c r="AD46" i="18"/>
  <c r="AD39" i="18"/>
  <c r="L72" i="63"/>
  <c r="BW23" i="10"/>
  <c r="AF23" i="10" s="1"/>
  <c r="Y16" i="12" s="1"/>
  <c r="G69" i="17"/>
  <c r="I27" i="17"/>
  <c r="H87" i="17"/>
  <c r="I26" i="17"/>
  <c r="H249" i="12"/>
  <c r="H250" i="12"/>
  <c r="T145" i="12"/>
  <c r="D76" i="63"/>
  <c r="D78" i="63" s="1"/>
  <c r="AE11" i="18"/>
  <c r="AE38" i="18" s="1"/>
  <c r="AE44" i="18"/>
  <c r="AE16" i="18"/>
  <c r="AE26" i="18" s="1"/>
  <c r="L27" i="12"/>
  <c r="M29" i="12"/>
  <c r="O55" i="10"/>
  <c r="AH11" i="18"/>
  <c r="AH21" i="18" s="1"/>
  <c r="AH44" i="18"/>
  <c r="AH16" i="18"/>
  <c r="F27" i="17"/>
  <c r="E87" i="17"/>
  <c r="F26" i="17"/>
  <c r="E249" i="12"/>
  <c r="E250" i="12"/>
  <c r="G32" i="18"/>
  <c r="G47" i="18"/>
  <c r="G52" i="18"/>
  <c r="Q34" i="4"/>
  <c r="AQ34" i="4" s="1"/>
  <c r="E170" i="12"/>
  <c r="I87" i="17"/>
  <c r="K88" i="17"/>
  <c r="J52" i="18"/>
  <c r="J47" i="18"/>
  <c r="J32" i="18"/>
  <c r="W46" i="18"/>
  <c r="W20" i="18"/>
  <c r="W45" i="18" s="1"/>
  <c r="W26" i="18"/>
  <c r="I52" i="18"/>
  <c r="I32" i="18"/>
  <c r="I47" i="18"/>
  <c r="L45" i="4"/>
  <c r="L53" i="4"/>
  <c r="E52" i="18"/>
  <c r="E47" i="18"/>
  <c r="E32" i="18"/>
  <c r="J71" i="66"/>
  <c r="O16" i="4"/>
  <c r="AO16" i="4" s="1"/>
  <c r="G45" i="18"/>
  <c r="AZ94" i="66"/>
  <c r="S46" i="18"/>
  <c r="S26" i="18"/>
  <c r="S20" i="18"/>
  <c r="S45" i="18" s="1"/>
  <c r="AS65" i="66"/>
  <c r="AF10" i="18"/>
  <c r="AK65" i="66"/>
  <c r="X10" i="18"/>
  <c r="X11" i="18" s="1"/>
  <c r="D55" i="63"/>
  <c r="I71" i="17"/>
  <c r="I20" i="17"/>
  <c r="M21" i="4"/>
  <c r="I59" i="17"/>
  <c r="I15" i="17"/>
  <c r="D87" i="17"/>
  <c r="E27" i="17"/>
  <c r="E26" i="17"/>
  <c r="E76" i="63"/>
  <c r="E78" i="63" s="1"/>
  <c r="E53" i="63"/>
  <c r="U52" i="18"/>
  <c r="U47" i="18"/>
  <c r="U32" i="18"/>
  <c r="U48" i="18" s="1"/>
  <c r="R156" i="12"/>
  <c r="AV65" i="66"/>
  <c r="AI10" i="18"/>
  <c r="AH21" i="4"/>
  <c r="K67" i="4"/>
  <c r="K57" i="4"/>
  <c r="AD21" i="4"/>
  <c r="AK21" i="4"/>
  <c r="H21" i="17"/>
  <c r="L29" i="4"/>
  <c r="H45" i="18"/>
  <c r="H40" i="18"/>
  <c r="AM17" i="4"/>
  <c r="M55" i="4"/>
  <c r="AM55" i="4" s="1"/>
  <c r="I40" i="18"/>
  <c r="I45" i="18"/>
  <c r="M12" i="4"/>
  <c r="K2" i="80"/>
  <c r="U110" i="66"/>
  <c r="J45" i="18"/>
  <c r="J40" i="18"/>
  <c r="L47" i="4"/>
  <c r="AL21" i="4"/>
  <c r="L57" i="4"/>
  <c r="AA45" i="18"/>
  <c r="V26" i="18"/>
  <c r="V20" i="18"/>
  <c r="V45" i="18" s="1"/>
  <c r="V46" i="18"/>
  <c r="AH17" i="4"/>
  <c r="AK17" i="4"/>
  <c r="K55" i="4"/>
  <c r="AD17" i="4"/>
  <c r="D27" i="17"/>
  <c r="C87" i="17"/>
  <c r="C27" i="17"/>
  <c r="C26" i="17"/>
  <c r="D26" i="17"/>
  <c r="H21" i="4"/>
  <c r="H57" i="4" s="1"/>
  <c r="H56" i="4" s="1"/>
  <c r="E59" i="17"/>
  <c r="E71" i="17"/>
  <c r="E15" i="17"/>
  <c r="E20" i="17"/>
  <c r="J21" i="4"/>
  <c r="F87" i="17"/>
  <c r="G27" i="17"/>
  <c r="G26" i="17"/>
  <c r="D47" i="18"/>
  <c r="D32" i="18"/>
  <c r="D52" i="18"/>
  <c r="K47" i="63"/>
  <c r="T16" i="18"/>
  <c r="H47" i="18"/>
  <c r="H32" i="18"/>
  <c r="H52" i="18"/>
  <c r="AB37" i="18"/>
  <c r="L143" i="12"/>
  <c r="AA47" i="18"/>
  <c r="AA32" i="18"/>
  <c r="Z39" i="18"/>
  <c r="Z46" i="18"/>
  <c r="Z26" i="18"/>
  <c r="Z20" i="18"/>
  <c r="AF17" i="4"/>
  <c r="J55" i="4"/>
  <c r="AJ17" i="4"/>
  <c r="AC17" i="4"/>
  <c r="AB17" i="4"/>
  <c r="Q26" i="18"/>
  <c r="Q20" i="18"/>
  <c r="Q45" i="18" s="1"/>
  <c r="Q46" i="18"/>
  <c r="AA52" i="18"/>
  <c r="AW5" i="66"/>
  <c r="BU19" i="10"/>
  <c r="W176" i="11"/>
  <c r="W175" i="11"/>
  <c r="O311" i="10"/>
  <c r="L10" i="83"/>
  <c r="O53" i="4"/>
  <c r="AO53" i="4" s="1"/>
  <c r="AG11" i="10"/>
  <c r="AG19" i="10" s="1"/>
  <c r="AE390" i="10"/>
  <c r="W226" i="11"/>
  <c r="P5" i="4"/>
  <c r="D6" i="80"/>
  <c r="L72" i="83"/>
  <c r="AT124" i="11"/>
  <c r="BU381" i="10"/>
  <c r="W249" i="11"/>
  <c r="W253" i="11"/>
  <c r="W250" i="11"/>
  <c r="W246" i="11"/>
  <c r="W252" i="11"/>
  <c r="W251" i="11"/>
  <c r="W248" i="11"/>
  <c r="W247" i="11"/>
  <c r="W233" i="11"/>
  <c r="W255" i="11"/>
  <c r="N149" i="10"/>
  <c r="L35" i="82"/>
  <c r="N2" i="83"/>
  <c r="P178" i="10"/>
  <c r="P12" i="10"/>
  <c r="Q6" i="4" s="1"/>
  <c r="AQ6" i="4" s="1"/>
  <c r="M24" i="83"/>
  <c r="F55" i="63"/>
  <c r="F83" i="63"/>
  <c r="F25" i="63"/>
  <c r="F24" i="63"/>
  <c r="X155" i="12"/>
  <c r="I166" i="12"/>
  <c r="V156" i="12"/>
  <c r="G83" i="63"/>
  <c r="G25" i="63"/>
  <c r="G24" i="63"/>
  <c r="D250" i="12"/>
  <c r="D249" i="12"/>
  <c r="V145" i="12"/>
  <c r="I250" i="12"/>
  <c r="I146" i="12"/>
  <c r="I249" i="12"/>
  <c r="C249" i="12"/>
  <c r="C250" i="12"/>
  <c r="R166" i="12"/>
  <c r="G170" i="12"/>
  <c r="L85" i="66"/>
  <c r="L86" i="66"/>
  <c r="E105" i="66"/>
  <c r="E74" i="66"/>
  <c r="T156" i="12"/>
  <c r="H166" i="12"/>
  <c r="E60" i="66"/>
  <c r="F52" i="66"/>
  <c r="E35" i="66"/>
  <c r="E52" i="66"/>
  <c r="I77" i="83"/>
  <c r="I37" i="12"/>
  <c r="I50" i="12"/>
  <c r="J51" i="12" s="1"/>
  <c r="I87" i="12"/>
  <c r="AL85" i="66"/>
  <c r="D166" i="12"/>
  <c r="G105" i="66"/>
  <c r="G74" i="66"/>
  <c r="G98" i="66"/>
  <c r="F74" i="66"/>
  <c r="F98" i="66"/>
  <c r="F105" i="66"/>
  <c r="C166" i="12"/>
  <c r="L153" i="12"/>
  <c r="K64" i="63"/>
  <c r="C69" i="16"/>
  <c r="K155" i="12"/>
  <c r="F250" i="12"/>
  <c r="P145" i="12"/>
  <c r="F249" i="12"/>
  <c r="H72" i="66"/>
  <c r="I98" i="66" s="1"/>
  <c r="O70" i="66"/>
  <c r="H20" i="66"/>
  <c r="Q70" i="66"/>
  <c r="P64" i="10"/>
  <c r="L80" i="66"/>
  <c r="K63" i="10"/>
  <c r="G78" i="66"/>
  <c r="N25" i="4"/>
  <c r="X40" i="12"/>
  <c r="D36" i="12"/>
  <c r="D87" i="12"/>
  <c r="D50" i="12"/>
  <c r="D37" i="12"/>
  <c r="F362" i="24"/>
  <c r="F239" i="12"/>
  <c r="R145" i="12"/>
  <c r="G249" i="12"/>
  <c r="G250" i="12"/>
  <c r="I61" i="10"/>
  <c r="I52" i="10"/>
  <c r="C83" i="63"/>
  <c r="C25" i="63"/>
  <c r="C24" i="63"/>
  <c r="C55" i="63"/>
  <c r="C89" i="17" s="1"/>
  <c r="L19" i="63"/>
  <c r="L154" i="12"/>
  <c r="C20" i="66"/>
  <c r="C72" i="66"/>
  <c r="K38" i="63"/>
  <c r="L133" i="12"/>
  <c r="K203" i="12"/>
  <c r="G362" i="24"/>
  <c r="G239" i="12"/>
  <c r="AJ104" i="66"/>
  <c r="AJ70" i="66"/>
  <c r="AJ103" i="66"/>
  <c r="AJ93" i="66"/>
  <c r="W46" i="10"/>
  <c r="V67" i="66"/>
  <c r="P24" i="12"/>
  <c r="K297" i="11"/>
  <c r="K290" i="11"/>
  <c r="K292" i="11"/>
  <c r="K298" i="11"/>
  <c r="AK92" i="66"/>
  <c r="AO92" i="66"/>
  <c r="U14" i="12"/>
  <c r="S14" i="12"/>
  <c r="AN93" i="66"/>
  <c r="BX35" i="10"/>
  <c r="BX61" i="10"/>
  <c r="BX40" i="10"/>
  <c r="BX51" i="10"/>
  <c r="BX52" i="10" s="1"/>
  <c r="AN81" i="66"/>
  <c r="AN111" i="66"/>
  <c r="AK110" i="66"/>
  <c r="AA92" i="66"/>
  <c r="Y66" i="66"/>
  <c r="Y92" i="66"/>
  <c r="AY96" i="66"/>
  <c r="AY109" i="66"/>
  <c r="AK108" i="66"/>
  <c r="AO95" i="66"/>
  <c r="AK95" i="66"/>
  <c r="BL69" i="10"/>
  <c r="BL65" i="10"/>
  <c r="S78" i="12"/>
  <c r="S84" i="12"/>
  <c r="AD103" i="66"/>
  <c r="AD104" i="66"/>
  <c r="AH93" i="66"/>
  <c r="AD70" i="66"/>
  <c r="AD72" i="66" s="1"/>
  <c r="AH72" i="66"/>
  <c r="S291" i="11"/>
  <c r="X35" i="10"/>
  <c r="V40" i="10"/>
  <c r="V51" i="10"/>
  <c r="V52" i="10" s="1"/>
  <c r="W29" i="10"/>
  <c r="BX20" i="10"/>
  <c r="AZ6" i="66"/>
  <c r="AG110" i="66"/>
  <c r="K299" i="11"/>
  <c r="AG109" i="66"/>
  <c r="K300" i="11"/>
  <c r="AE78" i="66"/>
  <c r="BC63" i="10"/>
  <c r="X601" i="10"/>
  <c r="Y594" i="10"/>
  <c r="AA608" i="10" s="1"/>
  <c r="X599" i="10"/>
  <c r="X608" i="10"/>
  <c r="Q23" i="12"/>
  <c r="Q82" i="12"/>
  <c r="AA93" i="11"/>
  <c r="Y108" i="66"/>
  <c r="S20" i="12"/>
  <c r="V69" i="66"/>
  <c r="P26" i="12"/>
  <c r="W50" i="10"/>
  <c r="S290" i="11"/>
  <c r="S297" i="11"/>
  <c r="S292" i="11"/>
  <c r="AL70" i="66"/>
  <c r="AL72" i="66" s="1"/>
  <c r="AL104" i="66"/>
  <c r="AL103" i="66"/>
  <c r="AL93" i="66"/>
  <c r="P53" i="12"/>
  <c r="V79" i="66"/>
  <c r="AP93" i="66"/>
  <c r="BI35" i="10"/>
  <c r="BE40" i="10"/>
  <c r="BE51" i="10"/>
  <c r="BE52" i="10" s="1"/>
  <c r="BE61" i="10"/>
  <c r="AF8" i="66"/>
  <c r="BD17" i="10"/>
  <c r="BX23" i="10"/>
  <c r="BH63" i="10"/>
  <c r="AJ78" i="66"/>
  <c r="AP81" i="66"/>
  <c r="AP111" i="66"/>
  <c r="V9" i="66"/>
  <c r="W574" i="10"/>
  <c r="W603" i="10"/>
  <c r="W625" i="10"/>
  <c r="W496" i="10"/>
  <c r="W604" i="10"/>
  <c r="P13" i="12"/>
  <c r="V64" i="66"/>
  <c r="W602" i="10"/>
  <c r="W579" i="10"/>
  <c r="W623" i="10"/>
  <c r="W605" i="10"/>
  <c r="W578" i="10"/>
  <c r="W575" i="10"/>
  <c r="W18" i="10"/>
  <c r="Y10" i="10"/>
  <c r="Y18" i="10"/>
  <c r="W48" i="10"/>
  <c r="AA604" i="10"/>
  <c r="AA579" i="10"/>
  <c r="T13" i="12"/>
  <c r="AA603" i="10"/>
  <c r="AA602" i="10"/>
  <c r="AC10" i="10"/>
  <c r="AA574" i="10"/>
  <c r="AC18" i="10"/>
  <c r="AA578" i="10"/>
  <c r="AA575" i="10"/>
  <c r="Z64" i="66"/>
  <c r="Z109" i="66" s="1"/>
  <c r="Z9" i="66"/>
  <c r="AA605" i="10"/>
  <c r="AA18" i="10"/>
  <c r="AA17" i="10"/>
  <c r="AA10" i="10"/>
  <c r="S23" i="12"/>
  <c r="S81" i="12" s="1"/>
  <c r="S82" i="12"/>
  <c r="BI51" i="10"/>
  <c r="BI52" i="10" s="1"/>
  <c r="BI40" i="10"/>
  <c r="BI61" i="10"/>
  <c r="BD63" i="10"/>
  <c r="AF78" i="66"/>
  <c r="AY92" i="66"/>
  <c r="X69" i="66"/>
  <c r="R26" i="12"/>
  <c r="R84" i="12" s="1"/>
  <c r="Y50" i="10"/>
  <c r="AA601" i="10"/>
  <c r="AC608" i="10"/>
  <c r="BT63" i="10"/>
  <c r="AV78" i="66"/>
  <c r="AB582" i="10"/>
  <c r="Z573" i="10"/>
  <c r="Z571" i="10"/>
  <c r="Z580" i="10" s="1"/>
  <c r="Z582" i="10"/>
  <c r="Z79" i="66"/>
  <c r="T53" i="12"/>
  <c r="Z606" i="10"/>
  <c r="AA599" i="10"/>
  <c r="AA606" i="10" s="1"/>
  <c r="Y51" i="10"/>
  <c r="Y52" i="10" s="1"/>
  <c r="AZ95" i="66"/>
  <c r="AZ108" i="66"/>
  <c r="AA50" i="10"/>
  <c r="O285" i="11"/>
  <c r="AF40" i="10"/>
  <c r="AF35" i="10"/>
  <c r="Y564" i="10"/>
  <c r="R25" i="12"/>
  <c r="R83" i="12" s="1"/>
  <c r="X68" i="66"/>
  <c r="Y48" i="10"/>
  <c r="AF104" i="66"/>
  <c r="AF70" i="66"/>
  <c r="AF72" i="66" s="1"/>
  <c r="AF103" i="66"/>
  <c r="AY94" i="66"/>
  <c r="AY110" i="66"/>
  <c r="W94" i="66"/>
  <c r="W110" i="66"/>
  <c r="BW35" i="10"/>
  <c r="BW40" i="10"/>
  <c r="BW51" i="10"/>
  <c r="BW52" i="10" s="1"/>
  <c r="BW61" i="10"/>
  <c r="BW20" i="10"/>
  <c r="AY6" i="66"/>
  <c r="AM103" i="66"/>
  <c r="AM70" i="66"/>
  <c r="AM93" i="66"/>
  <c r="AM104" i="66"/>
  <c r="Z67" i="66"/>
  <c r="AA46" i="10"/>
  <c r="T24" i="12"/>
  <c r="BV62" i="10"/>
  <c r="AK28" i="18" s="1"/>
  <c r="AE103" i="66"/>
  <c r="AE104" i="66"/>
  <c r="AE70" i="66"/>
  <c r="AE72" i="66" s="1"/>
  <c r="O82" i="12"/>
  <c r="O23" i="12"/>
  <c r="BN69" i="10"/>
  <c r="BN65" i="10"/>
  <c r="K293" i="11"/>
  <c r="BM23" i="10"/>
  <c r="BM40" i="10"/>
  <c r="BM61" i="10"/>
  <c r="BM35" i="10"/>
  <c r="BM51" i="10"/>
  <c r="BM52" i="10" s="1"/>
  <c r="BR69" i="10"/>
  <c r="BR65" i="10"/>
  <c r="AK96" i="66"/>
  <c r="AK109" i="66"/>
  <c r="AG108" i="66"/>
  <c r="AZ109" i="66"/>
  <c r="AZ96" i="66"/>
  <c r="AX96" i="66"/>
  <c r="AX109" i="66"/>
  <c r="BW62" i="10"/>
  <c r="Z51" i="10"/>
  <c r="Z52" i="10" s="1"/>
  <c r="Z40" i="10"/>
  <c r="AB35" i="10"/>
  <c r="AA29" i="10"/>
  <c r="Z35" i="10"/>
  <c r="K296" i="11"/>
  <c r="BS63" i="10"/>
  <c r="AU78" i="66"/>
  <c r="X630" i="10"/>
  <c r="X573" i="10"/>
  <c r="X571" i="10"/>
  <c r="X580" i="10" s="1"/>
  <c r="X582" i="10"/>
  <c r="R24" i="12"/>
  <c r="X67" i="66"/>
  <c r="Y46" i="10"/>
  <c r="AA48" i="10"/>
  <c r="Z68" i="66"/>
  <c r="AA564" i="10"/>
  <c r="T25" i="12"/>
  <c r="K294" i="11"/>
  <c r="BK63" i="10"/>
  <c r="AM78" i="66"/>
  <c r="W594" i="10"/>
  <c r="W601" i="10" s="1"/>
  <c r="V601" i="10"/>
  <c r="V599" i="10"/>
  <c r="AG66" i="66"/>
  <c r="AA94" i="66"/>
  <c r="Y110" i="66"/>
  <c r="Y94" i="66"/>
  <c r="BB63" i="10"/>
  <c r="AD78" i="66"/>
  <c r="V61" i="10"/>
  <c r="AZ92" i="66"/>
  <c r="T18" i="12"/>
  <c r="Z61" i="10"/>
  <c r="AL78" i="66"/>
  <c r="BJ63" i="10"/>
  <c r="AT111" i="66"/>
  <c r="AT81" i="66"/>
  <c r="O78" i="12"/>
  <c r="Q14" i="12"/>
  <c r="U66" i="66"/>
  <c r="W92" i="66"/>
  <c r="AK94" i="66"/>
  <c r="S294" i="11"/>
  <c r="K295" i="11"/>
  <c r="AZ110" i="66"/>
  <c r="P90" i="10"/>
  <c r="P84" i="10" s="1"/>
  <c r="O183" i="10"/>
  <c r="O229" i="10"/>
  <c r="O235" i="10"/>
  <c r="O237" i="10" s="1"/>
  <c r="L41" i="10"/>
  <c r="L781" i="10" s="1"/>
  <c r="H12" i="66"/>
  <c r="L36" i="10"/>
  <c r="L28" i="10"/>
  <c r="AQ66" i="66"/>
  <c r="O802" i="10"/>
  <c r="O806" i="10" s="1"/>
  <c r="O771" i="10"/>
  <c r="O273" i="10"/>
  <c r="O381" i="10"/>
  <c r="O343" i="10"/>
  <c r="O19" i="10"/>
  <c r="K5" i="66"/>
  <c r="K26" i="66" s="1"/>
  <c r="N93" i="10"/>
  <c r="J41" i="66"/>
  <c r="K304" i="10"/>
  <c r="K305" i="10" s="1"/>
  <c r="K292" i="10"/>
  <c r="K308" i="10" s="1"/>
  <c r="N349" i="10"/>
  <c r="N328" i="10"/>
  <c r="L110" i="10"/>
  <c r="L148" i="10" s="1"/>
  <c r="I44" i="10"/>
  <c r="E17" i="66"/>
  <c r="J39" i="10"/>
  <c r="J151" i="10"/>
  <c r="J145" i="10"/>
  <c r="K151" i="10"/>
  <c r="K145" i="10"/>
  <c r="J152" i="10"/>
  <c r="H36" i="66"/>
  <c r="H51" i="66"/>
  <c r="P206" i="10"/>
  <c r="O98" i="10"/>
  <c r="N92" i="10"/>
  <c r="N86" i="10" s="1"/>
  <c r="N390" i="10"/>
  <c r="N325" i="10"/>
  <c r="N326" i="10" s="1"/>
  <c r="AR81" i="66"/>
  <c r="AR111" i="66"/>
  <c r="AB65" i="10"/>
  <c r="AQ81" i="66"/>
  <c r="AQ111" i="66"/>
  <c r="AB105" i="66"/>
  <c r="N464" i="10"/>
  <c r="J12" i="66"/>
  <c r="N41" i="10"/>
  <c r="N781" i="10" s="1"/>
  <c r="BP69" i="10"/>
  <c r="BP65" i="10"/>
  <c r="K108" i="10"/>
  <c r="K139" i="10" s="1"/>
  <c r="L112" i="10"/>
  <c r="L150" i="10" s="1"/>
  <c r="G44" i="10"/>
  <c r="C17" i="66"/>
  <c r="O111" i="10"/>
  <c r="O91" i="10"/>
  <c r="O85" i="10" s="1"/>
  <c r="O103" i="10"/>
  <c r="AC22" i="10"/>
  <c r="AB8" i="66"/>
  <c r="AC17" i="10"/>
  <c r="M298" i="10"/>
  <c r="N4" i="83"/>
  <c r="P4" i="83" s="1"/>
  <c r="S5" i="83" s="1"/>
  <c r="W5" i="83" s="1"/>
  <c r="X5" i="83" s="1"/>
  <c r="P25" i="10"/>
  <c r="P182" i="10"/>
  <c r="P235" i="10" s="1"/>
  <c r="P236" i="10" s="1"/>
  <c r="J139" i="10"/>
  <c r="J146" i="10"/>
  <c r="BQ63" i="10"/>
  <c r="AS78" i="66"/>
  <c r="AB111" i="66"/>
  <c r="AB77" i="66"/>
  <c r="I36" i="10"/>
  <c r="I41" i="10"/>
  <c r="I781" i="10" s="1"/>
  <c r="E12" i="66"/>
  <c r="I28" i="10"/>
  <c r="J36" i="10"/>
  <c r="L109" i="10"/>
  <c r="BF67" i="10"/>
  <c r="I276" i="10"/>
  <c r="J276" i="10"/>
  <c r="M43" i="66"/>
  <c r="N327" i="10"/>
  <c r="N344" i="10"/>
  <c r="O347" i="10"/>
  <c r="O348" i="10"/>
  <c r="I278" i="10"/>
  <c r="J280" i="10"/>
  <c r="O93" i="10"/>
  <c r="P76" i="10"/>
  <c r="P78" i="10" s="1"/>
  <c r="G36" i="66"/>
  <c r="G51" i="66"/>
  <c r="O24" i="10"/>
  <c r="O81" i="10"/>
  <c r="P463" i="10"/>
  <c r="P151" i="10"/>
  <c r="P80" i="10"/>
  <c r="P87" i="10" s="1"/>
  <c r="P310" i="10"/>
  <c r="P99" i="10"/>
  <c r="P11" i="10"/>
  <c r="I303" i="10"/>
  <c r="J291" i="10"/>
  <c r="P393" i="10"/>
  <c r="P456" i="10"/>
  <c r="P340" i="10"/>
  <c r="P346" i="10" s="1"/>
  <c r="D56" i="66"/>
  <c r="D33" i="66"/>
  <c r="AH106" i="66"/>
  <c r="AH84" i="66"/>
  <c r="AH88" i="66"/>
  <c r="AH83" i="66"/>
  <c r="AH89" i="66"/>
  <c r="N305" i="10"/>
  <c r="N298" i="10" s="1"/>
  <c r="N275" i="10"/>
  <c r="N274" i="10"/>
  <c r="AA111" i="66"/>
  <c r="AA77" i="66"/>
  <c r="AG5" i="66"/>
  <c r="BE17" i="10"/>
  <c r="BI19" i="10"/>
  <c r="N760" i="10"/>
  <c r="M764" i="10"/>
  <c r="O341" i="10"/>
  <c r="O317" i="10"/>
  <c r="O318" i="10" s="1"/>
  <c r="E87" i="12"/>
  <c r="E50" i="12"/>
  <c r="E37" i="12"/>
  <c r="E36" i="12"/>
  <c r="H88" i="12"/>
  <c r="H57" i="12"/>
  <c r="H89" i="12"/>
  <c r="M195" i="12"/>
  <c r="F36" i="12"/>
  <c r="M164" i="12"/>
  <c r="C57" i="12"/>
  <c r="W57" i="12"/>
  <c r="W88" i="12"/>
  <c r="W89" i="12"/>
  <c r="BD66" i="66" l="1"/>
  <c r="BD103" i="66" s="1"/>
  <c r="F88" i="12"/>
  <c r="E78" i="66"/>
  <c r="AD179" i="11"/>
  <c r="N402" i="10"/>
  <c r="AA226" i="11"/>
  <c r="V193" i="11"/>
  <c r="V194" i="11" s="1"/>
  <c r="Z202" i="11" s="1"/>
  <c r="AE175" i="11"/>
  <c r="CC12" i="10"/>
  <c r="CC20" i="10" s="1"/>
  <c r="AE122" i="11"/>
  <c r="AD65" i="11"/>
  <c r="AD66" i="11" s="1"/>
  <c r="CB62" i="10" s="1"/>
  <c r="BD79" i="66" s="1"/>
  <c r="BX62" i="10"/>
  <c r="AM28" i="18" s="1"/>
  <c r="CC99" i="10"/>
  <c r="AH771" i="10"/>
  <c r="O809" i="10"/>
  <c r="AI11" i="10"/>
  <c r="AI19" i="10" s="1"/>
  <c r="AB77" i="11"/>
  <c r="AZ65" i="66"/>
  <c r="AZ66" i="66" s="1"/>
  <c r="AM10" i="18"/>
  <c r="AQ10" i="18" s="1"/>
  <c r="AP50" i="18"/>
  <c r="AQ50" i="18"/>
  <c r="AQ49" i="18"/>
  <c r="M143" i="12"/>
  <c r="F51" i="12"/>
  <c r="F89" i="12"/>
  <c r="F255" i="12" s="1"/>
  <c r="F257" i="12" s="1"/>
  <c r="E126" i="66" s="1"/>
  <c r="Z197" i="11"/>
  <c r="Z198" i="11" s="1"/>
  <c r="I63" i="10"/>
  <c r="F21" i="17"/>
  <c r="Y40" i="12"/>
  <c r="J10" i="12"/>
  <c r="G6" i="16"/>
  <c r="R170" i="12"/>
  <c r="N789" i="10"/>
  <c r="CB35" i="10"/>
  <c r="BX15" i="10"/>
  <c r="AZ8" i="66" s="1"/>
  <c r="AZ44" i="66" s="1"/>
  <c r="BD70" i="66"/>
  <c r="BD72" i="66" s="1"/>
  <c r="BD105" i="66" s="1"/>
  <c r="CB40" i="10"/>
  <c r="CB51" i="10"/>
  <c r="CB52" i="10" s="1"/>
  <c r="CB61" i="10"/>
  <c r="AA183" i="11"/>
  <c r="O277" i="11"/>
  <c r="CC177" i="10"/>
  <c r="AE128" i="11"/>
  <c r="AE93" i="11"/>
  <c r="AE182" i="11"/>
  <c r="AE9" i="11"/>
  <c r="CA23" i="10"/>
  <c r="AH23" i="10" s="1"/>
  <c r="BD110" i="66"/>
  <c r="BD94" i="66"/>
  <c r="BD104" i="66"/>
  <c r="CB20" i="10"/>
  <c r="Y14" i="12"/>
  <c r="AF48" i="10"/>
  <c r="Y25" i="12"/>
  <c r="Y83" i="12" s="1"/>
  <c r="Y84" i="12"/>
  <c r="Y18" i="12"/>
  <c r="Y20" i="12" s="1"/>
  <c r="Y78" i="12"/>
  <c r="AA150" i="11"/>
  <c r="AA151" i="11" s="1"/>
  <c r="AA171" i="11"/>
  <c r="AA172" i="11" s="1"/>
  <c r="AF46" i="10"/>
  <c r="Y24" i="12"/>
  <c r="D74" i="66"/>
  <c r="D105" i="66"/>
  <c r="T84" i="12"/>
  <c r="AD7" i="11"/>
  <c r="AI56" i="10"/>
  <c r="AI59" i="10"/>
  <c r="AC66" i="11"/>
  <c r="AC67" i="11" s="1"/>
  <c r="BC67" i="66"/>
  <c r="CA46" i="10"/>
  <c r="AH45" i="10"/>
  <c r="AH46" i="10" s="1"/>
  <c r="AC179" i="11"/>
  <c r="AC183" i="11"/>
  <c r="AD11" i="11"/>
  <c r="AC12" i="11"/>
  <c r="AC13" i="11"/>
  <c r="AC21" i="11"/>
  <c r="AC29" i="11" s="1"/>
  <c r="AH18" i="10"/>
  <c r="AD16" i="11"/>
  <c r="AD17" i="11" s="1"/>
  <c r="AC17" i="11"/>
  <c r="CA61" i="10"/>
  <c r="CA40" i="10"/>
  <c r="CA51" i="10"/>
  <c r="CA52" i="10" s="1"/>
  <c r="AH29" i="10"/>
  <c r="AD18" i="11"/>
  <c r="AD19" i="11" s="1"/>
  <c r="AC19" i="11"/>
  <c r="AC125" i="11"/>
  <c r="AC129" i="11"/>
  <c r="AD180" i="11"/>
  <c r="CB15" i="10"/>
  <c r="BD8" i="66" s="1"/>
  <c r="S277" i="11"/>
  <c r="BC92" i="66"/>
  <c r="AI60" i="10"/>
  <c r="BC6" i="66"/>
  <c r="BC42" i="66" s="1"/>
  <c r="AH12" i="10"/>
  <c r="AH20" i="10" s="1"/>
  <c r="CC55" i="10"/>
  <c r="BC68" i="66"/>
  <c r="BC108" i="66" s="1"/>
  <c r="CA48" i="10"/>
  <c r="AH47" i="10"/>
  <c r="AH48" i="10" s="1"/>
  <c r="CA50" i="10"/>
  <c r="BC69" i="66"/>
  <c r="AH49" i="10"/>
  <c r="AH50" i="10" s="1"/>
  <c r="AD14" i="11"/>
  <c r="AD15" i="11" s="1"/>
  <c r="AC15" i="11"/>
  <c r="O299" i="11"/>
  <c r="O296" i="11"/>
  <c r="BB94" i="66"/>
  <c r="AZ42" i="66"/>
  <c r="BD42" i="66"/>
  <c r="AX42" i="66"/>
  <c r="BB42" i="66"/>
  <c r="BA6" i="66"/>
  <c r="BA42" i="66" s="1"/>
  <c r="BY20" i="10"/>
  <c r="CC19" i="10"/>
  <c r="BE5" i="66"/>
  <c r="BE41" i="66" s="1"/>
  <c r="AG55" i="10"/>
  <c r="AX44" i="66"/>
  <c r="BB44" i="66"/>
  <c r="AY95" i="66"/>
  <c r="AX95" i="66"/>
  <c r="BB95" i="66"/>
  <c r="AY42" i="66"/>
  <c r="BA41" i="66"/>
  <c r="AY108" i="66"/>
  <c r="O295" i="11"/>
  <c r="O292" i="11"/>
  <c r="O290" i="11"/>
  <c r="O298" i="11"/>
  <c r="O293" i="11"/>
  <c r="O297" i="11"/>
  <c r="O291" i="11"/>
  <c r="O300" i="11"/>
  <c r="Q27" i="4"/>
  <c r="AQ27" i="4" s="1"/>
  <c r="I82" i="63"/>
  <c r="I84" i="63" s="1"/>
  <c r="AG20" i="18"/>
  <c r="AG45" i="18" s="1"/>
  <c r="AL49" i="18"/>
  <c r="AL50" i="18"/>
  <c r="AY79" i="66"/>
  <c r="AL28" i="18"/>
  <c r="AY65" i="66"/>
  <c r="AL10" i="18"/>
  <c r="AH26" i="18"/>
  <c r="AH38" i="18"/>
  <c r="E82" i="63"/>
  <c r="E84" i="63" s="1"/>
  <c r="D82" i="63"/>
  <c r="D84" i="63" s="1"/>
  <c r="E55" i="63"/>
  <c r="E258" i="12" s="1"/>
  <c r="O778" i="10"/>
  <c r="O816" i="10" s="1"/>
  <c r="O792" i="10"/>
  <c r="AI111" i="66"/>
  <c r="BW15" i="10"/>
  <c r="AY8" i="66" s="1"/>
  <c r="I324" i="10"/>
  <c r="C88" i="12"/>
  <c r="B78" i="66"/>
  <c r="B77" i="66" s="1"/>
  <c r="I55" i="63"/>
  <c r="I258" i="12" s="1"/>
  <c r="D51" i="12"/>
  <c r="F63" i="10"/>
  <c r="C89" i="12"/>
  <c r="K89" i="10"/>
  <c r="K83" i="10" s="1"/>
  <c r="K147" i="10" s="1"/>
  <c r="F29" i="4"/>
  <c r="F58" i="4" s="1"/>
  <c r="C51" i="12"/>
  <c r="I76" i="63"/>
  <c r="I78" i="63" s="1"/>
  <c r="X65" i="10"/>
  <c r="X67" i="10" s="1"/>
  <c r="AI81" i="66"/>
  <c r="G89" i="17"/>
  <c r="AX66" i="66"/>
  <c r="W295" i="11"/>
  <c r="W293" i="11"/>
  <c r="X108" i="66"/>
  <c r="AM86" i="66"/>
  <c r="X109" i="66"/>
  <c r="AK16" i="18"/>
  <c r="AK39" i="18" s="1"/>
  <c r="AK50" i="18"/>
  <c r="C84" i="63"/>
  <c r="AK11" i="18"/>
  <c r="F84" i="63"/>
  <c r="G57" i="12"/>
  <c r="Y126" i="11"/>
  <c r="G89" i="12"/>
  <c r="G32" i="17" s="1"/>
  <c r="R80" i="12"/>
  <c r="G51" i="12"/>
  <c r="H51" i="12"/>
  <c r="G88" i="12"/>
  <c r="G84" i="63"/>
  <c r="F78" i="66"/>
  <c r="F111" i="66" s="1"/>
  <c r="K29" i="4"/>
  <c r="AH29" i="4" s="1"/>
  <c r="G21" i="17"/>
  <c r="J63" i="10"/>
  <c r="Y63" i="10" s="1"/>
  <c r="AA179" i="11"/>
  <c r="I326" i="10"/>
  <c r="P42" i="4"/>
  <c r="AP5" i="4"/>
  <c r="P43" i="4"/>
  <c r="AP6" i="4"/>
  <c r="AA125" i="11"/>
  <c r="P54" i="4"/>
  <c r="AP54" i="4" s="1"/>
  <c r="AP13" i="4"/>
  <c r="AG39" i="18"/>
  <c r="W291" i="11"/>
  <c r="W294" i="11"/>
  <c r="W277" i="11"/>
  <c r="W290" i="11"/>
  <c r="AF51" i="10"/>
  <c r="AF61" i="10" s="1"/>
  <c r="AX108" i="66"/>
  <c r="W292" i="11"/>
  <c r="W297" i="11"/>
  <c r="W299" i="11"/>
  <c r="Q5" i="4"/>
  <c r="AQ5" i="4" s="1"/>
  <c r="Y61" i="10"/>
  <c r="X78" i="66" s="1"/>
  <c r="X111" i="66" s="1"/>
  <c r="K13" i="66"/>
  <c r="S13" i="66" s="1"/>
  <c r="O236" i="10"/>
  <c r="K16" i="66"/>
  <c r="AX110" i="66"/>
  <c r="AX94" i="66"/>
  <c r="J44" i="66"/>
  <c r="AN97" i="66"/>
  <c r="BO65" i="10"/>
  <c r="BO67" i="10" s="1"/>
  <c r="O37" i="10"/>
  <c r="Q43" i="4"/>
  <c r="O42" i="10"/>
  <c r="O782" i="10" s="1"/>
  <c r="P46" i="4"/>
  <c r="S6" i="66"/>
  <c r="K42" i="66"/>
  <c r="K8" i="66"/>
  <c r="AV157" i="11"/>
  <c r="E40" i="18"/>
  <c r="W571" i="10"/>
  <c r="W580" i="10" s="1"/>
  <c r="Y52" i="18"/>
  <c r="G40" i="18"/>
  <c r="W105" i="66"/>
  <c r="C33" i="66"/>
  <c r="AR70" i="66"/>
  <c r="AR72" i="66" s="1"/>
  <c r="P83" i="12"/>
  <c r="Y40" i="18"/>
  <c r="C56" i="66"/>
  <c r="Y32" i="18"/>
  <c r="Y48" i="18" s="1"/>
  <c r="I39" i="10"/>
  <c r="F40" i="18"/>
  <c r="AU104" i="66"/>
  <c r="AG38" i="18"/>
  <c r="AG26" i="18"/>
  <c r="AU70" i="66"/>
  <c r="AU72" i="66" s="1"/>
  <c r="AG46" i="18"/>
  <c r="J57" i="66"/>
  <c r="V86" i="12"/>
  <c r="K298" i="10"/>
  <c r="L299" i="10" s="1"/>
  <c r="G33" i="66"/>
  <c r="G37" i="66" s="1"/>
  <c r="G56" i="66"/>
  <c r="M299" i="10"/>
  <c r="M306" i="10" s="1"/>
  <c r="M307" i="10" s="1"/>
  <c r="L108" i="10"/>
  <c r="L139" i="10" s="1"/>
  <c r="AR104" i="66"/>
  <c r="AK66" i="66"/>
  <c r="AK70" i="66" s="1"/>
  <c r="AC45" i="18"/>
  <c r="X16" i="18"/>
  <c r="X20" i="18" s="1"/>
  <c r="X45" i="18" s="1"/>
  <c r="AC40" i="18"/>
  <c r="X104" i="66"/>
  <c r="AT103" i="66"/>
  <c r="AT70" i="66"/>
  <c r="AT104" i="66"/>
  <c r="AR93" i="66"/>
  <c r="F166" i="12"/>
  <c r="P156" i="12"/>
  <c r="AT93" i="66"/>
  <c r="AS66" i="66"/>
  <c r="AS70" i="66" s="1"/>
  <c r="T83" i="12"/>
  <c r="Z108" i="66"/>
  <c r="R52" i="18"/>
  <c r="R32" i="18"/>
  <c r="R48" i="18" s="1"/>
  <c r="AA40" i="18"/>
  <c r="H28" i="10"/>
  <c r="H44" i="10"/>
  <c r="D17" i="66"/>
  <c r="U88" i="12"/>
  <c r="U57" i="12"/>
  <c r="U90" i="12" s="1"/>
  <c r="U89" i="12"/>
  <c r="O149" i="10"/>
  <c r="M41" i="63"/>
  <c r="AH97" i="66"/>
  <c r="M47" i="63"/>
  <c r="W52" i="18"/>
  <c r="W32" i="18"/>
  <c r="W48" i="18" s="1"/>
  <c r="W47" i="18"/>
  <c r="M27" i="12"/>
  <c r="P55" i="10"/>
  <c r="I89" i="17"/>
  <c r="C31" i="17"/>
  <c r="C60" i="17"/>
  <c r="C37" i="17"/>
  <c r="F35" i="4"/>
  <c r="F59" i="4" s="1"/>
  <c r="C77" i="17"/>
  <c r="C36" i="17"/>
  <c r="C22" i="17"/>
  <c r="C25" i="17" s="1"/>
  <c r="C28" i="17" s="1"/>
  <c r="C33" i="17"/>
  <c r="X44" i="18"/>
  <c r="V32" i="18"/>
  <c r="V48" i="18" s="1"/>
  <c r="V47" i="18"/>
  <c r="V52" i="18"/>
  <c r="AV66" i="66"/>
  <c r="G48" i="18"/>
  <c r="G41" i="18"/>
  <c r="P16" i="4"/>
  <c r="AP16" i="4" s="1"/>
  <c r="K71" i="66"/>
  <c r="AE46" i="18"/>
  <c r="AE39" i="18"/>
  <c r="AE20" i="18"/>
  <c r="F32" i="17"/>
  <c r="AN25" i="4"/>
  <c r="N24" i="4"/>
  <c r="AN24" i="4" s="1"/>
  <c r="F36" i="17"/>
  <c r="F33" i="17"/>
  <c r="F22" i="17"/>
  <c r="F25" i="17" s="1"/>
  <c r="F28" i="17" s="1"/>
  <c r="F37" i="17"/>
  <c r="F31" i="17"/>
  <c r="F77" i="17"/>
  <c r="M72" i="63"/>
  <c r="H32" i="17"/>
  <c r="E21" i="17"/>
  <c r="J29" i="4"/>
  <c r="H29" i="4"/>
  <c r="P20" i="12"/>
  <c r="P85" i="12" s="1"/>
  <c r="AO65" i="66"/>
  <c r="AB10" i="18"/>
  <c r="AI97" i="66"/>
  <c r="AN77" i="66"/>
  <c r="G29" i="4"/>
  <c r="D21" i="17"/>
  <c r="L88" i="17"/>
  <c r="AF55" i="4"/>
  <c r="AJ55" i="4"/>
  <c r="AB55" i="4"/>
  <c r="AC55" i="4"/>
  <c r="AA48" i="18"/>
  <c r="AC21" i="4"/>
  <c r="AB21" i="4"/>
  <c r="J57" i="4"/>
  <c r="AF21" i="4"/>
  <c r="AJ21" i="4"/>
  <c r="J67" i="4"/>
  <c r="AK55" i="4"/>
  <c r="AD55" i="4"/>
  <c r="AH55" i="4"/>
  <c r="AH46" i="18"/>
  <c r="AH39" i="18"/>
  <c r="AH20" i="18"/>
  <c r="AD52" i="18"/>
  <c r="AD47" i="18"/>
  <c r="AD32" i="18"/>
  <c r="H258" i="12"/>
  <c r="H89" i="17"/>
  <c r="AI11" i="18"/>
  <c r="AI21" i="18" s="1"/>
  <c r="AI16" i="18"/>
  <c r="AI44" i="18"/>
  <c r="C69" i="17"/>
  <c r="H48" i="18"/>
  <c r="H41" i="18"/>
  <c r="AK57" i="4"/>
  <c r="AH57" i="4"/>
  <c r="AH56" i="4" s="1"/>
  <c r="AD57" i="4"/>
  <c r="K56" i="4"/>
  <c r="J48" i="18"/>
  <c r="J41" i="18"/>
  <c r="K58" i="4"/>
  <c r="D69" i="17"/>
  <c r="H69" i="17"/>
  <c r="E41" i="18"/>
  <c r="D48" i="18"/>
  <c r="M45" i="4"/>
  <c r="M53" i="4"/>
  <c r="C32" i="17"/>
  <c r="H22" i="17"/>
  <c r="H25" i="17" s="1"/>
  <c r="H28" i="17" s="1"/>
  <c r="H31" i="17"/>
  <c r="H33" i="17"/>
  <c r="L35" i="4"/>
  <c r="H37" i="17"/>
  <c r="H36" i="17"/>
  <c r="T56" i="82"/>
  <c r="H77" i="17"/>
  <c r="W77" i="66"/>
  <c r="F258" i="12"/>
  <c r="F89" i="17"/>
  <c r="Q47" i="18"/>
  <c r="Q32" i="18"/>
  <c r="Q48" i="18" s="1"/>
  <c r="Q52" i="18"/>
  <c r="Z45" i="18"/>
  <c r="Z40" i="18"/>
  <c r="L47" i="63"/>
  <c r="AL57" i="4"/>
  <c r="L56" i="4"/>
  <c r="AL56" i="4" s="1"/>
  <c r="M47" i="4"/>
  <c r="M57" i="4"/>
  <c r="AM21" i="4"/>
  <c r="AF11" i="18"/>
  <c r="AF16" i="18"/>
  <c r="AF26" i="18" s="1"/>
  <c r="AF44" i="18"/>
  <c r="S52" i="18"/>
  <c r="S47" i="18"/>
  <c r="S32" i="18"/>
  <c r="S48" i="18" s="1"/>
  <c r="E48" i="18"/>
  <c r="F41" i="18"/>
  <c r="I48" i="18"/>
  <c r="I41" i="18"/>
  <c r="AD40" i="18"/>
  <c r="AD45" i="18"/>
  <c r="AL29" i="4"/>
  <c r="L32" i="4"/>
  <c r="AL32" i="4" s="1"/>
  <c r="L58" i="4"/>
  <c r="AL58" i="4" s="1"/>
  <c r="I21" i="17"/>
  <c r="M29" i="4"/>
  <c r="I69" i="17"/>
  <c r="Z32" i="18"/>
  <c r="Z52" i="18"/>
  <c r="Z47" i="18"/>
  <c r="T46" i="18"/>
  <c r="T26" i="18"/>
  <c r="T20" i="18"/>
  <c r="T45" i="18" s="1"/>
  <c r="D258" i="12"/>
  <c r="D89" i="17"/>
  <c r="AC48" i="18"/>
  <c r="V6" i="83"/>
  <c r="V7" i="83" s="1"/>
  <c r="P311" i="10"/>
  <c r="M10" i="83"/>
  <c r="W224" i="11"/>
  <c r="W273" i="11"/>
  <c r="W256" i="11"/>
  <c r="W243" i="11"/>
  <c r="AE402" i="10"/>
  <c r="BU390" i="10"/>
  <c r="BU383" i="10" s="1"/>
  <c r="AU124" i="11"/>
  <c r="M72" i="83"/>
  <c r="N24" i="83"/>
  <c r="O24" i="83" s="1"/>
  <c r="S24" i="83" s="1"/>
  <c r="P31" i="10"/>
  <c r="P37" i="10" s="1"/>
  <c r="M3" i="83"/>
  <c r="M12" i="83" s="1"/>
  <c r="M73" i="83"/>
  <c r="P772" i="10"/>
  <c r="P810" i="10" s="1"/>
  <c r="P20" i="10"/>
  <c r="AU126" i="11"/>
  <c r="L6" i="66"/>
  <c r="F65" i="10"/>
  <c r="L38" i="63"/>
  <c r="L203" i="12"/>
  <c r="M133" i="12"/>
  <c r="AM85" i="66"/>
  <c r="V166" i="12"/>
  <c r="V170" i="12" s="1"/>
  <c r="I170" i="12"/>
  <c r="M154" i="12"/>
  <c r="G63" i="10"/>
  <c r="C78" i="66"/>
  <c r="D88" i="12"/>
  <c r="D57" i="12"/>
  <c r="D89" i="12"/>
  <c r="O20" i="66"/>
  <c r="Q20" i="66"/>
  <c r="D170" i="12"/>
  <c r="H170" i="12"/>
  <c r="T166" i="12"/>
  <c r="T170" i="12" s="1"/>
  <c r="K65" i="10"/>
  <c r="M153" i="12"/>
  <c r="L64" i="63"/>
  <c r="L155" i="12"/>
  <c r="H78" i="66"/>
  <c r="L63" i="10"/>
  <c r="AC63" i="10" s="1"/>
  <c r="I88" i="12"/>
  <c r="I57" i="12"/>
  <c r="I51" i="12"/>
  <c r="I89" i="12"/>
  <c r="I93" i="83"/>
  <c r="I91" i="83"/>
  <c r="I65" i="10"/>
  <c r="M80" i="66"/>
  <c r="M19" i="63"/>
  <c r="J17" i="63"/>
  <c r="W58" i="11"/>
  <c r="BU53" i="10" s="1"/>
  <c r="G111" i="66"/>
  <c r="G81" i="66"/>
  <c r="G77" i="66"/>
  <c r="H105" i="66"/>
  <c r="H98" i="66"/>
  <c r="O72" i="66"/>
  <c r="Q72" i="66"/>
  <c r="H74" i="66"/>
  <c r="C170" i="12"/>
  <c r="M85" i="66"/>
  <c r="M86" i="66"/>
  <c r="H255" i="12"/>
  <c r="H257" i="12" s="1"/>
  <c r="H230" i="12" s="1"/>
  <c r="H63" i="10"/>
  <c r="D78" i="66"/>
  <c r="P84" i="12"/>
  <c r="D98" i="66"/>
  <c r="C98" i="66"/>
  <c r="C74" i="66"/>
  <c r="C105" i="66"/>
  <c r="E111" i="66"/>
  <c r="E81" i="66"/>
  <c r="E77" i="66"/>
  <c r="L100" i="12"/>
  <c r="L101" i="12" s="1"/>
  <c r="L40" i="12" s="1"/>
  <c r="V63" i="10"/>
  <c r="W63" i="10" s="1"/>
  <c r="BB69" i="10"/>
  <c r="BB65" i="10"/>
  <c r="X94" i="66"/>
  <c r="X110" i="66"/>
  <c r="AE81" i="66"/>
  <c r="AE77" i="66"/>
  <c r="AE111" i="66"/>
  <c r="AL77" i="66"/>
  <c r="AL81" i="66"/>
  <c r="AL111" i="66"/>
  <c r="R23" i="12"/>
  <c r="R82" i="12"/>
  <c r="BM63" i="10"/>
  <c r="AO78" i="66"/>
  <c r="O81" i="12"/>
  <c r="O30" i="12"/>
  <c r="BW63" i="10"/>
  <c r="BW65" i="10" s="1"/>
  <c r="AY78" i="66"/>
  <c r="AF77" i="66"/>
  <c r="AF81" i="66"/>
  <c r="AF111" i="66"/>
  <c r="V14" i="12"/>
  <c r="T20" i="12"/>
  <c r="T14" i="12"/>
  <c r="AP83" i="66"/>
  <c r="AP106" i="66"/>
  <c r="AL74" i="66"/>
  <c r="AL105" i="66"/>
  <c r="AL98" i="66"/>
  <c r="AL97" i="66"/>
  <c r="P23" i="12"/>
  <c r="P82" i="12"/>
  <c r="U104" i="66"/>
  <c r="U103" i="66"/>
  <c r="U70" i="66"/>
  <c r="U72" i="66" s="1"/>
  <c r="W97" i="66"/>
  <c r="W93" i="66"/>
  <c r="V606" i="10"/>
  <c r="W599" i="10"/>
  <c r="W606" i="10" s="1"/>
  <c r="AA571" i="10"/>
  <c r="AA580" i="10" s="1"/>
  <c r="AA582" i="10"/>
  <c r="AC582" i="10"/>
  <c r="AA573" i="10"/>
  <c r="AC35" i="10"/>
  <c r="AA35" i="10"/>
  <c r="AA51" i="10"/>
  <c r="AA52" i="10" s="1"/>
  <c r="AA40" i="10"/>
  <c r="Z94" i="66"/>
  <c r="Z110" i="66"/>
  <c r="AB94" i="66"/>
  <c r="X70" i="66"/>
  <c r="X72" i="66" s="1"/>
  <c r="Y78" i="66"/>
  <c r="AA61" i="10"/>
  <c r="Z78" i="66" s="1"/>
  <c r="Z111" i="66" s="1"/>
  <c r="AU111" i="66"/>
  <c r="AU81" i="66"/>
  <c r="AV81" i="66"/>
  <c r="AV111" i="66"/>
  <c r="BD69" i="10"/>
  <c r="BD65" i="10"/>
  <c r="BD67" i="10" s="1"/>
  <c r="V109" i="66"/>
  <c r="Q81" i="12"/>
  <c r="Q30" i="12"/>
  <c r="X606" i="10"/>
  <c r="Y599" i="10"/>
  <c r="Y606" i="10" s="1"/>
  <c r="AD74" i="66"/>
  <c r="AD105" i="66"/>
  <c r="BL67" i="10"/>
  <c r="AN83" i="66"/>
  <c r="AN106" i="66"/>
  <c r="V110" i="66"/>
  <c r="AJ97" i="66"/>
  <c r="AJ72" i="66"/>
  <c r="AI105" i="66"/>
  <c r="AI74" i="66"/>
  <c r="AI98" i="66"/>
  <c r="AI77" i="66"/>
  <c r="W51" i="10"/>
  <c r="W52" i="10" s="1"/>
  <c r="W40" i="10"/>
  <c r="Y35" i="10"/>
  <c r="Y104" i="66"/>
  <c r="Y103" i="66"/>
  <c r="Y70" i="66"/>
  <c r="Y72" i="66" s="1"/>
  <c r="AA97" i="66"/>
  <c r="AA93" i="66"/>
  <c r="Y93" i="66"/>
  <c r="Y97" i="66"/>
  <c r="T78" i="12"/>
  <c r="U78" i="66"/>
  <c r="W61" i="10"/>
  <c r="V78" i="66" s="1"/>
  <c r="AG103" i="66"/>
  <c r="AG70" i="66"/>
  <c r="AG72" i="66" s="1"/>
  <c r="AG104" i="66"/>
  <c r="AM81" i="66"/>
  <c r="AM111" i="66"/>
  <c r="BS69" i="10"/>
  <c r="BS65" i="10"/>
  <c r="BS67" i="10" s="1"/>
  <c r="AP98" i="66"/>
  <c r="AP105" i="66"/>
  <c r="AP74" i="66"/>
  <c r="AP77" i="66"/>
  <c r="BR66" i="10"/>
  <c r="BR67" i="10"/>
  <c r="AE74" i="66"/>
  <c r="AE105" i="66"/>
  <c r="AM97" i="66"/>
  <c r="AM72" i="66"/>
  <c r="Y571" i="10"/>
  <c r="Y580" i="10" s="1"/>
  <c r="Y582" i="10"/>
  <c r="Y573" i="10"/>
  <c r="BT69" i="10"/>
  <c r="BT65" i="10"/>
  <c r="BT67" i="10" s="1"/>
  <c r="V66" i="66"/>
  <c r="X97" i="66" s="1"/>
  <c r="X92" i="66"/>
  <c r="V108" i="66"/>
  <c r="BE63" i="10"/>
  <c r="AG78" i="66"/>
  <c r="Y608" i="10"/>
  <c r="Y601" i="10"/>
  <c r="BJ65" i="10"/>
  <c r="BN66" i="10" s="1"/>
  <c r="BJ69" i="10"/>
  <c r="Z63" i="10"/>
  <c r="AA63" i="10" s="1"/>
  <c r="X638" i="10"/>
  <c r="X636" i="10"/>
  <c r="X644" i="10" s="1"/>
  <c r="AF62" i="10"/>
  <c r="Y53" i="12" s="1"/>
  <c r="AX79" i="66"/>
  <c r="AX111" i="66" s="1"/>
  <c r="AT106" i="66"/>
  <c r="AT83" i="66"/>
  <c r="AD111" i="66"/>
  <c r="AD81" i="66"/>
  <c r="AD77" i="66"/>
  <c r="BK69" i="10"/>
  <c r="BK65" i="10"/>
  <c r="AP97" i="66"/>
  <c r="T82" i="12"/>
  <c r="T23" i="12"/>
  <c r="T81" i="12" s="1"/>
  <c r="AF74" i="66"/>
  <c r="AF105" i="66"/>
  <c r="P78" i="12"/>
  <c r="R14" i="12"/>
  <c r="AJ111" i="66"/>
  <c r="AJ81" i="66"/>
  <c r="S30" i="12"/>
  <c r="S85" i="12"/>
  <c r="S80" i="12"/>
  <c r="BN67" i="10"/>
  <c r="AK78" i="66"/>
  <c r="BI63" i="10"/>
  <c r="AB92" i="66"/>
  <c r="Z92" i="66"/>
  <c r="Z66" i="66"/>
  <c r="BH65" i="10"/>
  <c r="BH69" i="10"/>
  <c r="BC65" i="10"/>
  <c r="BC69" i="10"/>
  <c r="AH105" i="66"/>
  <c r="AH74" i="66"/>
  <c r="AH77" i="66"/>
  <c r="AH98" i="66"/>
  <c r="BV63" i="10"/>
  <c r="BV65" i="10" s="1"/>
  <c r="BZ66" i="10" s="1"/>
  <c r="AZ78" i="66"/>
  <c r="AN74" i="66"/>
  <c r="AN105" i="66"/>
  <c r="N143" i="10"/>
  <c r="K88" i="10"/>
  <c r="J304" i="10"/>
  <c r="J305" i="10" s="1"/>
  <c r="I291" i="10"/>
  <c r="J292" i="10"/>
  <c r="J308" i="10" s="1"/>
  <c r="O349" i="10"/>
  <c r="O328" i="10"/>
  <c r="AQ106" i="66"/>
  <c r="AQ83" i="66"/>
  <c r="O325" i="10"/>
  <c r="O326" i="10" s="1"/>
  <c r="O390" i="10"/>
  <c r="O402" i="10" s="1"/>
  <c r="AQ104" i="66"/>
  <c r="AQ103" i="66"/>
  <c r="AQ70" i="66"/>
  <c r="AU93" i="66"/>
  <c r="AQ93" i="66"/>
  <c r="P347" i="10"/>
  <c r="P348" i="10"/>
  <c r="M95" i="10"/>
  <c r="L89" i="10"/>
  <c r="P771" i="10"/>
  <c r="P381" i="10"/>
  <c r="P273" i="10"/>
  <c r="P343" i="10"/>
  <c r="P19" i="10"/>
  <c r="L5" i="66"/>
  <c r="E33" i="66"/>
  <c r="E48" i="66"/>
  <c r="E56" i="66"/>
  <c r="F48" i="66"/>
  <c r="N475" i="10"/>
  <c r="E36" i="66"/>
  <c r="F51" i="66"/>
  <c r="S5" i="66"/>
  <c r="R5" i="66"/>
  <c r="K41" i="66"/>
  <c r="O305" i="10"/>
  <c r="O298" i="10" s="1"/>
  <c r="O299" i="10" s="1"/>
  <c r="O306" i="10" s="1"/>
  <c r="O275" i="10"/>
  <c r="O274" i="10"/>
  <c r="I279" i="10"/>
  <c r="I283" i="10"/>
  <c r="I284" i="10" s="1"/>
  <c r="N276" i="10"/>
  <c r="N299" i="10"/>
  <c r="N306" i="10" s="1"/>
  <c r="N307" i="10" s="1"/>
  <c r="P317" i="10"/>
  <c r="P318" i="10" s="1"/>
  <c r="P341" i="10"/>
  <c r="BP67" i="10"/>
  <c r="BP66" i="10"/>
  <c r="AR83" i="66"/>
  <c r="AR106" i="66"/>
  <c r="O30" i="10"/>
  <c r="BQ69" i="10"/>
  <c r="BQ65" i="10"/>
  <c r="O344" i="10"/>
  <c r="O327" i="10"/>
  <c r="N764" i="10"/>
  <c r="O760" i="10"/>
  <c r="P111" i="10"/>
  <c r="P91" i="10"/>
  <c r="P85" i="10" s="1"/>
  <c r="P103" i="10"/>
  <c r="P98" i="10"/>
  <c r="O92" i="10"/>
  <c r="O86" i="10" s="1"/>
  <c r="V50" i="12"/>
  <c r="V87" i="12"/>
  <c r="P183" i="10"/>
  <c r="P229" i="10"/>
  <c r="P237" i="10"/>
  <c r="J56" i="66"/>
  <c r="AB67" i="10"/>
  <c r="AA81" i="66"/>
  <c r="AD66" i="10"/>
  <c r="P93" i="10"/>
  <c r="P24" i="10"/>
  <c r="P30" i="10" s="1"/>
  <c r="P81" i="10"/>
  <c r="K280" i="10"/>
  <c r="J278" i="10"/>
  <c r="N140" i="10"/>
  <c r="AS81" i="66"/>
  <c r="AS111" i="66"/>
  <c r="C36" i="66"/>
  <c r="N141" i="10"/>
  <c r="H56" i="66"/>
  <c r="H33" i="66"/>
  <c r="H37" i="66" s="1"/>
  <c r="H48" i="66"/>
  <c r="Q12" i="66"/>
  <c r="O12" i="66"/>
  <c r="C183" i="12"/>
  <c r="C90" i="12"/>
  <c r="C248" i="12" s="1"/>
  <c r="C252" i="12" s="1"/>
  <c r="C184" i="12"/>
  <c r="C194" i="12"/>
  <c r="C61" i="12"/>
  <c r="C60" i="12"/>
  <c r="C58" i="12"/>
  <c r="E57" i="12"/>
  <c r="F60" i="17" s="1"/>
  <c r="E51" i="12"/>
  <c r="E88" i="12"/>
  <c r="E89" i="12"/>
  <c r="H194" i="12"/>
  <c r="H183" i="12"/>
  <c r="H61" i="12"/>
  <c r="H60" i="12"/>
  <c r="H90" i="12"/>
  <c r="H248" i="12" s="1"/>
  <c r="H252" i="12" s="1"/>
  <c r="H184" i="12"/>
  <c r="F183" i="12"/>
  <c r="F194" i="12"/>
  <c r="F90" i="12"/>
  <c r="F248" i="12" s="1"/>
  <c r="F252" i="12" s="1"/>
  <c r="F61" i="12"/>
  <c r="F60" i="12"/>
  <c r="F184" i="12"/>
  <c r="W184" i="12"/>
  <c r="W183" i="12"/>
  <c r="W90" i="12"/>
  <c r="BX63" i="10" l="1"/>
  <c r="BX65" i="10" s="1"/>
  <c r="BE6" i="66"/>
  <c r="AZ79" i="66"/>
  <c r="AP28" i="18"/>
  <c r="AA243" i="11"/>
  <c r="AA224" i="11"/>
  <c r="AA241" i="11" s="1"/>
  <c r="AK38" i="18"/>
  <c r="AK21" i="18"/>
  <c r="AD67" i="11"/>
  <c r="AD68" i="11" s="1"/>
  <c r="AE183" i="11"/>
  <c r="AI12" i="10"/>
  <c r="AI20" i="10" s="1"/>
  <c r="AE125" i="11"/>
  <c r="CB63" i="10"/>
  <c r="CB65" i="10" s="1"/>
  <c r="CB67" i="10" s="1"/>
  <c r="BW66" i="10"/>
  <c r="AI771" i="10"/>
  <c r="P809" i="10"/>
  <c r="CC178" i="10"/>
  <c r="AQ28" i="18"/>
  <c r="AP10" i="18"/>
  <c r="AM11" i="18"/>
  <c r="AP11" i="18" s="1"/>
  <c r="AM44" i="18"/>
  <c r="AP44" i="18" s="1"/>
  <c r="AM16" i="18"/>
  <c r="AM39" i="18" s="1"/>
  <c r="AI26" i="18"/>
  <c r="AI38" i="18"/>
  <c r="E89" i="17"/>
  <c r="G255" i="12"/>
  <c r="G257" i="12" s="1"/>
  <c r="G230" i="12" s="1"/>
  <c r="G22" i="17"/>
  <c r="G25" i="17" s="1"/>
  <c r="G28" i="17" s="1"/>
  <c r="F6" i="16"/>
  <c r="BD78" i="66"/>
  <c r="BD77" i="66" s="1"/>
  <c r="G90" i="12"/>
  <c r="G248" i="12" s="1"/>
  <c r="G252" i="12" s="1"/>
  <c r="F125" i="66" s="1"/>
  <c r="J58" i="12"/>
  <c r="H6" i="16"/>
  <c r="BD44" i="66"/>
  <c r="L26" i="66"/>
  <c r="O789" i="10"/>
  <c r="AH778" i="10"/>
  <c r="BC65" i="66"/>
  <c r="BC66" i="66" s="1"/>
  <c r="BC103" i="66" s="1"/>
  <c r="BY15" i="10"/>
  <c r="BA8" i="66" s="1"/>
  <c r="BA44" i="66" s="1"/>
  <c r="BD74" i="66"/>
  <c r="BE42" i="66"/>
  <c r="AE129" i="11"/>
  <c r="AE179" i="11"/>
  <c r="Y82" i="12"/>
  <c r="Y23" i="12"/>
  <c r="Y81" i="12" s="1"/>
  <c r="AA126" i="11"/>
  <c r="AA147" i="11"/>
  <c r="AA148" i="11" s="1"/>
  <c r="AA168" i="11"/>
  <c r="Y85" i="12"/>
  <c r="Y80" i="12"/>
  <c r="AL44" i="18"/>
  <c r="AC126" i="11"/>
  <c r="AC180" i="11"/>
  <c r="CA15" i="10"/>
  <c r="BC8" i="66" s="1"/>
  <c r="BC44" i="66" s="1"/>
  <c r="AC70" i="11"/>
  <c r="AC68" i="11"/>
  <c r="BC95" i="66"/>
  <c r="BC78" i="66"/>
  <c r="CA62" i="10"/>
  <c r="AC30" i="11"/>
  <c r="AD30" i="11" s="1"/>
  <c r="BC110" i="66"/>
  <c r="BC94" i="66"/>
  <c r="BC109" i="66"/>
  <c r="BC96" i="66"/>
  <c r="BE71" i="66"/>
  <c r="AI55" i="10"/>
  <c r="AH51" i="10"/>
  <c r="AH40" i="10"/>
  <c r="AH35" i="10"/>
  <c r="AD13" i="11"/>
  <c r="AD12" i="11"/>
  <c r="AD21" i="11"/>
  <c r="AD29" i="11" s="1"/>
  <c r="AX103" i="66"/>
  <c r="BB93" i="66"/>
  <c r="AY44" i="66"/>
  <c r="AZ104" i="66"/>
  <c r="BD93" i="66"/>
  <c r="AY66" i="66"/>
  <c r="AY103" i="66" s="1"/>
  <c r="AG40" i="18"/>
  <c r="H58" i="12"/>
  <c r="G61" i="12"/>
  <c r="H60" i="17"/>
  <c r="G194" i="12"/>
  <c r="G37" i="17"/>
  <c r="G184" i="12"/>
  <c r="B111" i="66"/>
  <c r="G33" i="17"/>
  <c r="AL11" i="18"/>
  <c r="AL21" i="18" s="1"/>
  <c r="AL16" i="18"/>
  <c r="AI88" i="66"/>
  <c r="AT11" i="18"/>
  <c r="AT16" i="18"/>
  <c r="AG47" i="18"/>
  <c r="AT26" i="18"/>
  <c r="G58" i="12"/>
  <c r="G183" i="12"/>
  <c r="B81" i="66"/>
  <c r="B88" i="66" s="1"/>
  <c r="J65" i="10"/>
  <c r="J4" i="10" s="1"/>
  <c r="G77" i="17"/>
  <c r="G60" i="17"/>
  <c r="G36" i="17"/>
  <c r="G31" i="17"/>
  <c r="G60" i="12"/>
  <c r="K37" i="4" s="1"/>
  <c r="K35" i="4"/>
  <c r="AD35" i="4" s="1"/>
  <c r="AK26" i="18"/>
  <c r="AK52" i="18" s="1"/>
  <c r="F32" i="4"/>
  <c r="AI84" i="66"/>
  <c r="AI83" i="66"/>
  <c r="AI106" i="66"/>
  <c r="AI89" i="66"/>
  <c r="P778" i="10"/>
  <c r="P816" i="10" s="1"/>
  <c r="P792" i="10"/>
  <c r="M89" i="10"/>
  <c r="M88" i="10" s="1"/>
  <c r="N95" i="10"/>
  <c r="AX70" i="66"/>
  <c r="AX104" i="66"/>
  <c r="W81" i="66"/>
  <c r="W106" i="66" s="1"/>
  <c r="AX93" i="66"/>
  <c r="AA83" i="11"/>
  <c r="AN86" i="66"/>
  <c r="AK20" i="18"/>
  <c r="AK46" i="18"/>
  <c r="AD29" i="4"/>
  <c r="K32" i="4"/>
  <c r="AH32" i="4" s="1"/>
  <c r="AK29" i="4"/>
  <c r="AA180" i="11"/>
  <c r="F77" i="66"/>
  <c r="F81" i="66"/>
  <c r="F88" i="66" s="1"/>
  <c r="Q42" i="4"/>
  <c r="AA129" i="11"/>
  <c r="K49" i="66"/>
  <c r="W112" i="11"/>
  <c r="W111" i="11"/>
  <c r="X77" i="66"/>
  <c r="K57" i="66"/>
  <c r="R13" i="66"/>
  <c r="AF52" i="10"/>
  <c r="L16" i="66"/>
  <c r="K59" i="66"/>
  <c r="W104" i="11"/>
  <c r="BO66" i="10"/>
  <c r="S8" i="66"/>
  <c r="R8" i="66"/>
  <c r="AC41" i="18"/>
  <c r="K44" i="66"/>
  <c r="Y41" i="18"/>
  <c r="C37" i="66"/>
  <c r="AU74" i="66"/>
  <c r="AR97" i="66"/>
  <c r="AK103" i="66"/>
  <c r="AZ103" i="66"/>
  <c r="AG32" i="18"/>
  <c r="AZ70" i="66"/>
  <c r="X26" i="18"/>
  <c r="X52" i="18" s="1"/>
  <c r="AU105" i="66"/>
  <c r="AU77" i="66"/>
  <c r="X46" i="18"/>
  <c r="AG52" i="18"/>
  <c r="AA41" i="18"/>
  <c r="AK104" i="66"/>
  <c r="AK93" i="66"/>
  <c r="AS103" i="66"/>
  <c r="AS104" i="66"/>
  <c r="P42" i="10"/>
  <c r="P782" i="10" s="1"/>
  <c r="F230" i="12"/>
  <c r="AT97" i="66"/>
  <c r="AT72" i="66"/>
  <c r="P166" i="12"/>
  <c r="P170" i="12" s="1"/>
  <c r="F69" i="17"/>
  <c r="F170" i="12"/>
  <c r="AZ93" i="66"/>
  <c r="L13" i="66"/>
  <c r="L57" i="66" s="1"/>
  <c r="D36" i="66"/>
  <c r="D37" i="66" s="1"/>
  <c r="E51" i="66"/>
  <c r="P80" i="12"/>
  <c r="D51" i="66"/>
  <c r="N47" i="63"/>
  <c r="M203" i="12"/>
  <c r="R13" i="4"/>
  <c r="Q13" i="4"/>
  <c r="AQ13" i="4" s="1"/>
  <c r="R12" i="4"/>
  <c r="Q12" i="4"/>
  <c r="AQ12" i="4" s="1"/>
  <c r="N41" i="63"/>
  <c r="I32" i="17"/>
  <c r="C61" i="17"/>
  <c r="F37" i="4"/>
  <c r="C7" i="17"/>
  <c r="AD48" i="18"/>
  <c r="AD41" i="18"/>
  <c r="AY111" i="66"/>
  <c r="F58" i="12"/>
  <c r="E60" i="17"/>
  <c r="E37" i="17"/>
  <c r="H35" i="4"/>
  <c r="H59" i="4" s="1"/>
  <c r="E36" i="17"/>
  <c r="E33" i="17"/>
  <c r="E22" i="17"/>
  <c r="E25" i="17" s="1"/>
  <c r="E28" i="17" s="1"/>
  <c r="E31" i="17"/>
  <c r="J35" i="4"/>
  <c r="E77" i="17"/>
  <c r="G126" i="66"/>
  <c r="I31" i="17"/>
  <c r="I60" i="17"/>
  <c r="I37" i="17"/>
  <c r="M35" i="4"/>
  <c r="I33" i="17"/>
  <c r="I22" i="17"/>
  <c r="I25" i="17" s="1"/>
  <c r="I28" i="17" s="1"/>
  <c r="I36" i="17"/>
  <c r="I77" i="17"/>
  <c r="U56" i="82"/>
  <c r="M100" i="12"/>
  <c r="M101" i="12" s="1"/>
  <c r="M40" i="12" s="1"/>
  <c r="Z48" i="18"/>
  <c r="Z41" i="18"/>
  <c r="AF46" i="18"/>
  <c r="AF20" i="18"/>
  <c r="L59" i="4"/>
  <c r="AL59" i="4" s="1"/>
  <c r="AL35" i="4"/>
  <c r="AD56" i="4"/>
  <c r="AK56" i="4"/>
  <c r="Q16" i="4"/>
  <c r="AQ16" i="4" s="1"/>
  <c r="L71" i="66"/>
  <c r="L37" i="4"/>
  <c r="H7" i="17"/>
  <c r="H8" i="17" s="1"/>
  <c r="AO66" i="66"/>
  <c r="AS93" i="66" s="1"/>
  <c r="BT66" i="10"/>
  <c r="F7" i="17"/>
  <c r="F8" i="17" s="1"/>
  <c r="AE53" i="10"/>
  <c r="X38" i="12" s="1"/>
  <c r="D32" i="17"/>
  <c r="AI20" i="18"/>
  <c r="AI39" i="18"/>
  <c r="AI46" i="18"/>
  <c r="AC57" i="4"/>
  <c r="J56" i="4"/>
  <c r="AB57" i="4"/>
  <c r="AF57" i="4"/>
  <c r="AF56" i="4" s="1"/>
  <c r="AJ57" i="4"/>
  <c r="G58" i="4"/>
  <c r="G32" i="4"/>
  <c r="H32" i="4"/>
  <c r="H58" i="4"/>
  <c r="AE45" i="18"/>
  <c r="AE40" i="18"/>
  <c r="AV93" i="66"/>
  <c r="AV104" i="66"/>
  <c r="AV70" i="66"/>
  <c r="AV103" i="66"/>
  <c r="AM29" i="4"/>
  <c r="M58" i="4"/>
  <c r="AM58" i="4" s="1"/>
  <c r="M32" i="4"/>
  <c r="AM32" i="4" s="1"/>
  <c r="AM57" i="4"/>
  <c r="M56" i="4"/>
  <c r="AM56" i="4" s="1"/>
  <c r="AH32" i="18"/>
  <c r="AH47" i="18"/>
  <c r="AH52" i="18"/>
  <c r="AN98" i="66"/>
  <c r="E32" i="17"/>
  <c r="AF63" i="10"/>
  <c r="AF65" i="10" s="1"/>
  <c r="AF67" i="10" s="1"/>
  <c r="AJ77" i="66"/>
  <c r="AM77" i="66"/>
  <c r="AW76" i="66"/>
  <c r="AJ24" i="18"/>
  <c r="AR24" i="18" s="1"/>
  <c r="AS24" i="18" s="1"/>
  <c r="D60" i="17"/>
  <c r="D37" i="17"/>
  <c r="G35" i="4"/>
  <c r="G59" i="4" s="1"/>
  <c r="D36" i="17"/>
  <c r="D33" i="17"/>
  <c r="D22" i="17"/>
  <c r="D25" i="17" s="1"/>
  <c r="D28" i="17" s="1"/>
  <c r="D31" i="17"/>
  <c r="D77" i="17"/>
  <c r="T52" i="18"/>
  <c r="T32" i="18"/>
  <c r="T48" i="18" s="1"/>
  <c r="T47" i="18"/>
  <c r="AD58" i="4"/>
  <c r="AK58" i="4"/>
  <c r="AH58" i="4"/>
  <c r="AH40" i="18"/>
  <c r="AH45" i="18"/>
  <c r="AB11" i="18"/>
  <c r="AB38" i="18" s="1"/>
  <c r="AB16" i="18"/>
  <c r="AB44" i="18"/>
  <c r="AC29" i="4"/>
  <c r="J32" i="4"/>
  <c r="AJ29" i="4"/>
  <c r="AF29" i="4"/>
  <c r="J58" i="4"/>
  <c r="AB29" i="4"/>
  <c r="AE52" i="18"/>
  <c r="AE47" i="18"/>
  <c r="AE32" i="18"/>
  <c r="AV124" i="11"/>
  <c r="N72" i="83"/>
  <c r="N10" i="83"/>
  <c r="O10" i="83" s="1"/>
  <c r="P12" i="4"/>
  <c r="AP12" i="4" s="1"/>
  <c r="L6" i="80"/>
  <c r="W300" i="11"/>
  <c r="W287" i="11"/>
  <c r="W271" i="11"/>
  <c r="W254" i="11"/>
  <c r="W241" i="11"/>
  <c r="P149" i="10"/>
  <c r="L42" i="66"/>
  <c r="L8" i="66"/>
  <c r="N73" i="83"/>
  <c r="N3" i="83"/>
  <c r="AV126" i="11"/>
  <c r="M6" i="66"/>
  <c r="C111" i="66"/>
  <c r="C81" i="66"/>
  <c r="C77" i="66"/>
  <c r="F4" i="10"/>
  <c r="F67" i="10"/>
  <c r="F69" i="10"/>
  <c r="AT99" i="66"/>
  <c r="N19" i="63"/>
  <c r="D255" i="12"/>
  <c r="D257" i="12" s="1"/>
  <c r="I4" i="10"/>
  <c r="I67" i="10"/>
  <c r="I69" i="10"/>
  <c r="F5" i="12"/>
  <c r="E7" i="16"/>
  <c r="I68" i="10"/>
  <c r="I5" i="10" s="1"/>
  <c r="E255" i="12"/>
  <c r="E257" i="12" s="1"/>
  <c r="E230" i="12" s="1"/>
  <c r="H33" i="16"/>
  <c r="H34" i="16" s="1"/>
  <c r="H38" i="16" s="1"/>
  <c r="C5" i="12"/>
  <c r="C7" i="12" s="1"/>
  <c r="F68" i="10"/>
  <c r="F5" i="10" s="1"/>
  <c r="E106" i="66"/>
  <c r="E88" i="66"/>
  <c r="E84" i="66"/>
  <c r="E89" i="66"/>
  <c r="E82" i="66"/>
  <c r="G65" i="10"/>
  <c r="D61" i="12"/>
  <c r="D60" i="12"/>
  <c r="D90" i="12"/>
  <c r="D248" i="12" s="1"/>
  <c r="D252" i="12" s="1"/>
  <c r="D184" i="12"/>
  <c r="D194" i="12"/>
  <c r="D183" i="12"/>
  <c r="D58" i="12"/>
  <c r="AN85" i="66"/>
  <c r="N72" i="63"/>
  <c r="B89" i="66"/>
  <c r="B84" i="66"/>
  <c r="I255" i="12"/>
  <c r="I257" i="12" s="1"/>
  <c r="H5" i="12"/>
  <c r="K68" i="10"/>
  <c r="K5" i="10" s="1"/>
  <c r="G7" i="16"/>
  <c r="O74" i="66"/>
  <c r="Q74" i="66"/>
  <c r="G88" i="66"/>
  <c r="G89" i="66"/>
  <c r="G83" i="66"/>
  <c r="G106" i="66"/>
  <c r="H81" i="66"/>
  <c r="I99" i="66" s="1"/>
  <c r="O78" i="66"/>
  <c r="H111" i="66"/>
  <c r="Q78" i="66"/>
  <c r="H77" i="66"/>
  <c r="K4" i="10"/>
  <c r="K67" i="10"/>
  <c r="M38" i="63"/>
  <c r="H65" i="10"/>
  <c r="D111" i="66"/>
  <c r="D81" i="66"/>
  <c r="E99" i="66" s="1"/>
  <c r="D77" i="66"/>
  <c r="L65" i="10"/>
  <c r="I61" i="12"/>
  <c r="I10" i="12"/>
  <c r="I60" i="12"/>
  <c r="I184" i="12"/>
  <c r="I183" i="12"/>
  <c r="I58" i="12"/>
  <c r="I90" i="12"/>
  <c r="I248" i="12" s="1"/>
  <c r="I252" i="12" s="1"/>
  <c r="I194" i="12"/>
  <c r="M64" i="63"/>
  <c r="M155" i="12"/>
  <c r="AJ106" i="66"/>
  <c r="AJ89" i="66"/>
  <c r="AJ88" i="66"/>
  <c r="AJ83" i="66"/>
  <c r="AJ84" i="66"/>
  <c r="BV68" i="10"/>
  <c r="Q35" i="12"/>
  <c r="Q86" i="12"/>
  <c r="AO81" i="66"/>
  <c r="AO111" i="66"/>
  <c r="BX66" i="10"/>
  <c r="BX67" i="10"/>
  <c r="AD88" i="66"/>
  <c r="AD83" i="66"/>
  <c r="AD106" i="66"/>
  <c r="AD89" i="66"/>
  <c r="AD84" i="66"/>
  <c r="AG105" i="66"/>
  <c r="AG74" i="66"/>
  <c r="P81" i="12"/>
  <c r="P30" i="12"/>
  <c r="BM65" i="10"/>
  <c r="BQ66" i="10" s="1"/>
  <c r="BM69" i="10"/>
  <c r="BB67" i="10"/>
  <c r="BF66" i="10"/>
  <c r="V65" i="10"/>
  <c r="BC67" i="10"/>
  <c r="BG66" i="10"/>
  <c r="AK72" i="66"/>
  <c r="AK97" i="66"/>
  <c r="AG77" i="66"/>
  <c r="AG111" i="66"/>
  <c r="AG81" i="66"/>
  <c r="Y105" i="66"/>
  <c r="Y74" i="66"/>
  <c r="AA98" i="66"/>
  <c r="Y98" i="66"/>
  <c r="X105" i="66"/>
  <c r="Z70" i="66"/>
  <c r="Z72" i="66" s="1"/>
  <c r="Z77" i="66" s="1"/>
  <c r="AB93" i="66"/>
  <c r="Z93" i="66"/>
  <c r="AB97" i="66"/>
  <c r="Z103" i="66"/>
  <c r="Z104" i="66"/>
  <c r="Z97" i="66"/>
  <c r="AZ81" i="66"/>
  <c r="S86" i="12"/>
  <c r="S35" i="12"/>
  <c r="AZ111" i="66"/>
  <c r="AY81" i="66"/>
  <c r="AM89" i="66"/>
  <c r="AM83" i="66"/>
  <c r="AM106" i="66"/>
  <c r="AM88" i="66"/>
  <c r="AU106" i="66"/>
  <c r="AU83" i="66"/>
  <c r="AU99" i="66" s="1"/>
  <c r="BE69" i="10"/>
  <c r="BE65" i="10"/>
  <c r="BE67" i="10" s="1"/>
  <c r="AE89" i="66"/>
  <c r="AE84" i="66"/>
  <c r="AE83" i="66"/>
  <c r="AE88" i="66"/>
  <c r="AE106" i="66"/>
  <c r="X74" i="66"/>
  <c r="BV67" i="10"/>
  <c r="BV66" i="10"/>
  <c r="BH66" i="10"/>
  <c r="BH67" i="10"/>
  <c r="BI65" i="10"/>
  <c r="BI69" i="10"/>
  <c r="BJ67" i="10"/>
  <c r="BJ66" i="10"/>
  <c r="Z65" i="10"/>
  <c r="BX69" i="10"/>
  <c r="V103" i="66"/>
  <c r="V104" i="66"/>
  <c r="V70" i="66"/>
  <c r="V72" i="66" s="1"/>
  <c r="V77" i="66" s="1"/>
  <c r="X93" i="66"/>
  <c r="AM105" i="66"/>
  <c r="AM74" i="66"/>
  <c r="AM98" i="66"/>
  <c r="V111" i="66"/>
  <c r="AJ98" i="66"/>
  <c r="AJ74" i="66"/>
  <c r="AJ105" i="66"/>
  <c r="AV106" i="66"/>
  <c r="AV83" i="66"/>
  <c r="AV99" i="66" s="1"/>
  <c r="U105" i="66"/>
  <c r="U74" i="66"/>
  <c r="W98" i="66"/>
  <c r="AF88" i="66"/>
  <c r="AF83" i="66"/>
  <c r="AF84" i="66"/>
  <c r="AF89" i="66"/>
  <c r="AF106" i="66"/>
  <c r="BW67" i="10"/>
  <c r="R81" i="12"/>
  <c r="R30" i="12"/>
  <c r="T80" i="12"/>
  <c r="T85" i="12"/>
  <c r="T30" i="12"/>
  <c r="AL88" i="66"/>
  <c r="AL83" i="66"/>
  <c r="AL89" i="66"/>
  <c r="AL106" i="66"/>
  <c r="BS66" i="10"/>
  <c r="AK81" i="66"/>
  <c r="AK111" i="66"/>
  <c r="AX81" i="66"/>
  <c r="BK67" i="10"/>
  <c r="BK66" i="10"/>
  <c r="U111" i="66"/>
  <c r="U77" i="66"/>
  <c r="BL66" i="10"/>
  <c r="Y111" i="66"/>
  <c r="Y77" i="66"/>
  <c r="O35" i="12"/>
  <c r="O86" i="12"/>
  <c r="BV69" i="10"/>
  <c r="P36" i="10"/>
  <c r="P41" i="10"/>
  <c r="P781" i="10" s="1"/>
  <c r="P464" i="10"/>
  <c r="L12" i="66"/>
  <c r="J279" i="10"/>
  <c r="J283" i="10"/>
  <c r="O140" i="10"/>
  <c r="N109" i="10"/>
  <c r="AA89" i="66"/>
  <c r="AA83" i="66"/>
  <c r="AA106" i="66"/>
  <c r="AA80" i="66"/>
  <c r="AA88" i="66"/>
  <c r="BQ67" i="10"/>
  <c r="O307" i="10"/>
  <c r="O276" i="10"/>
  <c r="K94" i="10"/>
  <c r="K82" i="10"/>
  <c r="K146" i="10" s="1"/>
  <c r="AS72" i="66"/>
  <c r="O143" i="10"/>
  <c r="N112" i="10"/>
  <c r="N150" i="10" s="1"/>
  <c r="L306" i="10"/>
  <c r="L307" i="10" s="1"/>
  <c r="L300" i="10"/>
  <c r="M5" i="66"/>
  <c r="M26" i="66" s="1"/>
  <c r="K278" i="10"/>
  <c r="L280" i="10"/>
  <c r="M280" i="10" s="1"/>
  <c r="M278" i="10" s="1"/>
  <c r="E37" i="66"/>
  <c r="L88" i="10"/>
  <c r="L83" i="10"/>
  <c r="L147" i="10" s="1"/>
  <c r="AQ72" i="66"/>
  <c r="AU97" i="66"/>
  <c r="AQ97" i="66"/>
  <c r="V57" i="12"/>
  <c r="V90" i="12" s="1"/>
  <c r="V88" i="12"/>
  <c r="V89" i="12"/>
  <c r="AR74" i="66"/>
  <c r="AR105" i="66"/>
  <c r="AR98" i="66"/>
  <c r="AR77" i="66"/>
  <c r="P327" i="10"/>
  <c r="P344" i="10"/>
  <c r="I304" i="10"/>
  <c r="I305" i="10" s="1"/>
  <c r="I292" i="10"/>
  <c r="O141" i="10"/>
  <c r="N110" i="10"/>
  <c r="N148" i="10" s="1"/>
  <c r="AS106" i="66"/>
  <c r="AS83" i="66"/>
  <c r="O764" i="10"/>
  <c r="P760" i="10"/>
  <c r="O36" i="10"/>
  <c r="O464" i="10"/>
  <c r="O475" i="10" s="1"/>
  <c r="O41" i="10"/>
  <c r="O781" i="10" s="1"/>
  <c r="AH781" i="10" s="1"/>
  <c r="K12" i="66"/>
  <c r="AR99" i="66"/>
  <c r="P305" i="10"/>
  <c r="P298" i="10" s="1"/>
  <c r="P299" i="10" s="1"/>
  <c r="P306" i="10" s="1"/>
  <c r="P275" i="10"/>
  <c r="P274" i="10"/>
  <c r="P349" i="10"/>
  <c r="P328" i="10"/>
  <c r="J298" i="10"/>
  <c r="P92" i="10"/>
  <c r="P86" i="10" s="1"/>
  <c r="L41" i="66"/>
  <c r="P390" i="10"/>
  <c r="P402" i="10" s="1"/>
  <c r="P325" i="10"/>
  <c r="P326" i="10" s="1"/>
  <c r="F203" i="12"/>
  <c r="E194" i="12"/>
  <c r="E183" i="12"/>
  <c r="E90" i="12"/>
  <c r="E248" i="12" s="1"/>
  <c r="E252" i="12" s="1"/>
  <c r="E58" i="12"/>
  <c r="E61" i="12"/>
  <c r="E60" i="12"/>
  <c r="E184" i="12"/>
  <c r="C203" i="12"/>
  <c r="H203" i="12"/>
  <c r="G229" i="12"/>
  <c r="F229" i="12"/>
  <c r="E125" i="66"/>
  <c r="H229" i="12"/>
  <c r="G125" i="66"/>
  <c r="F7" i="16" l="1"/>
  <c r="F126" i="66"/>
  <c r="AD70" i="11"/>
  <c r="CB69" i="10" s="1"/>
  <c r="B106" i="66"/>
  <c r="AM21" i="18"/>
  <c r="CB66" i="10"/>
  <c r="AE126" i="11"/>
  <c r="CC15" i="10"/>
  <c r="BE8" i="66" s="1"/>
  <c r="BE44" i="66" s="1"/>
  <c r="BC70" i="66"/>
  <c r="BC72" i="66" s="1"/>
  <c r="BC77" i="66" s="1"/>
  <c r="AM38" i="18"/>
  <c r="AM46" i="18"/>
  <c r="AP46" i="18" s="1"/>
  <c r="AM26" i="18"/>
  <c r="AM20" i="18"/>
  <c r="AP16" i="18"/>
  <c r="AQ11" i="18"/>
  <c r="AQ16" i="18"/>
  <c r="AQ44" i="18"/>
  <c r="AT20" i="18"/>
  <c r="BD111" i="66"/>
  <c r="H61" i="17"/>
  <c r="BD81" i="66"/>
  <c r="BD106" i="66" s="1"/>
  <c r="F89" i="66"/>
  <c r="B83" i="66"/>
  <c r="C100" i="66" s="1"/>
  <c r="J67" i="10"/>
  <c r="J68" i="10"/>
  <c r="J5" i="10" s="1"/>
  <c r="G5" i="12"/>
  <c r="H7" i="12" s="1"/>
  <c r="BC104" i="66"/>
  <c r="G7" i="17"/>
  <c r="G8" i="17" s="1"/>
  <c r="K59" i="4"/>
  <c r="AH59" i="4" s="1"/>
  <c r="AK32" i="4"/>
  <c r="G61" i="17"/>
  <c r="AI781" i="10"/>
  <c r="P789" i="10"/>
  <c r="AI778" i="10"/>
  <c r="AE180" i="11"/>
  <c r="AD31" i="11"/>
  <c r="AD34" i="11" s="1"/>
  <c r="AC31" i="11"/>
  <c r="AC34" i="11" s="1"/>
  <c r="AD71" i="11"/>
  <c r="AD72" i="11"/>
  <c r="AD80" i="11"/>
  <c r="AC71" i="11"/>
  <c r="AC76" i="11"/>
  <c r="AC72" i="11"/>
  <c r="BC79" i="66"/>
  <c r="BC111" i="66" s="1"/>
  <c r="AH62" i="10"/>
  <c r="AC80" i="11"/>
  <c r="AH52" i="10"/>
  <c r="AH61" i="10"/>
  <c r="CA63" i="10"/>
  <c r="CA65" i="10" s="1"/>
  <c r="AZ72" i="66"/>
  <c r="BD98" i="66" s="1"/>
  <c r="BD97" i="66"/>
  <c r="AY70" i="66"/>
  <c r="BC93" i="66"/>
  <c r="AX72" i="66"/>
  <c r="AX98" i="66" s="1"/>
  <c r="BB97" i="66"/>
  <c r="AY93" i="66"/>
  <c r="AY104" i="66"/>
  <c r="W88" i="66"/>
  <c r="W89" i="66"/>
  <c r="W80" i="66"/>
  <c r="AK47" i="18"/>
  <c r="AK35" i="4"/>
  <c r="G203" i="12"/>
  <c r="AL39" i="18"/>
  <c r="AL46" i="18"/>
  <c r="AL26" i="18"/>
  <c r="AL52" i="18" s="1"/>
  <c r="AL20" i="18"/>
  <c r="AG41" i="18"/>
  <c r="AL38" i="18"/>
  <c r="K69" i="4"/>
  <c r="L48" i="4"/>
  <c r="K66" i="10"/>
  <c r="J66" i="10"/>
  <c r="AH35" i="4"/>
  <c r="Y65" i="10"/>
  <c r="AK32" i="18"/>
  <c r="AK48" i="18" s="1"/>
  <c r="AK40" i="18"/>
  <c r="M83" i="10"/>
  <c r="M147" i="10" s="1"/>
  <c r="BW69" i="10"/>
  <c r="AX97" i="66"/>
  <c r="W83" i="66"/>
  <c r="AN89" i="66"/>
  <c r="AO86" i="66"/>
  <c r="F83" i="66"/>
  <c r="F100" i="66" s="1"/>
  <c r="F99" i="66"/>
  <c r="AK45" i="18"/>
  <c r="F106" i="66"/>
  <c r="G99" i="66"/>
  <c r="G7" i="12"/>
  <c r="BW68" i="10"/>
  <c r="L59" i="66"/>
  <c r="M16" i="66"/>
  <c r="L44" i="66"/>
  <c r="X32" i="18"/>
  <c r="X48" i="18" s="1"/>
  <c r="AG48" i="18"/>
  <c r="X47" i="18"/>
  <c r="AZ97" i="66"/>
  <c r="AO103" i="66"/>
  <c r="AO93" i="66"/>
  <c r="AT77" i="66"/>
  <c r="AT105" i="66"/>
  <c r="AT98" i="66"/>
  <c r="AT74" i="66"/>
  <c r="AO70" i="66"/>
  <c r="AS97" i="66" s="1"/>
  <c r="AO104" i="66"/>
  <c r="D126" i="66"/>
  <c r="AF66" i="10"/>
  <c r="L49" i="66"/>
  <c r="M279" i="10"/>
  <c r="M283" i="10"/>
  <c r="AF38" i="18"/>
  <c r="M94" i="10"/>
  <c r="M82" i="10"/>
  <c r="M146" i="10" s="1"/>
  <c r="Q46" i="4"/>
  <c r="Q54" i="4"/>
  <c r="AQ54" i="4" s="1"/>
  <c r="Q45" i="4"/>
  <c r="Q53" i="4"/>
  <c r="AQ53" i="4" s="1"/>
  <c r="J6" i="10"/>
  <c r="AQ99" i="66"/>
  <c r="AH48" i="18"/>
  <c r="AH41" i="18"/>
  <c r="M71" i="66"/>
  <c r="AF32" i="18"/>
  <c r="AF52" i="18"/>
  <c r="AF47" i="18"/>
  <c r="J69" i="4"/>
  <c r="AC35" i="4"/>
  <c r="J59" i="4"/>
  <c r="AJ35" i="4"/>
  <c r="AB35" i="4"/>
  <c r="AF35" i="4"/>
  <c r="J37" i="4"/>
  <c r="H37" i="4"/>
  <c r="E7" i="17"/>
  <c r="E8" i="17" s="1"/>
  <c r="E61" i="17"/>
  <c r="AJ58" i="4"/>
  <c r="AC58" i="4"/>
  <c r="AF58" i="4"/>
  <c r="AB58" i="4"/>
  <c r="AB39" i="18"/>
  <c r="AB26" i="18"/>
  <c r="AB20" i="18"/>
  <c r="AF40" i="18" s="1"/>
  <c r="AB46" i="18"/>
  <c r="AF45" i="18"/>
  <c r="M48" i="4"/>
  <c r="M59" i="4"/>
  <c r="AM59" i="4" s="1"/>
  <c r="AM35" i="4"/>
  <c r="AD37" i="4"/>
  <c r="AK37" i="4"/>
  <c r="AH37" i="4"/>
  <c r="F8" i="16"/>
  <c r="AI32" i="18"/>
  <c r="AI52" i="18"/>
  <c r="AI47" i="18"/>
  <c r="I61" i="17"/>
  <c r="M37" i="4"/>
  <c r="I7" i="17"/>
  <c r="I8" i="17" s="1"/>
  <c r="AE48" i="18"/>
  <c r="AE41" i="18"/>
  <c r="AV72" i="66"/>
  <c r="AV97" i="66"/>
  <c r="F61" i="17"/>
  <c r="AF39" i="18"/>
  <c r="AP99" i="66"/>
  <c r="AN99" i="66"/>
  <c r="AF32" i="4"/>
  <c r="AJ32" i="4"/>
  <c r="AI45" i="18"/>
  <c r="AI40" i="18"/>
  <c r="N24" i="18"/>
  <c r="C8" i="17"/>
  <c r="D61" i="17"/>
  <c r="D7" i="17"/>
  <c r="G37" i="4"/>
  <c r="AJ56" i="4"/>
  <c r="AB56" i="4"/>
  <c r="AC56" i="4"/>
  <c r="AL37" i="4"/>
  <c r="L38" i="4"/>
  <c r="P45" i="4"/>
  <c r="P53" i="4"/>
  <c r="AP53" i="4" s="1"/>
  <c r="W285" i="11"/>
  <c r="W298" i="11"/>
  <c r="N12" i="83"/>
  <c r="O12" i="83" s="1"/>
  <c r="P3" i="83"/>
  <c r="P475" i="10"/>
  <c r="M13" i="66"/>
  <c r="M42" i="66"/>
  <c r="M8" i="66"/>
  <c r="P6" i="66"/>
  <c r="I229" i="12"/>
  <c r="H125" i="66"/>
  <c r="G8" i="16"/>
  <c r="H126" i="66"/>
  <c r="I230" i="12"/>
  <c r="C125" i="66"/>
  <c r="D229" i="12"/>
  <c r="C82" i="66"/>
  <c r="C99" i="66"/>
  <c r="C88" i="66"/>
  <c r="C89" i="66"/>
  <c r="C84" i="66"/>
  <c r="C106" i="66"/>
  <c r="E5" i="12"/>
  <c r="D7" i="16"/>
  <c r="E8" i="16" s="1"/>
  <c r="H68" i="10"/>
  <c r="H5" i="10" s="1"/>
  <c r="I6" i="10" s="1"/>
  <c r="N38" i="63"/>
  <c r="H83" i="66"/>
  <c r="I100" i="66" s="1"/>
  <c r="H99" i="66"/>
  <c r="H89" i="66"/>
  <c r="H88" i="66"/>
  <c r="H106" i="66"/>
  <c r="O81" i="66"/>
  <c r="Q81" i="66"/>
  <c r="K6" i="10"/>
  <c r="AO85" i="66"/>
  <c r="AN88" i="66"/>
  <c r="D5" i="12"/>
  <c r="D7" i="12" s="1"/>
  <c r="C7" i="16"/>
  <c r="G68" i="10"/>
  <c r="G5" i="10" s="1"/>
  <c r="G6" i="10" s="1"/>
  <c r="G66" i="10"/>
  <c r="G4" i="10"/>
  <c r="G69" i="10"/>
  <c r="G67" i="10"/>
  <c r="C126" i="66"/>
  <c r="D230" i="12"/>
  <c r="N64" i="63"/>
  <c r="D106" i="66"/>
  <c r="D88" i="66"/>
  <c r="D99" i="66"/>
  <c r="D82" i="66"/>
  <c r="D89" i="66"/>
  <c r="D84" i="66"/>
  <c r="H69" i="10"/>
  <c r="H4" i="10"/>
  <c r="H66" i="10"/>
  <c r="H67" i="10"/>
  <c r="I5" i="12"/>
  <c r="L68" i="10"/>
  <c r="L5" i="10" s="1"/>
  <c r="L6" i="10" s="1"/>
  <c r="H7" i="16"/>
  <c r="H8" i="16" s="1"/>
  <c r="I66" i="10"/>
  <c r="I203" i="12"/>
  <c r="L4" i="10"/>
  <c r="L66" i="10"/>
  <c r="L591" i="10"/>
  <c r="L67" i="10"/>
  <c r="AC65" i="10"/>
  <c r="D203" i="12"/>
  <c r="O50" i="12"/>
  <c r="O87" i="12"/>
  <c r="AK88" i="66"/>
  <c r="AK106" i="66"/>
  <c r="AK83" i="66"/>
  <c r="AK89" i="66"/>
  <c r="R86" i="12"/>
  <c r="R35" i="12"/>
  <c r="AM99" i="66"/>
  <c r="AZ106" i="66"/>
  <c r="AZ83" i="66"/>
  <c r="AK77" i="66"/>
  <c r="AK74" i="66"/>
  <c r="AK98" i="66"/>
  <c r="AK105" i="66"/>
  <c r="AO106" i="66"/>
  <c r="AO83" i="66"/>
  <c r="P86" i="12"/>
  <c r="P35" i="12"/>
  <c r="AI99" i="66"/>
  <c r="S87" i="12"/>
  <c r="S50" i="12"/>
  <c r="Z74" i="66"/>
  <c r="AB98" i="66"/>
  <c r="Z105" i="66"/>
  <c r="Z98" i="66"/>
  <c r="AG83" i="66"/>
  <c r="AG89" i="66"/>
  <c r="AG88" i="66"/>
  <c r="AG84" i="66"/>
  <c r="AG106" i="66"/>
  <c r="AJ99" i="66"/>
  <c r="BI67" i="10"/>
  <c r="BI66" i="10"/>
  <c r="AL99" i="66"/>
  <c r="V74" i="66"/>
  <c r="V105" i="66"/>
  <c r="X98" i="66"/>
  <c r="BX68" i="10"/>
  <c r="T35" i="12"/>
  <c r="T86" i="12"/>
  <c r="AH99" i="66"/>
  <c r="AX106" i="66"/>
  <c r="AX83" i="66"/>
  <c r="Y81" i="66"/>
  <c r="AA65" i="10"/>
  <c r="Z67" i="10"/>
  <c r="AB66" i="10"/>
  <c r="Z66" i="10"/>
  <c r="AY83" i="66"/>
  <c r="AY106" i="66"/>
  <c r="V67" i="10"/>
  <c r="U81" i="66"/>
  <c r="X66" i="10"/>
  <c r="W65" i="10"/>
  <c r="BM67" i="10"/>
  <c r="BM66" i="10"/>
  <c r="Q50" i="12"/>
  <c r="Q87" i="12"/>
  <c r="M12" i="66"/>
  <c r="AQ105" i="66"/>
  <c r="AQ74" i="66"/>
  <c r="AU98" i="66"/>
  <c r="AQ98" i="66"/>
  <c r="AQ77" i="66"/>
  <c r="AS74" i="66"/>
  <c r="AS105" i="66"/>
  <c r="AS77" i="66"/>
  <c r="N108" i="10"/>
  <c r="N139" i="10" s="1"/>
  <c r="J285" i="10"/>
  <c r="J284" i="10"/>
  <c r="K299" i="10"/>
  <c r="O95" i="10"/>
  <c r="N89" i="10"/>
  <c r="P141" i="10"/>
  <c r="O110" i="10"/>
  <c r="O148" i="10" s="1"/>
  <c r="L94" i="10"/>
  <c r="L82" i="10"/>
  <c r="L146" i="10" s="1"/>
  <c r="P5" i="66"/>
  <c r="M41" i="66"/>
  <c r="P140" i="10"/>
  <c r="O109" i="10"/>
  <c r="P307" i="10"/>
  <c r="P276" i="10"/>
  <c r="I298" i="10"/>
  <c r="J299" i="10" s="1"/>
  <c r="L278" i="10"/>
  <c r="K48" i="66"/>
  <c r="K56" i="66"/>
  <c r="S12" i="66"/>
  <c r="P764" i="10"/>
  <c r="K279" i="10"/>
  <c r="K283" i="10"/>
  <c r="P143" i="10"/>
  <c r="O112" i="10"/>
  <c r="O150" i="10" s="1"/>
  <c r="L48" i="66"/>
  <c r="L56" i="66"/>
  <c r="E203" i="12"/>
  <c r="E229" i="12"/>
  <c r="D125" i="66"/>
  <c r="AD76" i="11" l="1"/>
  <c r="AM32" i="18"/>
  <c r="AP32" i="18" s="1"/>
  <c r="AM52" i="18"/>
  <c r="AQ52" i="18" s="1"/>
  <c r="AP21" i="18"/>
  <c r="AQ21" i="18"/>
  <c r="BC105" i="66"/>
  <c r="BD83" i="66"/>
  <c r="BD99" i="66" s="1"/>
  <c r="BC74" i="66"/>
  <c r="AP20" i="18"/>
  <c r="AM45" i="18"/>
  <c r="AP45" i="18" s="1"/>
  <c r="AQ20" i="18"/>
  <c r="AM47" i="18"/>
  <c r="AP47" i="18" s="1"/>
  <c r="AP26" i="18"/>
  <c r="AQ32" i="18"/>
  <c r="AP52" i="18"/>
  <c r="AQ26" i="18"/>
  <c r="AM40" i="18"/>
  <c r="AQ46" i="18"/>
  <c r="AT32" i="18"/>
  <c r="Q89" i="66"/>
  <c r="AK59" i="4"/>
  <c r="AD59" i="4"/>
  <c r="AD32" i="11"/>
  <c r="AO89" i="66"/>
  <c r="AP86" i="66"/>
  <c r="AH63" i="10"/>
  <c r="AH65" i="10" s="1"/>
  <c r="AH66" i="10" s="1"/>
  <c r="AZ77" i="66"/>
  <c r="AZ74" i="66"/>
  <c r="AX105" i="66"/>
  <c r="AZ105" i="66"/>
  <c r="AZ98" i="66"/>
  <c r="AC32" i="11"/>
  <c r="CA69" i="10"/>
  <c r="AC77" i="11"/>
  <c r="CA68" i="10"/>
  <c r="BC81" i="66"/>
  <c r="CB68" i="10"/>
  <c r="AD77" i="11"/>
  <c r="AD35" i="11"/>
  <c r="AD37" i="11"/>
  <c r="AD36" i="11"/>
  <c r="CA67" i="10"/>
  <c r="CA66" i="10"/>
  <c r="AC36" i="11"/>
  <c r="AC37" i="11"/>
  <c r="AC35" i="11"/>
  <c r="AY99" i="66"/>
  <c r="AX99" i="66"/>
  <c r="BB99" i="66"/>
  <c r="BB98" i="66"/>
  <c r="BC97" i="66"/>
  <c r="AY72" i="66"/>
  <c r="AY97" i="66"/>
  <c r="AX77" i="66"/>
  <c r="AZ99" i="66"/>
  <c r="AX74" i="66"/>
  <c r="AK41" i="18"/>
  <c r="AL45" i="18"/>
  <c r="AL40" i="18"/>
  <c r="AL32" i="18"/>
  <c r="AL47" i="18"/>
  <c r="Y67" i="10"/>
  <c r="X81" i="66"/>
  <c r="G100" i="66"/>
  <c r="Y40" i="11"/>
  <c r="Z40" i="11"/>
  <c r="M59" i="66"/>
  <c r="M44" i="66"/>
  <c r="AO97" i="66"/>
  <c r="AO72" i="66"/>
  <c r="AO98" i="66" s="1"/>
  <c r="I7" i="12"/>
  <c r="J7" i="12"/>
  <c r="M285" i="10"/>
  <c r="M284" i="10"/>
  <c r="AB32" i="18"/>
  <c r="AF41" i="18" s="1"/>
  <c r="AB47" i="18"/>
  <c r="AB52" i="18"/>
  <c r="AF37" i="4"/>
  <c r="AC37" i="4"/>
  <c r="AB37" i="4"/>
  <c r="AJ37" i="4"/>
  <c r="AC59" i="4"/>
  <c r="AF59" i="4"/>
  <c r="AB59" i="4"/>
  <c r="AJ59" i="4"/>
  <c r="AF48" i="18"/>
  <c r="AS99" i="66"/>
  <c r="AV74" i="66"/>
  <c r="AV105" i="66"/>
  <c r="AV77" i="66"/>
  <c r="AV98" i="66"/>
  <c r="AM37" i="4"/>
  <c r="M38" i="4"/>
  <c r="AI48" i="18"/>
  <c r="AI41" i="18"/>
  <c r="D8" i="16"/>
  <c r="AB40" i="18"/>
  <c r="AB45" i="18"/>
  <c r="P5" i="83"/>
  <c r="S7" i="83"/>
  <c r="W7" i="83" s="1"/>
  <c r="P13" i="66"/>
  <c r="M49" i="66"/>
  <c r="M57" i="66"/>
  <c r="O83" i="66"/>
  <c r="Q83" i="66"/>
  <c r="H100" i="66"/>
  <c r="AP85" i="66"/>
  <c r="AO88" i="66"/>
  <c r="AB81" i="66"/>
  <c r="AC67" i="10"/>
  <c r="E7" i="12"/>
  <c r="F7" i="12"/>
  <c r="O88" i="66"/>
  <c r="Q88" i="66"/>
  <c r="H6" i="10"/>
  <c r="L89" i="12"/>
  <c r="O89" i="66"/>
  <c r="Q89" i="12"/>
  <c r="Q88" i="12"/>
  <c r="Q57" i="12"/>
  <c r="R87" i="12"/>
  <c r="R50" i="12"/>
  <c r="U89" i="66"/>
  <c r="U88" i="66"/>
  <c r="U83" i="66"/>
  <c r="U106" i="66"/>
  <c r="W99" i="66"/>
  <c r="U80" i="66"/>
  <c r="T87" i="12"/>
  <c r="T50" i="12"/>
  <c r="O89" i="12"/>
  <c r="O88" i="12"/>
  <c r="O57" i="12"/>
  <c r="O90" i="12" s="1"/>
  <c r="Y80" i="66"/>
  <c r="Y106" i="66"/>
  <c r="Y88" i="66"/>
  <c r="Y83" i="66"/>
  <c r="Y89" i="66"/>
  <c r="Y99" i="66"/>
  <c r="AA99" i="66"/>
  <c r="S88" i="12"/>
  <c r="S57" i="12"/>
  <c r="S89" i="12"/>
  <c r="P87" i="12"/>
  <c r="P50" i="12"/>
  <c r="AK99" i="66"/>
  <c r="AO99" i="66"/>
  <c r="W67" i="10"/>
  <c r="V81" i="66"/>
  <c r="Y66" i="10"/>
  <c r="Z81" i="66"/>
  <c r="AA67" i="10"/>
  <c r="AA66" i="10"/>
  <c r="AC66" i="10"/>
  <c r="J306" i="10"/>
  <c r="J307" i="10" s="1"/>
  <c r="J300" i="10"/>
  <c r="P95" i="10"/>
  <c r="O89" i="10"/>
  <c r="K306" i="10"/>
  <c r="K307" i="10" s="1"/>
  <c r="K300" i="10"/>
  <c r="P112" i="10"/>
  <c r="P150" i="10" s="1"/>
  <c r="P12" i="66"/>
  <c r="M48" i="66"/>
  <c r="M56" i="66"/>
  <c r="P110" i="10"/>
  <c r="P148" i="10" s="1"/>
  <c r="O108" i="10"/>
  <c r="O139" i="10" s="1"/>
  <c r="P109" i="10"/>
  <c r="K285" i="10"/>
  <c r="K286" i="10" s="1"/>
  <c r="K284" i="10"/>
  <c r="L279" i="10"/>
  <c r="L283" i="10"/>
  <c r="N83" i="10"/>
  <c r="N147" i="10" s="1"/>
  <c r="N88" i="10"/>
  <c r="AM41" i="18" l="1"/>
  <c r="AM48" i="18"/>
  <c r="AP48" i="18" s="1"/>
  <c r="AQ45" i="18"/>
  <c r="AQ47" i="18"/>
  <c r="AQ86" i="66"/>
  <c r="AP89" i="66"/>
  <c r="AH67" i="10"/>
  <c r="S90" i="12"/>
  <c r="BC106" i="66"/>
  <c r="BC83" i="66"/>
  <c r="BC99" i="66" s="1"/>
  <c r="BC98" i="66"/>
  <c r="AY98" i="66"/>
  <c r="AY74" i="66"/>
  <c r="AY105" i="66"/>
  <c r="AY77" i="66"/>
  <c r="AL48" i="18"/>
  <c r="AL41" i="18"/>
  <c r="X88" i="66"/>
  <c r="X83" i="66"/>
  <c r="X89" i="66"/>
  <c r="X106" i="66"/>
  <c r="X80" i="66"/>
  <c r="AO74" i="66"/>
  <c r="AO77" i="66"/>
  <c r="AO105" i="66"/>
  <c r="AS98" i="66"/>
  <c r="AB48" i="18"/>
  <c r="AB41" i="18"/>
  <c r="X7" i="83"/>
  <c r="V8" i="83"/>
  <c r="X8" i="83" s="1"/>
  <c r="AP88" i="66"/>
  <c r="AQ85" i="66"/>
  <c r="AQ89" i="66"/>
  <c r="AR86" i="66"/>
  <c r="M89" i="12"/>
  <c r="AB80" i="66"/>
  <c r="AB89" i="66"/>
  <c r="AB88" i="66"/>
  <c r="AB106" i="66"/>
  <c r="AB83" i="66"/>
  <c r="V88" i="66"/>
  <c r="V83" i="66"/>
  <c r="V80" i="66"/>
  <c r="V106" i="66"/>
  <c r="V89" i="66"/>
  <c r="X99" i="66"/>
  <c r="R89" i="12"/>
  <c r="R88" i="12"/>
  <c r="R57" i="12"/>
  <c r="R90" i="12" s="1"/>
  <c r="P57" i="12"/>
  <c r="P90" i="12" s="1"/>
  <c r="P89" i="12"/>
  <c r="P88" i="12"/>
  <c r="Q90" i="12"/>
  <c r="Q183" i="12"/>
  <c r="Q184" i="12"/>
  <c r="T88" i="12"/>
  <c r="T57" i="12"/>
  <c r="T89" i="12"/>
  <c r="Z80" i="66"/>
  <c r="Z106" i="66"/>
  <c r="Z88" i="66"/>
  <c r="Z89" i="66"/>
  <c r="Z83" i="66"/>
  <c r="Z99" i="66"/>
  <c r="AB99" i="66"/>
  <c r="L284" i="10"/>
  <c r="L285" i="10"/>
  <c r="L286" i="10" s="1"/>
  <c r="O83" i="10"/>
  <c r="O147" i="10" s="1"/>
  <c r="O88" i="10"/>
  <c r="N94" i="10"/>
  <c r="N82" i="10"/>
  <c r="N146" i="10" s="1"/>
  <c r="P89" i="10"/>
  <c r="P108" i="10"/>
  <c r="P139" i="10" s="1"/>
  <c r="AQ48" i="18" l="1"/>
  <c r="T90" i="12"/>
  <c r="M286" i="10"/>
  <c r="AR89" i="66"/>
  <c r="AS86" i="66"/>
  <c r="AR85" i="66"/>
  <c r="AQ88" i="66"/>
  <c r="P88" i="10"/>
  <c r="P83" i="10"/>
  <c r="P147" i="10" s="1"/>
  <c r="O94" i="10"/>
  <c r="O82" i="10"/>
  <c r="O146" i="10" s="1"/>
  <c r="AT86" i="66" l="1"/>
  <c r="AS89" i="66"/>
  <c r="AR88" i="66"/>
  <c r="AS85" i="66"/>
  <c r="P94" i="10"/>
  <c r="P82" i="10"/>
  <c r="P146" i="10" s="1"/>
  <c r="AU86" i="66" l="1"/>
  <c r="AT89" i="66"/>
  <c r="AT85" i="66"/>
  <c r="AS88" i="66"/>
  <c r="AT88" i="66" l="1"/>
  <c r="AU85" i="66"/>
  <c r="AU89" i="66"/>
  <c r="AV86" i="66"/>
  <c r="AV85" i="66" l="1"/>
  <c r="AU88" i="66"/>
  <c r="AW86" i="66"/>
  <c r="AX86" i="66" s="1"/>
  <c r="AV89" i="66"/>
  <c r="AV88" i="66" l="1"/>
  <c r="AW85" i="66"/>
  <c r="AX85" i="66" s="1"/>
  <c r="AX88" i="66" s="1"/>
  <c r="AX89" i="66"/>
  <c r="AY86" i="66"/>
  <c r="AY85" i="66" l="1"/>
  <c r="AZ85" i="66" s="1"/>
  <c r="BA85" i="66" s="1"/>
  <c r="BB85" i="66" s="1"/>
  <c r="AZ86" i="66"/>
  <c r="BA86" i="66" s="1"/>
  <c r="BB86" i="66" s="1"/>
  <c r="AY89" i="66"/>
  <c r="BC86" i="66" l="1"/>
  <c r="BB89" i="66"/>
  <c r="BC85" i="66"/>
  <c r="BB88" i="66"/>
  <c r="AY88" i="66"/>
  <c r="AZ89" i="66"/>
  <c r="AZ88" i="66"/>
  <c r="BD86" i="66" l="1"/>
  <c r="BC89" i="66"/>
  <c r="BD85" i="66"/>
  <c r="BC88" i="66"/>
  <c r="AE569" i="10"/>
  <c r="J27" i="83"/>
  <c r="AE566" i="10"/>
  <c r="J26" i="83"/>
  <c r="AE565" i="10"/>
  <c r="M589" i="10"/>
  <c r="AE597" i="10"/>
  <c r="AE595" i="10"/>
  <c r="AE598" i="10"/>
  <c r="AE596" i="10"/>
  <c r="AA73" i="66"/>
  <c r="AA74" i="66" s="1"/>
  <c r="J48" i="17"/>
  <c r="J42" i="17"/>
  <c r="X161" i="12"/>
  <c r="J44" i="17"/>
  <c r="X156" i="12"/>
  <c r="X137" i="12"/>
  <c r="X151" i="12"/>
  <c r="J38" i="17"/>
  <c r="J9" i="17" s="1"/>
  <c r="K18" i="18"/>
  <c r="O18" i="18" s="1"/>
  <c r="N31" i="4"/>
  <c r="AN31" i="4" s="1"/>
  <c r="J50" i="17"/>
  <c r="N20" i="4"/>
  <c r="AN20" i="4" s="1"/>
  <c r="X163" i="12"/>
  <c r="J83" i="17"/>
  <c r="J15" i="63"/>
  <c r="J36" i="63"/>
  <c r="X144" i="12"/>
  <c r="J50" i="63"/>
  <c r="V52" i="82"/>
  <c r="J88" i="83" s="1"/>
  <c r="J52" i="17"/>
  <c r="J63" i="63"/>
  <c r="X147" i="12"/>
  <c r="J40" i="63"/>
  <c r="X165" i="12"/>
  <c r="J14" i="63"/>
  <c r="X166" i="12"/>
  <c r="J69" i="17"/>
  <c r="N11" i="4"/>
  <c r="X34" i="12"/>
  <c r="J15" i="17"/>
  <c r="J59" i="17"/>
  <c r="J71" i="17"/>
  <c r="J32" i="17"/>
  <c r="J20" i="17"/>
  <c r="J77" i="83"/>
  <c r="N29" i="4"/>
  <c r="J61" i="63"/>
  <c r="J37" i="63"/>
  <c r="J51" i="17"/>
  <c r="X131" i="12"/>
  <c r="K182" i="12"/>
  <c r="O104" i="83"/>
  <c r="M63" i="10"/>
  <c r="AE63" i="10" s="1"/>
  <c r="N19" i="4"/>
  <c r="AN19" i="4" s="1"/>
  <c r="J57" i="17"/>
  <c r="J18" i="17"/>
  <c r="N21" i="4"/>
  <c r="K19" i="18"/>
  <c r="X145" i="12"/>
  <c r="J27" i="17"/>
  <c r="J87" i="17"/>
  <c r="J65" i="17"/>
  <c r="J81" i="17"/>
  <c r="J64" i="17"/>
  <c r="X134" i="12"/>
  <c r="N15" i="4"/>
  <c r="AN15" i="4" s="1"/>
  <c r="J62" i="63"/>
  <c r="X132" i="12"/>
  <c r="W66" i="11"/>
  <c r="BU62" i="10" s="1"/>
  <c r="J87" i="83"/>
  <c r="J43" i="17"/>
  <c r="J7" i="17"/>
  <c r="J8" i="17" s="1"/>
  <c r="X139" i="12"/>
  <c r="V39" i="82"/>
  <c r="N37" i="4"/>
  <c r="J14" i="17"/>
  <c r="J58" i="17"/>
  <c r="J19" i="17"/>
  <c r="J72" i="17"/>
  <c r="J26" i="63"/>
  <c r="J23" i="63"/>
  <c r="K184" i="12"/>
  <c r="L184" i="12" s="1"/>
  <c r="W54" i="11"/>
  <c r="M62" i="10"/>
  <c r="M49" i="10"/>
  <c r="AE49" i="10" s="1"/>
  <c r="AE594" i="10" s="1"/>
  <c r="O105" i="83"/>
  <c r="J49" i="17"/>
  <c r="J86" i="17"/>
  <c r="J26" i="17"/>
  <c r="J10" i="17"/>
  <c r="J13" i="17"/>
  <c r="J56" i="17"/>
  <c r="I7" i="16"/>
  <c r="I8" i="16" s="1"/>
  <c r="N4" i="4"/>
  <c r="N41" i="4" s="1"/>
  <c r="K39" i="12"/>
  <c r="Y39" i="12" s="1"/>
  <c r="X136" i="12"/>
  <c r="X142" i="12"/>
  <c r="AB71" i="18"/>
  <c r="AD71" i="18" s="1"/>
  <c r="X140" i="12"/>
  <c r="N17" i="4"/>
  <c r="J21" i="17"/>
  <c r="M68" i="10"/>
  <c r="M5" i="10" s="1"/>
  <c r="M6" i="10" s="1"/>
  <c r="J22" i="17"/>
  <c r="J25" i="17" s="1"/>
  <c r="W50" i="11"/>
  <c r="BU45" i="10" s="1"/>
  <c r="N35" i="4"/>
  <c r="J80" i="17"/>
  <c r="N10" i="4"/>
  <c r="X33" i="12"/>
  <c r="J82" i="17"/>
  <c r="M58" i="10"/>
  <c r="W62" i="11"/>
  <c r="BU58" i="10" s="1"/>
  <c r="AJ25" i="18" s="1"/>
  <c r="AR25" i="18" s="1"/>
  <c r="J70" i="17"/>
  <c r="J49" i="63"/>
  <c r="X130" i="12"/>
  <c r="J85" i="17"/>
  <c r="J84" i="17"/>
  <c r="J66" i="17"/>
  <c r="M65" i="10"/>
  <c r="M591" i="10" s="1"/>
  <c r="J59" i="63"/>
  <c r="J37" i="17"/>
  <c r="J36" i="17"/>
  <c r="J33" i="17"/>
  <c r="J60" i="17"/>
  <c r="J31" i="17"/>
  <c r="J77" i="17"/>
  <c r="M45" i="10"/>
  <c r="X141" i="12"/>
  <c r="M23" i="10"/>
  <c r="W46" i="11"/>
  <c r="J61" i="17"/>
  <c r="M47" i="10"/>
  <c r="M564" i="10" s="1"/>
  <c r="M562" i="10" s="1"/>
  <c r="M9" i="10"/>
  <c r="X170" i="12" l="1"/>
  <c r="M770" i="10"/>
  <c r="BE85" i="66"/>
  <c r="BD88" i="66"/>
  <c r="BE86" i="66"/>
  <c r="BD89" i="66"/>
  <c r="M676" i="10"/>
  <c r="M70" i="10"/>
  <c r="I16" i="16"/>
  <c r="N59" i="4"/>
  <c r="AN59" i="4" s="1"/>
  <c r="J65" i="63"/>
  <c r="J73" i="63" s="1"/>
  <c r="N55" i="4"/>
  <c r="AN55" i="4" s="1"/>
  <c r="N18" i="18"/>
  <c r="AS18" i="18"/>
  <c r="M577" i="10"/>
  <c r="M576" i="10"/>
  <c r="AN4" i="4"/>
  <c r="N19" i="18"/>
  <c r="AS19" i="18"/>
  <c r="N44" i="4"/>
  <c r="AN11" i="4"/>
  <c r="AN17" i="4"/>
  <c r="M590" i="10"/>
  <c r="K11" i="38"/>
  <c r="L11" i="38" s="1"/>
  <c r="I9" i="66"/>
  <c r="K10" i="38"/>
  <c r="K12" i="38"/>
  <c r="AE62" i="10"/>
  <c r="X53" i="12" s="1"/>
  <c r="K28" i="18"/>
  <c r="O28" i="18" s="1"/>
  <c r="M66" i="10"/>
  <c r="AE599" i="10"/>
  <c r="J21" i="63"/>
  <c r="J25" i="63" s="1"/>
  <c r="M623" i="10"/>
  <c r="N52" i="4"/>
  <c r="AN52" i="4" s="1"/>
  <c r="M16" i="10"/>
  <c r="M260" i="10" s="1"/>
  <c r="M262" i="10" s="1"/>
  <c r="M33" i="10" s="1"/>
  <c r="I17" i="66" s="1"/>
  <c r="V56" i="82"/>
  <c r="N48" i="4"/>
  <c r="J28" i="17"/>
  <c r="V53" i="82"/>
  <c r="V55" i="82"/>
  <c r="AN35" i="4"/>
  <c r="AE65" i="10"/>
  <c r="AE66" i="10" s="1"/>
  <c r="M4" i="10"/>
  <c r="M667" i="10"/>
  <c r="O23" i="4"/>
  <c r="K38" i="12"/>
  <c r="J8" i="83"/>
  <c r="M603" i="10"/>
  <c r="N603" i="10" s="1"/>
  <c r="O603" i="10" s="1"/>
  <c r="P603" i="10" s="1"/>
  <c r="M604" i="10"/>
  <c r="N604" i="10" s="1"/>
  <c r="O604" i="10" s="1"/>
  <c r="P604" i="10" s="1"/>
  <c r="M18" i="10"/>
  <c r="M300" i="10" s="1"/>
  <c r="M602" i="10"/>
  <c r="N602" i="10" s="1"/>
  <c r="AE9" i="10"/>
  <c r="AE50" i="10" s="1"/>
  <c r="M605" i="10"/>
  <c r="N605" i="10" s="1"/>
  <c r="O605" i="10" s="1"/>
  <c r="P605" i="10" s="1"/>
  <c r="M10" i="10"/>
  <c r="K14" i="38" s="1"/>
  <c r="M801" i="10"/>
  <c r="M805" i="10" s="1"/>
  <c r="L35" i="38"/>
  <c r="M578" i="10"/>
  <c r="N578" i="10" s="1"/>
  <c r="O578" i="10" s="1"/>
  <c r="M625" i="10"/>
  <c r="M626" i="10" s="1"/>
  <c r="M779" i="10"/>
  <c r="AF779" i="10" s="1"/>
  <c r="K8" i="18"/>
  <c r="M643" i="10"/>
  <c r="M641" i="10"/>
  <c r="M67" i="10"/>
  <c r="M642" i="10"/>
  <c r="AF71" i="18"/>
  <c r="AE71" i="18"/>
  <c r="AJ15" i="18"/>
  <c r="AR15" i="18" s="1"/>
  <c r="M579" i="10"/>
  <c r="N579" i="10" s="1"/>
  <c r="O579" i="10" s="1"/>
  <c r="P579" i="10" s="1"/>
  <c r="M582" i="10"/>
  <c r="M588" i="10"/>
  <c r="M571" i="10"/>
  <c r="J28" i="83"/>
  <c r="AB69" i="18"/>
  <c r="W43" i="11"/>
  <c r="AB70" i="18"/>
  <c r="AN10" i="4"/>
  <c r="M46" i="10"/>
  <c r="N46" i="10" s="1"/>
  <c r="M575" i="10"/>
  <c r="N575" i="10" s="1"/>
  <c r="O575" i="10" s="1"/>
  <c r="M573" i="10"/>
  <c r="M639" i="10"/>
  <c r="M574" i="10"/>
  <c r="N574" i="10" s="1"/>
  <c r="O574" i="10" s="1"/>
  <c r="K12" i="18"/>
  <c r="M622" i="10"/>
  <c r="M48" i="10"/>
  <c r="K13" i="18"/>
  <c r="AE47" i="10"/>
  <c r="M640" i="10"/>
  <c r="H28" i="82"/>
  <c r="M29" i="10"/>
  <c r="I18" i="66" s="1"/>
  <c r="K25" i="18"/>
  <c r="AS25" i="18" s="1"/>
  <c r="AE58" i="10"/>
  <c r="X46" i="12" s="1"/>
  <c r="J25" i="83"/>
  <c r="AE23" i="10"/>
  <c r="X16" i="12" s="1"/>
  <c r="M678" i="10"/>
  <c r="M680" i="10"/>
  <c r="M660" i="10"/>
  <c r="M661" i="10" s="1"/>
  <c r="K10" i="18"/>
  <c r="K15" i="18"/>
  <c r="AE45" i="10"/>
  <c r="J30" i="83"/>
  <c r="AB72" i="18"/>
  <c r="AE608" i="10"/>
  <c r="X26" i="12"/>
  <c r="N38" i="4"/>
  <c r="AN37" i="4"/>
  <c r="BU49" i="10"/>
  <c r="M50" i="10"/>
  <c r="AJ28" i="18"/>
  <c r="AR28" i="18" s="1"/>
  <c r="AW79" i="66"/>
  <c r="M184" i="12"/>
  <c r="M594" i="10"/>
  <c r="M593" i="10" s="1"/>
  <c r="K14" i="18"/>
  <c r="J29" i="83"/>
  <c r="N57" i="4"/>
  <c r="N58" i="4"/>
  <c r="AN58" i="4" s="1"/>
  <c r="N32" i="4"/>
  <c r="AN32" i="4" s="1"/>
  <c r="O19" i="18"/>
  <c r="AN21" i="4"/>
  <c r="J93" i="83"/>
  <c r="J43" i="63"/>
  <c r="J44" i="63" s="1"/>
  <c r="J53" i="17"/>
  <c r="W52" i="11"/>
  <c r="N47" i="4"/>
  <c r="O106" i="83"/>
  <c r="AN29" i="4"/>
  <c r="J45" i="17"/>
  <c r="P575" i="10" l="1"/>
  <c r="P578" i="10"/>
  <c r="W55" i="11"/>
  <c r="X45" i="11"/>
  <c r="J83" i="63"/>
  <c r="J24" i="63"/>
  <c r="N28" i="18"/>
  <c r="AE260" i="10"/>
  <c r="AE16" i="10" s="1"/>
  <c r="AE22" i="10" s="1"/>
  <c r="I60" i="66"/>
  <c r="I35" i="66"/>
  <c r="I34" i="66"/>
  <c r="I52" i="66"/>
  <c r="I36" i="66"/>
  <c r="I51" i="66"/>
  <c r="I24" i="66"/>
  <c r="I27" i="66"/>
  <c r="I25" i="66"/>
  <c r="I28" i="66"/>
  <c r="I29" i="66"/>
  <c r="I45" i="66"/>
  <c r="M11" i="38"/>
  <c r="K9" i="38"/>
  <c r="L12" i="38"/>
  <c r="M12" i="38" s="1"/>
  <c r="N12" i="38" s="1"/>
  <c r="O12" i="38" s="1"/>
  <c r="AS28" i="18"/>
  <c r="AS15" i="18"/>
  <c r="K50" i="18"/>
  <c r="K51" i="18"/>
  <c r="J74" i="83"/>
  <c r="J83" i="83" s="1"/>
  <c r="M261" i="10"/>
  <c r="M27" i="10" s="1"/>
  <c r="M24" i="10" s="1"/>
  <c r="M30" i="10" s="1"/>
  <c r="M22" i="10"/>
  <c r="M17" i="10"/>
  <c r="BS260" i="10"/>
  <c r="BT260" i="10" s="1"/>
  <c r="M264" i="10"/>
  <c r="N264" i="10" s="1"/>
  <c r="O264" i="10" s="1"/>
  <c r="P264" i="10" s="1"/>
  <c r="AE606" i="10"/>
  <c r="J41" i="83"/>
  <c r="AE601" i="10"/>
  <c r="J40" i="83"/>
  <c r="J35" i="83"/>
  <c r="N12" i="18"/>
  <c r="O12" i="18"/>
  <c r="K49" i="18"/>
  <c r="AF69" i="18"/>
  <c r="AE69" i="18"/>
  <c r="AD69" i="18"/>
  <c r="J34" i="83"/>
  <c r="J37" i="83"/>
  <c r="J23" i="83"/>
  <c r="J31" i="83" s="1"/>
  <c r="J38" i="83"/>
  <c r="AN57" i="4"/>
  <c r="N56" i="4"/>
  <c r="AN56" i="4" s="1"/>
  <c r="M601" i="10"/>
  <c r="M606" i="10" s="1"/>
  <c r="M608" i="10"/>
  <c r="M599" i="10"/>
  <c r="O10" i="18"/>
  <c r="K11" i="18"/>
  <c r="N10" i="18"/>
  <c r="I8" i="82"/>
  <c r="N8" i="82" s="1"/>
  <c r="I9" i="82"/>
  <c r="N9" i="82" s="1"/>
  <c r="I11" i="82"/>
  <c r="N11" i="82" s="1"/>
  <c r="W57" i="11"/>
  <c r="W47" i="11"/>
  <c r="M44" i="10"/>
  <c r="M39" i="10"/>
  <c r="O58" i="10"/>
  <c r="P58" i="10" s="1"/>
  <c r="X25" i="12"/>
  <c r="AE48" i="10"/>
  <c r="AE564" i="10"/>
  <c r="M630" i="10"/>
  <c r="V37" i="82"/>
  <c r="AE579" i="10"/>
  <c r="AE604" i="10"/>
  <c r="AF10" i="10"/>
  <c r="AE578" i="10"/>
  <c r="AE575" i="10"/>
  <c r="AE574" i="10"/>
  <c r="AE605" i="10"/>
  <c r="AE10" i="10"/>
  <c r="AE602" i="10"/>
  <c r="AE603" i="10"/>
  <c r="AE18" i="10"/>
  <c r="X13" i="12"/>
  <c r="X78" i="12" s="1"/>
  <c r="AE67" i="10"/>
  <c r="O25" i="4"/>
  <c r="AO25" i="4" s="1"/>
  <c r="J76" i="66"/>
  <c r="K17" i="63"/>
  <c r="N53" i="10"/>
  <c r="AA22" i="11"/>
  <c r="AA58" i="11" s="1"/>
  <c r="BY53" i="10" s="1"/>
  <c r="BA76" i="66" s="1"/>
  <c r="AJ14" i="18"/>
  <c r="AR14" i="18" s="1"/>
  <c r="AS14" i="18" s="1"/>
  <c r="AW69" i="66"/>
  <c r="M51" i="10"/>
  <c r="AE29" i="10"/>
  <c r="M40" i="10"/>
  <c r="J76" i="83" s="1"/>
  <c r="J75" i="83"/>
  <c r="J96" i="83" s="1"/>
  <c r="M35" i="10"/>
  <c r="W44" i="11"/>
  <c r="W94" i="11"/>
  <c r="W188" i="11"/>
  <c r="W45" i="11"/>
  <c r="W185" i="11"/>
  <c r="AB79" i="18"/>
  <c r="W186" i="11"/>
  <c r="W187" i="11"/>
  <c r="V260" i="11"/>
  <c r="BU9" i="10"/>
  <c r="BU50" i="10" s="1"/>
  <c r="O46" i="10"/>
  <c r="AE46" i="10"/>
  <c r="X24" i="12"/>
  <c r="N25" i="18"/>
  <c r="O25" i="18"/>
  <c r="L38" i="38"/>
  <c r="O602" i="10"/>
  <c r="AO23" i="4"/>
  <c r="J30" i="63"/>
  <c r="L27" i="38"/>
  <c r="W51" i="11"/>
  <c r="W53" i="11"/>
  <c r="BU47" i="10"/>
  <c r="N15" i="18"/>
  <c r="O15" i="18"/>
  <c r="X18" i="12"/>
  <c r="M580" i="10"/>
  <c r="N580" i="10" s="1"/>
  <c r="J39" i="83"/>
  <c r="AB73" i="18"/>
  <c r="K44" i="18"/>
  <c r="O8" i="18"/>
  <c r="K37" i="18"/>
  <c r="N8" i="18"/>
  <c r="K16" i="18"/>
  <c r="K26" i="18" s="1"/>
  <c r="W199" i="11" l="1"/>
  <c r="W197" i="11" s="1"/>
  <c r="W198" i="11" s="1"/>
  <c r="N19" i="82"/>
  <c r="F19" i="82" s="1"/>
  <c r="N20" i="82"/>
  <c r="F20" i="82" s="1"/>
  <c r="N18" i="82"/>
  <c r="F18" i="82" s="1"/>
  <c r="N21" i="82"/>
  <c r="F21" i="82" s="1"/>
  <c r="N654" i="10"/>
  <c r="AE17" i="10"/>
  <c r="N606" i="10"/>
  <c r="O606" i="10" s="1"/>
  <c r="P606" i="10" s="1"/>
  <c r="O580" i="10"/>
  <c r="N11" i="38"/>
  <c r="M9" i="38"/>
  <c r="M28" i="10"/>
  <c r="I12" i="66"/>
  <c r="L9" i="38"/>
  <c r="I30" i="66"/>
  <c r="N49" i="18"/>
  <c r="O49" i="18"/>
  <c r="O51" i="18"/>
  <c r="N51" i="18"/>
  <c r="N50" i="18"/>
  <c r="O50" i="18"/>
  <c r="O44" i="18"/>
  <c r="N44" i="18"/>
  <c r="N12" i="4"/>
  <c r="N36" i="10"/>
  <c r="M36" i="10"/>
  <c r="M41" i="10"/>
  <c r="M781" i="10" s="1"/>
  <c r="J84" i="83"/>
  <c r="J90" i="83" s="1"/>
  <c r="BS16" i="10"/>
  <c r="N260" i="10"/>
  <c r="O260" i="10" s="1"/>
  <c r="O262" i="10" s="1"/>
  <c r="O261" i="10" s="1"/>
  <c r="O27" i="10" s="1"/>
  <c r="O23" i="10" s="1"/>
  <c r="AT158" i="11" s="1"/>
  <c r="X84" i="12"/>
  <c r="P602" i="10"/>
  <c r="K46" i="18"/>
  <c r="K20" i="18"/>
  <c r="K39" i="18"/>
  <c r="O16" i="18"/>
  <c r="N16" i="18"/>
  <c r="P46" i="10"/>
  <c r="AB80" i="18"/>
  <c r="AF79" i="18"/>
  <c r="AD79" i="18"/>
  <c r="AE79" i="18"/>
  <c r="AE51" i="10"/>
  <c r="AE35" i="10"/>
  <c r="AE40" i="10"/>
  <c r="J29" i="63"/>
  <c r="J33" i="63" s="1"/>
  <c r="J51" i="63" s="1"/>
  <c r="L18" i="38"/>
  <c r="X83" i="12"/>
  <c r="AA25" i="11"/>
  <c r="AA62" i="11" s="1"/>
  <c r="K38" i="18"/>
  <c r="N11" i="18"/>
  <c r="O11" i="18"/>
  <c r="AB74" i="18"/>
  <c r="AD73" i="18"/>
  <c r="AE73" i="18"/>
  <c r="AF73" i="18"/>
  <c r="AG53" i="10"/>
  <c r="X20" i="12"/>
  <c r="X14" i="12"/>
  <c r="P574" i="10"/>
  <c r="L46" i="12"/>
  <c r="BT16" i="10"/>
  <c r="BU260" i="10"/>
  <c r="BU16" i="10" s="1"/>
  <c r="AW68" i="66"/>
  <c r="AJ12" i="18"/>
  <c r="AR12" i="18" s="1"/>
  <c r="AS12" i="18" s="1"/>
  <c r="BU48" i="10"/>
  <c r="AJ13" i="18"/>
  <c r="AW67" i="66"/>
  <c r="O24" i="4"/>
  <c r="AO24" i="4" s="1"/>
  <c r="X23" i="12"/>
  <c r="X82" i="12"/>
  <c r="M61" i="10"/>
  <c r="M52" i="10"/>
  <c r="J22" i="83"/>
  <c r="J42" i="83" s="1"/>
  <c r="R34" i="83" s="1"/>
  <c r="AE582" i="10"/>
  <c r="AE571" i="10"/>
  <c r="AE580" i="10" s="1"/>
  <c r="AE573" i="10"/>
  <c r="M638" i="10"/>
  <c r="M636" i="10"/>
  <c r="M644" i="10" s="1"/>
  <c r="W81" i="11"/>
  <c r="W65" i="11"/>
  <c r="AW9" i="66"/>
  <c r="BU18" i="10"/>
  <c r="BU10" i="10"/>
  <c r="AJ8" i="18"/>
  <c r="AR8" i="18" s="1"/>
  <c r="AS8" i="18" s="1"/>
  <c r="AW64" i="66"/>
  <c r="AW109" i="66" s="1"/>
  <c r="BU46" i="10"/>
  <c r="AW96" i="66"/>
  <c r="V54" i="82"/>
  <c r="V38" i="82"/>
  <c r="V36" i="82"/>
  <c r="W49" i="11"/>
  <c r="W200" i="11" s="1"/>
  <c r="W48" i="11"/>
  <c r="BU29" i="10"/>
  <c r="Q21" i="82" l="1"/>
  <c r="AF781" i="10"/>
  <c r="AG781" i="10"/>
  <c r="BY58" i="10"/>
  <c r="AG58" i="10" s="1"/>
  <c r="AE25" i="11"/>
  <c r="AE62" i="11" s="1"/>
  <c r="AR13" i="18"/>
  <c r="AS13" i="18" s="1"/>
  <c r="AJ50" i="18"/>
  <c r="O654" i="10"/>
  <c r="N601" i="10"/>
  <c r="N573" i="10"/>
  <c r="O601" i="10"/>
  <c r="P580" i="10"/>
  <c r="O573" i="10"/>
  <c r="N53" i="4"/>
  <c r="AN53" i="4" s="1"/>
  <c r="AN12" i="4"/>
  <c r="N45" i="4"/>
  <c r="O45" i="4"/>
  <c r="I56" i="66"/>
  <c r="I33" i="66"/>
  <c r="I37" i="66" s="1"/>
  <c r="I48" i="66"/>
  <c r="J48" i="66"/>
  <c r="O11" i="38"/>
  <c r="O9" i="38" s="1"/>
  <c r="N9" i="38"/>
  <c r="AJ51" i="18"/>
  <c r="N46" i="18"/>
  <c r="O46" i="18"/>
  <c r="R12" i="66"/>
  <c r="J97" i="83"/>
  <c r="O16" i="10"/>
  <c r="P260" i="10"/>
  <c r="N16" i="10"/>
  <c r="N9" i="10" s="1"/>
  <c r="N262" i="10"/>
  <c r="N261" i="10" s="1"/>
  <c r="N27" i="10" s="1"/>
  <c r="N23" i="10" s="1"/>
  <c r="BU40" i="10"/>
  <c r="BU35" i="10"/>
  <c r="BU51" i="10"/>
  <c r="BU52" i="10" s="1"/>
  <c r="BU61" i="10"/>
  <c r="W67" i="11"/>
  <c r="W84" i="11"/>
  <c r="AW110" i="66"/>
  <c r="AW94" i="66"/>
  <c r="L25" i="83"/>
  <c r="L16" i="12"/>
  <c r="AE10" i="11" s="1"/>
  <c r="AE46" i="11" s="1"/>
  <c r="O667" i="10"/>
  <c r="O660" i="10" s="1"/>
  <c r="J82" i="63"/>
  <c r="J84" i="63" s="1"/>
  <c r="J53" i="63"/>
  <c r="J55" i="63"/>
  <c r="J76" i="63"/>
  <c r="J78" i="63" s="1"/>
  <c r="BU23" i="10"/>
  <c r="K47" i="18"/>
  <c r="O26" i="18"/>
  <c r="K32" i="18"/>
  <c r="N26" i="18"/>
  <c r="K52" i="18"/>
  <c r="AJ37" i="18"/>
  <c r="AJ49" i="18"/>
  <c r="K45" i="18"/>
  <c r="K40" i="18"/>
  <c r="N20" i="18"/>
  <c r="O20" i="18"/>
  <c r="J91" i="83"/>
  <c r="J94" i="83"/>
  <c r="AW92" i="66"/>
  <c r="X81" i="12"/>
  <c r="AW108" i="66"/>
  <c r="AW95" i="66"/>
  <c r="M46" i="12"/>
  <c r="X80" i="12"/>
  <c r="X85" i="12"/>
  <c r="X30" i="12"/>
  <c r="AE52" i="10"/>
  <c r="AE61" i="10"/>
  <c r="N70" i="10" l="1"/>
  <c r="O70" i="10" s="1"/>
  <c r="N770" i="10"/>
  <c r="CC58" i="10"/>
  <c r="P573" i="10"/>
  <c r="P601" i="10"/>
  <c r="O33" i="10"/>
  <c r="O9" i="10"/>
  <c r="N10" i="10"/>
  <c r="N187" i="10"/>
  <c r="K13" i="12"/>
  <c r="L4" i="38"/>
  <c r="W37" i="82" s="1"/>
  <c r="N597" i="10"/>
  <c r="N779" i="10"/>
  <c r="AG779" i="10" s="1"/>
  <c r="N566" i="10"/>
  <c r="K26" i="83" s="1"/>
  <c r="N569" i="10"/>
  <c r="N592" i="10" s="1"/>
  <c r="N18" i="10"/>
  <c r="N300" i="10" s="1"/>
  <c r="N596" i="10"/>
  <c r="L6" i="38"/>
  <c r="L36" i="38" s="1"/>
  <c r="L37" i="38" s="1"/>
  <c r="K144" i="12" s="1"/>
  <c r="N801" i="10"/>
  <c r="N805" i="10" s="1"/>
  <c r="O52" i="18"/>
  <c r="N52" i="18"/>
  <c r="N45" i="10"/>
  <c r="K30" i="83" s="1"/>
  <c r="N595" i="10"/>
  <c r="N613" i="10" s="1"/>
  <c r="N598" i="10"/>
  <c r="K8" i="83"/>
  <c r="K23" i="83" s="1"/>
  <c r="I28" i="82"/>
  <c r="N17" i="10"/>
  <c r="N47" i="18"/>
  <c r="O47" i="18"/>
  <c r="N570" i="10"/>
  <c r="N565" i="10"/>
  <c r="N612" i="10" s="1"/>
  <c r="K27" i="83" s="1"/>
  <c r="N590" i="10"/>
  <c r="O45" i="18"/>
  <c r="N45" i="18"/>
  <c r="N29" i="10"/>
  <c r="J18" i="66" s="1"/>
  <c r="L5" i="38"/>
  <c r="L28" i="38" s="1"/>
  <c r="L29" i="38" s="1"/>
  <c r="M27" i="38" s="1"/>
  <c r="O22" i="10"/>
  <c r="AT156" i="11" s="1"/>
  <c r="N571" i="10"/>
  <c r="N599" i="10"/>
  <c r="J9" i="66"/>
  <c r="L74" i="83"/>
  <c r="P16" i="10"/>
  <c r="P262" i="10"/>
  <c r="P261" i="10" s="1"/>
  <c r="P27" i="10" s="1"/>
  <c r="P23" i="10" s="1"/>
  <c r="K25" i="83"/>
  <c r="N667" i="10"/>
  <c r="N660" i="10" s="1"/>
  <c r="N661" i="10" s="1"/>
  <c r="K16" i="12"/>
  <c r="N33" i="10"/>
  <c r="AS167" i="11" s="1"/>
  <c r="N22" i="10"/>
  <c r="AS156" i="11" s="1"/>
  <c r="K74" i="83"/>
  <c r="AW65" i="66"/>
  <c r="AJ10" i="18"/>
  <c r="AR10" i="18" s="1"/>
  <c r="AS10" i="18" s="1"/>
  <c r="AW78" i="66"/>
  <c r="BU63" i="10"/>
  <c r="BU65" i="10" s="1"/>
  <c r="J258" i="12"/>
  <c r="J89" i="17"/>
  <c r="P10" i="4"/>
  <c r="K48" i="18"/>
  <c r="N32" i="18"/>
  <c r="K41" i="18"/>
  <c r="O32" i="18"/>
  <c r="X35" i="12"/>
  <c r="X86" i="12"/>
  <c r="AV158" i="11"/>
  <c r="W68" i="11"/>
  <c r="W80" i="11" s="1"/>
  <c r="W70" i="11"/>
  <c r="X72" i="11" l="1"/>
  <c r="W73" i="11"/>
  <c r="O44" i="10"/>
  <c r="AT167" i="11"/>
  <c r="P667" i="10"/>
  <c r="P660" i="10" s="1"/>
  <c r="P661" i="10" s="1"/>
  <c r="AU158" i="11"/>
  <c r="K14" i="12"/>
  <c r="AA6" i="11"/>
  <c r="AA43" i="11" s="1"/>
  <c r="Z260" i="11" s="1"/>
  <c r="AI58" i="10"/>
  <c r="O770" i="10"/>
  <c r="K17" i="66"/>
  <c r="S17" i="66" s="1"/>
  <c r="O39" i="10"/>
  <c r="O4" i="4"/>
  <c r="O41" i="4" s="1"/>
  <c r="K131" i="12"/>
  <c r="K49" i="17" s="1"/>
  <c r="J64" i="66"/>
  <c r="J92" i="66" s="1"/>
  <c r="K44" i="17"/>
  <c r="K17" i="12"/>
  <c r="K18" i="12" s="1"/>
  <c r="K20" i="12" s="1"/>
  <c r="K57" i="17" s="1"/>
  <c r="K10" i="17"/>
  <c r="K13" i="17"/>
  <c r="K35" i="83"/>
  <c r="K34" i="83"/>
  <c r="M74" i="83"/>
  <c r="P9" i="10"/>
  <c r="P779" i="10" s="1"/>
  <c r="P104" i="83"/>
  <c r="K56" i="17"/>
  <c r="L8" i="83"/>
  <c r="L35" i="83" s="1"/>
  <c r="O187" i="10"/>
  <c r="K38" i="83"/>
  <c r="N40" i="10"/>
  <c r="K76" i="83" s="1"/>
  <c r="K75" i="83"/>
  <c r="K41" i="83"/>
  <c r="J24" i="66"/>
  <c r="J29" i="66"/>
  <c r="K37" i="83"/>
  <c r="L19" i="38"/>
  <c r="L20" i="38" s="1"/>
  <c r="M18" i="38" s="1"/>
  <c r="K24" i="12"/>
  <c r="K82" i="12" s="1"/>
  <c r="L30" i="38"/>
  <c r="K34" i="12" s="1"/>
  <c r="Y34" i="12" s="1"/>
  <c r="K30" i="63"/>
  <c r="L3" i="38"/>
  <c r="K207" i="12" s="1"/>
  <c r="K140" i="12"/>
  <c r="N589" i="10"/>
  <c r="O779" i="10"/>
  <c r="AH779" i="10" s="1"/>
  <c r="O597" i="10"/>
  <c r="O570" i="10"/>
  <c r="O17" i="10"/>
  <c r="O10" i="10"/>
  <c r="O801" i="10"/>
  <c r="O805" i="10" s="1"/>
  <c r="M6" i="38"/>
  <c r="M36" i="38" s="1"/>
  <c r="N594" i="10"/>
  <c r="O29" i="10"/>
  <c r="J28" i="82"/>
  <c r="O590" i="10"/>
  <c r="O599" i="10"/>
  <c r="N564" i="10"/>
  <c r="M35" i="38"/>
  <c r="M38" i="38" s="1"/>
  <c r="N35" i="10"/>
  <c r="M4" i="38"/>
  <c r="M19" i="38" s="1"/>
  <c r="O571" i="10"/>
  <c r="O595" i="10"/>
  <c r="O598" i="10"/>
  <c r="O565" i="10"/>
  <c r="O612" i="10" s="1"/>
  <c r="L27" i="83" s="1"/>
  <c r="O596" i="10"/>
  <c r="K9" i="66"/>
  <c r="M5" i="38"/>
  <c r="M28" i="38" s="1"/>
  <c r="M29" i="38" s="1"/>
  <c r="O566" i="10"/>
  <c r="O589" i="10" s="1"/>
  <c r="O45" i="10"/>
  <c r="L13" i="12"/>
  <c r="AE6" i="11" s="1"/>
  <c r="O18" i="10"/>
  <c r="O300" i="10" s="1"/>
  <c r="O569" i="10"/>
  <c r="O592" i="10" s="1"/>
  <c r="O48" i="18"/>
  <c r="N48" i="18"/>
  <c r="M16" i="12"/>
  <c r="Q10" i="4" s="1"/>
  <c r="N28" i="10"/>
  <c r="J25" i="66"/>
  <c r="J28" i="66"/>
  <c r="P22" i="10"/>
  <c r="AU156" i="11" s="1"/>
  <c r="J45" i="66"/>
  <c r="J27" i="66"/>
  <c r="M25" i="83"/>
  <c r="P33" i="10"/>
  <c r="AA10" i="11"/>
  <c r="AA46" i="11" s="1"/>
  <c r="O10" i="4"/>
  <c r="O661" i="10"/>
  <c r="K78" i="12"/>
  <c r="J17" i="66"/>
  <c r="N44" i="10"/>
  <c r="N39" i="10"/>
  <c r="X87" i="12"/>
  <c r="X50" i="12"/>
  <c r="AW66" i="66"/>
  <c r="AP10" i="4"/>
  <c r="K50" i="63"/>
  <c r="AJ11" i="18"/>
  <c r="AJ44" i="18"/>
  <c r="AJ16" i="18"/>
  <c r="N25" i="83"/>
  <c r="AW81" i="66"/>
  <c r="AW111" i="66"/>
  <c r="W76" i="11"/>
  <c r="W72" i="11"/>
  <c r="BU69" i="10"/>
  <c r="AB81" i="18"/>
  <c r="W71" i="11"/>
  <c r="N74" i="83"/>
  <c r="AV156" i="11"/>
  <c r="AV167" i="11"/>
  <c r="J60" i="66"/>
  <c r="J35" i="66"/>
  <c r="J34" i="66"/>
  <c r="J33" i="66"/>
  <c r="J52" i="66"/>
  <c r="BU67" i="10"/>
  <c r="BU66" i="10"/>
  <c r="W36" i="82"/>
  <c r="W38" i="82"/>
  <c r="N608" i="10" l="1"/>
  <c r="N593" i="10"/>
  <c r="K28" i="83"/>
  <c r="K39" i="83" s="1"/>
  <c r="N562" i="10"/>
  <c r="AR11" i="18"/>
  <c r="AS11" i="18" s="1"/>
  <c r="AJ21" i="18"/>
  <c r="AR21" i="18" s="1"/>
  <c r="AS21" i="18" s="1"/>
  <c r="K51" i="66"/>
  <c r="AA187" i="11"/>
  <c r="AA185" i="11"/>
  <c r="AA186" i="11"/>
  <c r="AA188" i="11"/>
  <c r="P44" i="10"/>
  <c r="AU167" i="11"/>
  <c r="O28" i="10"/>
  <c r="AB45" i="11"/>
  <c r="BY9" i="10"/>
  <c r="L30" i="83"/>
  <c r="L41" i="83" s="1"/>
  <c r="L78" i="12"/>
  <c r="AO10" i="4"/>
  <c r="O52" i="4"/>
  <c r="AO52" i="4" s="1"/>
  <c r="P187" i="10"/>
  <c r="P770" i="10"/>
  <c r="J120" i="66"/>
  <c r="J121" i="66" s="1"/>
  <c r="N656" i="10"/>
  <c r="AO4" i="4"/>
  <c r="K200" i="12"/>
  <c r="K61" i="63"/>
  <c r="K37" i="63"/>
  <c r="K51" i="17"/>
  <c r="AA7" i="11"/>
  <c r="AA44" i="11"/>
  <c r="AA94" i="11"/>
  <c r="K29" i="63"/>
  <c r="K33" i="63" s="1"/>
  <c r="L38" i="83"/>
  <c r="L23" i="83"/>
  <c r="L14" i="38"/>
  <c r="L34" i="83"/>
  <c r="N6" i="38"/>
  <c r="N36" i="38" s="1"/>
  <c r="N47" i="10"/>
  <c r="K25" i="12" s="1"/>
  <c r="K136" i="12"/>
  <c r="P18" i="10"/>
  <c r="P300" i="10" s="1"/>
  <c r="K141" i="12"/>
  <c r="K142" i="12" s="1"/>
  <c r="AA14" i="11"/>
  <c r="AA15" i="11" s="1"/>
  <c r="L21" i="38"/>
  <c r="K137" i="12" s="1"/>
  <c r="K28" i="82"/>
  <c r="I10" i="82" s="1"/>
  <c r="N10" i="82" s="1"/>
  <c r="N22" i="82" s="1"/>
  <c r="F22" i="82" s="1"/>
  <c r="K45" i="66"/>
  <c r="K29" i="66"/>
  <c r="J30" i="66"/>
  <c r="P29" i="10"/>
  <c r="L18" i="66" s="1"/>
  <c r="P570" i="10"/>
  <c r="P10" i="10"/>
  <c r="P598" i="10"/>
  <c r="P590" i="10"/>
  <c r="E49" i="16"/>
  <c r="K18" i="66"/>
  <c r="K60" i="66" s="1"/>
  <c r="O35" i="10"/>
  <c r="K104" i="12"/>
  <c r="K210" i="12" s="1"/>
  <c r="K80" i="17"/>
  <c r="P565" i="10"/>
  <c r="P612" i="10" s="1"/>
  <c r="M27" i="83" s="1"/>
  <c r="AI779" i="10"/>
  <c r="M13" i="12"/>
  <c r="N5" i="38"/>
  <c r="N28" i="38" s="1"/>
  <c r="P569" i="10"/>
  <c r="P592" i="10" s="1"/>
  <c r="L9" i="66"/>
  <c r="P596" i="10"/>
  <c r="P566" i="10"/>
  <c r="M26" i="83" s="1"/>
  <c r="M8" i="83"/>
  <c r="M34" i="83" s="1"/>
  <c r="P17" i="10"/>
  <c r="P571" i="10"/>
  <c r="P597" i="10"/>
  <c r="P45" i="10"/>
  <c r="M24" i="12" s="1"/>
  <c r="N4" i="38"/>
  <c r="N19" i="38" s="1"/>
  <c r="P599" i="10"/>
  <c r="P595" i="10"/>
  <c r="P613" i="10" s="1"/>
  <c r="N582" i="10"/>
  <c r="M37" i="38"/>
  <c r="N35" i="38" s="1"/>
  <c r="O40" i="10"/>
  <c r="L76" i="83" s="1"/>
  <c r="L44" i="17"/>
  <c r="L131" i="12"/>
  <c r="L200" i="12" s="1"/>
  <c r="L9" i="12"/>
  <c r="L75" i="83"/>
  <c r="P4" i="4"/>
  <c r="P52" i="4" s="1"/>
  <c r="AP52" i="4" s="1"/>
  <c r="K24" i="66"/>
  <c r="K64" i="66"/>
  <c r="S64" i="66" s="1"/>
  <c r="S9" i="66"/>
  <c r="L17" i="12"/>
  <c r="L18" i="12" s="1"/>
  <c r="L20" i="12" s="1"/>
  <c r="O594" i="10"/>
  <c r="L24" i="12"/>
  <c r="L26" i="83"/>
  <c r="L37" i="83" s="1"/>
  <c r="N49" i="10"/>
  <c r="K26" i="12" s="1"/>
  <c r="N588" i="10"/>
  <c r="M3" i="38"/>
  <c r="L207" i="12" s="1"/>
  <c r="O656" i="10" s="1"/>
  <c r="L17" i="66"/>
  <c r="AJ26" i="18"/>
  <c r="AR26" i="18" s="1"/>
  <c r="AS26" i="18" s="1"/>
  <c r="AR16" i="18"/>
  <c r="AS16" i="18" s="1"/>
  <c r="K25" i="66"/>
  <c r="X37" i="82"/>
  <c r="X38" i="82" s="1"/>
  <c r="O613" i="10"/>
  <c r="R9" i="66"/>
  <c r="L13" i="17"/>
  <c r="K28" i="66"/>
  <c r="O564" i="10"/>
  <c r="K27" i="66"/>
  <c r="L14" i="12"/>
  <c r="L56" i="17"/>
  <c r="L10" i="17"/>
  <c r="Q104" i="83"/>
  <c r="T104" i="83" s="1"/>
  <c r="P39" i="10"/>
  <c r="J36" i="66"/>
  <c r="J37" i="66" s="1"/>
  <c r="K80" i="12"/>
  <c r="AA11" i="11"/>
  <c r="AA47" i="11" s="1"/>
  <c r="K132" i="12"/>
  <c r="K48" i="17" s="1"/>
  <c r="K85" i="12"/>
  <c r="J65" i="66"/>
  <c r="J66" i="66" s="1"/>
  <c r="J103" i="66" s="1"/>
  <c r="O11" i="4"/>
  <c r="K42" i="17"/>
  <c r="K18" i="17"/>
  <c r="K147" i="12"/>
  <c r="K202" i="12" s="1"/>
  <c r="J51" i="66"/>
  <c r="K21" i="12"/>
  <c r="M20" i="38"/>
  <c r="N632" i="10"/>
  <c r="O20" i="4"/>
  <c r="AO20" i="4" s="1"/>
  <c r="BU68" i="10"/>
  <c r="W77" i="11"/>
  <c r="AW93" i="66"/>
  <c r="AW104" i="66"/>
  <c r="AW103" i="66"/>
  <c r="AW70" i="66"/>
  <c r="O25" i="83"/>
  <c r="S25" i="83" s="1"/>
  <c r="AJ38" i="18"/>
  <c r="M17" i="66"/>
  <c r="L30" i="63"/>
  <c r="L140" i="12"/>
  <c r="N27" i="38"/>
  <c r="X57" i="12"/>
  <c r="X88" i="12"/>
  <c r="X89" i="12"/>
  <c r="AJ20" i="18"/>
  <c r="AR20" i="18" s="1"/>
  <c r="AS20" i="18" s="1"/>
  <c r="AJ46" i="18"/>
  <c r="AJ39" i="18"/>
  <c r="AW106" i="66"/>
  <c r="AW88" i="66"/>
  <c r="AW89" i="66"/>
  <c r="AW83" i="66"/>
  <c r="AW99" i="66" s="1"/>
  <c r="O6" i="38"/>
  <c r="O36" i="38" s="1"/>
  <c r="L28" i="82"/>
  <c r="L34" i="82"/>
  <c r="N8" i="83"/>
  <c r="O5" i="38"/>
  <c r="O28" i="38" s="1"/>
  <c r="M9" i="66"/>
  <c r="M29" i="66" s="1"/>
  <c r="O4" i="38"/>
  <c r="AD81" i="18"/>
  <c r="AE81" i="18"/>
  <c r="AF81" i="18"/>
  <c r="AB83" i="18"/>
  <c r="AB82" i="18"/>
  <c r="AQ10" i="4"/>
  <c r="AA45" i="11"/>
  <c r="M30" i="38"/>
  <c r="L34" i="12" s="1"/>
  <c r="O608" i="10" l="1"/>
  <c r="O593" i="10"/>
  <c r="O588" i="10"/>
  <c r="O562" i="10"/>
  <c r="BY29" i="10"/>
  <c r="BY23" i="10" s="1"/>
  <c r="BA65" i="66" s="1"/>
  <c r="AA199" i="11"/>
  <c r="AA197" i="11" s="1"/>
  <c r="AA198" i="11" s="1"/>
  <c r="BY10" i="10"/>
  <c r="BA9" i="66"/>
  <c r="BA64" i="66"/>
  <c r="BA92" i="66" s="1"/>
  <c r="BY18" i="10"/>
  <c r="AE11" i="11"/>
  <c r="AE7" i="11"/>
  <c r="AE43" i="11"/>
  <c r="L82" i="12"/>
  <c r="AE14" i="11"/>
  <c r="L57" i="17"/>
  <c r="O44" i="4"/>
  <c r="AO11" i="4"/>
  <c r="N48" i="10"/>
  <c r="K139" i="12"/>
  <c r="W39" i="82" s="1"/>
  <c r="P35" i="10"/>
  <c r="AA50" i="11"/>
  <c r="BY45" i="10" s="1"/>
  <c r="P40" i="10"/>
  <c r="M76" i="83" s="1"/>
  <c r="M75" i="83"/>
  <c r="K33" i="12"/>
  <c r="P28" i="10"/>
  <c r="L42" i="17"/>
  <c r="K30" i="66"/>
  <c r="L28" i="66"/>
  <c r="L29" i="66"/>
  <c r="L27" i="66"/>
  <c r="L61" i="63"/>
  <c r="R18" i="66"/>
  <c r="K35" i="66"/>
  <c r="K52" i="66"/>
  <c r="S18" i="66"/>
  <c r="K34" i="66"/>
  <c r="K33" i="66"/>
  <c r="M14" i="12"/>
  <c r="K36" i="66"/>
  <c r="M131" i="12"/>
  <c r="Q4" i="4"/>
  <c r="L51" i="17"/>
  <c r="M23" i="83"/>
  <c r="K92" i="66"/>
  <c r="N51" i="10"/>
  <c r="K22" i="83" s="1"/>
  <c r="K42" i="83" s="1"/>
  <c r="K211" i="12"/>
  <c r="L37" i="63"/>
  <c r="L64" i="66"/>
  <c r="L92" i="66" s="1"/>
  <c r="M17" i="12"/>
  <c r="M18" i="12" s="1"/>
  <c r="L65" i="66" s="1"/>
  <c r="L49" i="17"/>
  <c r="M35" i="83"/>
  <c r="M78" i="12"/>
  <c r="M37" i="83"/>
  <c r="M38" i="83"/>
  <c r="Y37" i="82"/>
  <c r="Y38" i="82" s="1"/>
  <c r="M30" i="83"/>
  <c r="M41" i="83" s="1"/>
  <c r="P589" i="10"/>
  <c r="P41" i="4"/>
  <c r="O49" i="10"/>
  <c r="AP4" i="4"/>
  <c r="P564" i="10"/>
  <c r="N3" i="38"/>
  <c r="M207" i="12" s="1"/>
  <c r="R64" i="66"/>
  <c r="L25" i="66"/>
  <c r="P594" i="10"/>
  <c r="L45" i="66"/>
  <c r="L24" i="66"/>
  <c r="L21" i="12"/>
  <c r="L144" i="12"/>
  <c r="L85" i="12"/>
  <c r="K29" i="83"/>
  <c r="K40" i="83" s="1"/>
  <c r="N50" i="10"/>
  <c r="X36" i="82"/>
  <c r="L36" i="66"/>
  <c r="L147" i="12"/>
  <c r="L63" i="63" s="1"/>
  <c r="P11" i="4"/>
  <c r="L28" i="83"/>
  <c r="L39" i="83" s="1"/>
  <c r="L51" i="66"/>
  <c r="L80" i="12"/>
  <c r="L132" i="12"/>
  <c r="L50" i="17" s="1"/>
  <c r="L18" i="17"/>
  <c r="K65" i="66"/>
  <c r="K66" i="66" s="1"/>
  <c r="K93" i="66" s="1"/>
  <c r="O47" i="10"/>
  <c r="L104" i="12"/>
  <c r="L210" i="12" s="1"/>
  <c r="K120" i="66"/>
  <c r="K121" i="66" s="1"/>
  <c r="L80" i="17"/>
  <c r="F49" i="16"/>
  <c r="M14" i="38"/>
  <c r="O582" i="10"/>
  <c r="AA12" i="11"/>
  <c r="K62" i="63"/>
  <c r="AA13" i="11"/>
  <c r="J93" i="66"/>
  <c r="K201" i="12"/>
  <c r="K199" i="12" s="1"/>
  <c r="E48" i="16" s="1"/>
  <c r="K36" i="63"/>
  <c r="K50" i="17"/>
  <c r="K52" i="17"/>
  <c r="K40" i="63"/>
  <c r="K63" i="63"/>
  <c r="N30" i="83"/>
  <c r="M28" i="66"/>
  <c r="M25" i="66"/>
  <c r="M24" i="66"/>
  <c r="M45" i="66"/>
  <c r="M27" i="66"/>
  <c r="P9" i="66"/>
  <c r="P20" i="4"/>
  <c r="AP20" i="4" s="1"/>
  <c r="O632" i="10"/>
  <c r="AF83" i="18"/>
  <c r="AE83" i="18"/>
  <c r="AB84" i="18"/>
  <c r="AD83" i="18"/>
  <c r="N23" i="83"/>
  <c r="N34" i="83"/>
  <c r="O34" i="83" s="1"/>
  <c r="S35" i="83" s="1"/>
  <c r="R35" i="83" s="1"/>
  <c r="R36" i="83" s="1"/>
  <c r="P8" i="83"/>
  <c r="S8" i="83"/>
  <c r="AJ47" i="18"/>
  <c r="AJ32" i="18"/>
  <c r="AR32" i="18" s="1"/>
  <c r="AS32" i="18" s="1"/>
  <c r="AJ52" i="18"/>
  <c r="L33" i="66"/>
  <c r="L60" i="66"/>
  <c r="L34" i="66"/>
  <c r="L52" i="66"/>
  <c r="L35" i="66"/>
  <c r="N29" i="38"/>
  <c r="N30" i="38" s="1"/>
  <c r="N35" i="83"/>
  <c r="AG9" i="10"/>
  <c r="AH10" i="10" s="1"/>
  <c r="AW97" i="66"/>
  <c r="AW72" i="66"/>
  <c r="M82" i="12"/>
  <c r="N27" i="83"/>
  <c r="X90" i="12"/>
  <c r="AJ40" i="18"/>
  <c r="AJ45" i="18"/>
  <c r="AA49" i="11"/>
  <c r="AA200" i="11" s="1"/>
  <c r="AA201" i="11" s="1"/>
  <c r="AA48" i="11"/>
  <c r="N26" i="83"/>
  <c r="K83" i="12"/>
  <c r="J68" i="66"/>
  <c r="AA16" i="11"/>
  <c r="P105" i="83"/>
  <c r="K23" i="12"/>
  <c r="M64" i="66"/>
  <c r="O3" i="38"/>
  <c r="O19" i="38"/>
  <c r="Z37" i="82"/>
  <c r="Z38" i="82" s="1"/>
  <c r="N76" i="83"/>
  <c r="M18" i="66"/>
  <c r="M36" i="66" s="1"/>
  <c r="N75" i="83"/>
  <c r="L30" i="82"/>
  <c r="L32" i="82" s="1"/>
  <c r="I13" i="82"/>
  <c r="N13" i="82" s="1"/>
  <c r="N23" i="82" s="1"/>
  <c r="I14" i="82"/>
  <c r="N14" i="82" s="1"/>
  <c r="I12" i="82"/>
  <c r="N12" i="82" s="1"/>
  <c r="N24" i="82" s="1"/>
  <c r="F24" i="82" s="1"/>
  <c r="L141" i="12"/>
  <c r="M51" i="66"/>
  <c r="L136" i="12"/>
  <c r="L29" i="63"/>
  <c r="L33" i="63" s="1"/>
  <c r="N18" i="38"/>
  <c r="J69" i="66"/>
  <c r="AA18" i="11"/>
  <c r="K84" i="12"/>
  <c r="M21" i="38"/>
  <c r="L33" i="12" s="1"/>
  <c r="N38" i="38"/>
  <c r="N37" i="38" s="1"/>
  <c r="O35" i="38" s="1"/>
  <c r="P608" i="10" l="1"/>
  <c r="P593" i="10"/>
  <c r="M28" i="83"/>
  <c r="M39" i="83" s="1"/>
  <c r="P562" i="10"/>
  <c r="BY40" i="10"/>
  <c r="BY35" i="10"/>
  <c r="O35" i="83"/>
  <c r="S36" i="83" s="1"/>
  <c r="R37" i="83" s="1"/>
  <c r="BA45" i="66"/>
  <c r="BA11" i="66"/>
  <c r="N25" i="82"/>
  <c r="F25" i="82" s="1"/>
  <c r="F23" i="82"/>
  <c r="W52" i="82"/>
  <c r="W53" i="82" s="1"/>
  <c r="Y33" i="12"/>
  <c r="Y30" i="12" s="1"/>
  <c r="CC9" i="10"/>
  <c r="BY46" i="10"/>
  <c r="O48" i="10"/>
  <c r="L29" i="83"/>
  <c r="L40" i="83" s="1"/>
  <c r="BA66" i="66"/>
  <c r="AE15" i="11"/>
  <c r="AE50" i="11"/>
  <c r="AE94" i="11"/>
  <c r="AE45" i="11"/>
  <c r="AE44" i="11"/>
  <c r="AE13" i="11"/>
  <c r="AE12" i="11"/>
  <c r="AE47" i="11"/>
  <c r="Q52" i="4"/>
  <c r="AQ52" i="4" s="1"/>
  <c r="AS4" i="4"/>
  <c r="L120" i="66"/>
  <c r="L121" i="66" s="1"/>
  <c r="P656" i="10"/>
  <c r="AA51" i="11"/>
  <c r="K196" i="12"/>
  <c r="K86" i="17"/>
  <c r="P44" i="4"/>
  <c r="AP11" i="4"/>
  <c r="E47" i="16"/>
  <c r="O19" i="4"/>
  <c r="AO19" i="4" s="1"/>
  <c r="J73" i="66"/>
  <c r="AB73" i="66" s="1"/>
  <c r="AB74" i="66" s="1"/>
  <c r="N631" i="10"/>
  <c r="N629" i="10" s="1"/>
  <c r="K82" i="17"/>
  <c r="M37" i="63"/>
  <c r="M104" i="12"/>
  <c r="M210" i="12" s="1"/>
  <c r="M30" i="66"/>
  <c r="L30" i="66"/>
  <c r="AQ4" i="4"/>
  <c r="M200" i="12"/>
  <c r="M61" i="63"/>
  <c r="K37" i="66"/>
  <c r="N61" i="10"/>
  <c r="Q41" i="4"/>
  <c r="N52" i="10"/>
  <c r="N14" i="38"/>
  <c r="L26" i="12"/>
  <c r="L66" i="66"/>
  <c r="L93" i="66" s="1"/>
  <c r="P49" i="10"/>
  <c r="P50" i="10" s="1"/>
  <c r="Y36" i="82"/>
  <c r="K103" i="66"/>
  <c r="O50" i="10"/>
  <c r="M147" i="12"/>
  <c r="M20" i="12"/>
  <c r="M80" i="12" s="1"/>
  <c r="N80" i="12" s="1"/>
  <c r="M132" i="12"/>
  <c r="M201" i="12" s="1"/>
  <c r="P582" i="10"/>
  <c r="P588" i="10"/>
  <c r="L202" i="12"/>
  <c r="L50" i="63"/>
  <c r="L25" i="12"/>
  <c r="G49" i="16"/>
  <c r="L62" i="63"/>
  <c r="P47" i="10"/>
  <c r="M25" i="12" s="1"/>
  <c r="O51" i="10"/>
  <c r="K31" i="83"/>
  <c r="L48" i="17"/>
  <c r="L201" i="12"/>
  <c r="L36" i="63"/>
  <c r="S65" i="66"/>
  <c r="L52" i="17"/>
  <c r="L53" i="17" s="1"/>
  <c r="S66" i="66"/>
  <c r="L40" i="63"/>
  <c r="R66" i="66"/>
  <c r="R65" i="66"/>
  <c r="L211" i="12"/>
  <c r="K43" i="63"/>
  <c r="K44" i="63" s="1"/>
  <c r="I16" i="82"/>
  <c r="K53" i="17"/>
  <c r="K15" i="63"/>
  <c r="O14" i="38"/>
  <c r="J109" i="66"/>
  <c r="J96" i="66"/>
  <c r="M141" i="12"/>
  <c r="N37" i="63"/>
  <c r="N61" i="63"/>
  <c r="AA52" i="11"/>
  <c r="AA17" i="11"/>
  <c r="AA21" i="11"/>
  <c r="AG29" i="10"/>
  <c r="M34" i="12"/>
  <c r="L37" i="66"/>
  <c r="J108" i="66"/>
  <c r="J95" i="66"/>
  <c r="N37" i="83"/>
  <c r="O26" i="83"/>
  <c r="S26" i="83" s="1"/>
  <c r="N28" i="83"/>
  <c r="AW74" i="66"/>
  <c r="AW105" i="66"/>
  <c r="AW98" i="66"/>
  <c r="AW77" i="66"/>
  <c r="AG10" i="10"/>
  <c r="AG18" i="10"/>
  <c r="M140" i="12"/>
  <c r="M30" i="63"/>
  <c r="O27" i="38"/>
  <c r="O30" i="83"/>
  <c r="S30" i="83" s="1"/>
  <c r="N41" i="83"/>
  <c r="O38" i="38"/>
  <c r="O37" i="38" s="1"/>
  <c r="O631" i="10"/>
  <c r="O629" i="10" s="1"/>
  <c r="P19" i="4"/>
  <c r="AP19" i="4" s="1"/>
  <c r="K73" i="66"/>
  <c r="F47" i="16"/>
  <c r="L82" i="17"/>
  <c r="X52" i="82"/>
  <c r="L196" i="12"/>
  <c r="M120" i="66"/>
  <c r="M121" i="66" s="1"/>
  <c r="H49" i="16"/>
  <c r="I49" i="16" s="1"/>
  <c r="J49" i="16" s="1"/>
  <c r="K49" i="16" s="1"/>
  <c r="L49" i="16" s="1"/>
  <c r="M49" i="16" s="1"/>
  <c r="N49" i="16" s="1"/>
  <c r="O49" i="16" s="1"/>
  <c r="Q49" i="16" s="1"/>
  <c r="L137" i="12"/>
  <c r="L139" i="12" s="1"/>
  <c r="AG45" i="10"/>
  <c r="AG46" i="10" s="1"/>
  <c r="AJ41" i="18"/>
  <c r="AJ48" i="18"/>
  <c r="O23" i="83"/>
  <c r="N20" i="38"/>
  <c r="N21" i="38" s="1"/>
  <c r="M33" i="12" s="1"/>
  <c r="O27" i="83"/>
  <c r="S27" i="83" s="1"/>
  <c r="N38" i="83"/>
  <c r="M144" i="12"/>
  <c r="M34" i="66"/>
  <c r="M35" i="66"/>
  <c r="P18" i="66"/>
  <c r="M33" i="66"/>
  <c r="M52" i="66"/>
  <c r="M60" i="66"/>
  <c r="P64" i="66"/>
  <c r="M92" i="66"/>
  <c r="K43" i="17"/>
  <c r="K45" i="17" s="1"/>
  <c r="K87" i="83"/>
  <c r="K81" i="12"/>
  <c r="O15" i="4"/>
  <c r="J67" i="66"/>
  <c r="K30" i="12"/>
  <c r="L142" i="12"/>
  <c r="AA19" i="11"/>
  <c r="AA54" i="11"/>
  <c r="BY49" i="10" s="1"/>
  <c r="P654" i="10"/>
  <c r="M65" i="66"/>
  <c r="P65" i="66" s="1"/>
  <c r="P106" i="83"/>
  <c r="AO15" i="4" l="1"/>
  <c r="O56" i="4"/>
  <c r="BY47" i="10"/>
  <c r="BA67" i="66" s="1"/>
  <c r="BA104" i="66" s="1"/>
  <c r="CC29" i="10"/>
  <c r="AI29" i="10" s="1"/>
  <c r="AI35" i="10" s="1"/>
  <c r="AI9" i="10"/>
  <c r="AI10" i="10" s="1"/>
  <c r="O37" i="83"/>
  <c r="S37" i="83" s="1"/>
  <c r="R38" i="83" s="1"/>
  <c r="O41" i="83"/>
  <c r="S41" i="83" s="1"/>
  <c r="O38" i="83"/>
  <c r="S38" i="83" s="1"/>
  <c r="K88" i="83"/>
  <c r="K96" i="83" s="1"/>
  <c r="W55" i="82"/>
  <c r="W54" i="82"/>
  <c r="L31" i="83"/>
  <c r="CC10" i="10"/>
  <c r="Y35" i="12"/>
  <c r="Y86" i="12"/>
  <c r="AI18" i="10"/>
  <c r="CC18" i="10"/>
  <c r="BE64" i="66"/>
  <c r="BE92" i="66" s="1"/>
  <c r="BE9" i="66"/>
  <c r="BE45" i="66" s="1"/>
  <c r="BY61" i="10"/>
  <c r="BA78" i="66" s="1"/>
  <c r="L22" i="83"/>
  <c r="L42" i="83" s="1"/>
  <c r="BY50" i="10"/>
  <c r="BA69" i="66"/>
  <c r="BA68" i="66"/>
  <c r="BY51" i="10"/>
  <c r="BY52" i="10" s="1"/>
  <c r="CC23" i="10"/>
  <c r="AI23" i="10" s="1"/>
  <c r="AE51" i="11"/>
  <c r="CC45" i="10"/>
  <c r="AI45" i="10" s="1"/>
  <c r="BA93" i="66"/>
  <c r="BA103" i="66"/>
  <c r="K69" i="66"/>
  <c r="S69" i="66" s="1"/>
  <c r="AE18" i="11"/>
  <c r="AE49" i="11"/>
  <c r="AE48" i="11"/>
  <c r="Q105" i="83"/>
  <c r="Q106" i="83" s="1"/>
  <c r="AE16" i="11"/>
  <c r="M211" i="12"/>
  <c r="L199" i="12"/>
  <c r="L15" i="63" s="1"/>
  <c r="L84" i="12"/>
  <c r="M21" i="12"/>
  <c r="M29" i="83"/>
  <c r="M40" i="83" s="1"/>
  <c r="M26" i="12"/>
  <c r="M23" i="12" s="1"/>
  <c r="Q11" i="4"/>
  <c r="O52" i="10"/>
  <c r="L103" i="66"/>
  <c r="L23" i="12"/>
  <c r="M85" i="12"/>
  <c r="M36" i="63"/>
  <c r="L43" i="63"/>
  <c r="L44" i="63" s="1"/>
  <c r="M62" i="63"/>
  <c r="L83" i="12"/>
  <c r="K68" i="66"/>
  <c r="K95" i="66" s="1"/>
  <c r="M63" i="63"/>
  <c r="M40" i="63"/>
  <c r="M202" i="12"/>
  <c r="M199" i="12" s="1"/>
  <c r="P51" i="10"/>
  <c r="M22" i="83" s="1"/>
  <c r="M42" i="83" s="1"/>
  <c r="P48" i="10"/>
  <c r="M66" i="66"/>
  <c r="M103" i="66" s="1"/>
  <c r="M37" i="66"/>
  <c r="K86" i="12"/>
  <c r="K19" i="17"/>
  <c r="K14" i="17"/>
  <c r="O17" i="4"/>
  <c r="K58" i="17"/>
  <c r="K72" i="17"/>
  <c r="K31" i="12"/>
  <c r="K35" i="12"/>
  <c r="X54" i="82"/>
  <c r="X55" i="82"/>
  <c r="L88" i="83"/>
  <c r="J110" i="66"/>
  <c r="J94" i="66"/>
  <c r="J70" i="66"/>
  <c r="J97" i="66"/>
  <c r="J104" i="66"/>
  <c r="M142" i="12"/>
  <c r="M50" i="63"/>
  <c r="S23" i="83"/>
  <c r="R23" i="83" s="1"/>
  <c r="R24" i="83" s="1"/>
  <c r="R25" i="83" s="1"/>
  <c r="R26" i="83" s="1"/>
  <c r="R27" i="83" s="1"/>
  <c r="R28" i="83" s="1"/>
  <c r="M137" i="12"/>
  <c r="L68" i="66"/>
  <c r="M83" i="12"/>
  <c r="N83" i="12" s="1"/>
  <c r="AA55" i="11"/>
  <c r="N29" i="83"/>
  <c r="N31" i="83" s="1"/>
  <c r="N40" i="63"/>
  <c r="N63" i="63"/>
  <c r="X39" i="82"/>
  <c r="X53" i="82" s="1"/>
  <c r="L86" i="17"/>
  <c r="P632" i="10"/>
  <c r="Q20" i="4"/>
  <c r="AQ20" i="4" s="1"/>
  <c r="N36" i="63"/>
  <c r="N62" i="63"/>
  <c r="M196" i="12"/>
  <c r="P631" i="10"/>
  <c r="Y52" i="82"/>
  <c r="Q19" i="4"/>
  <c r="AQ19" i="4" s="1"/>
  <c r="G47" i="16"/>
  <c r="L73" i="66"/>
  <c r="S73" i="66"/>
  <c r="R73" i="66"/>
  <c r="AG23" i="10"/>
  <c r="M29" i="63"/>
  <c r="M33" i="63" s="1"/>
  <c r="M136" i="12"/>
  <c r="O18" i="38"/>
  <c r="O29" i="38"/>
  <c r="O30" i="38" s="1"/>
  <c r="N39" i="83"/>
  <c r="O28" i="83"/>
  <c r="S28" i="83" s="1"/>
  <c r="AG35" i="10"/>
  <c r="AG40" i="10"/>
  <c r="AA53" i="11"/>
  <c r="AA57" i="11"/>
  <c r="BY48" i="10" l="1"/>
  <c r="CC35" i="10"/>
  <c r="CC40" i="10"/>
  <c r="AI46" i="10"/>
  <c r="AI40" i="10"/>
  <c r="R39" i="83"/>
  <c r="O39" i="83"/>
  <c r="S39" i="83" s="1"/>
  <c r="R69" i="66"/>
  <c r="AA65" i="11"/>
  <c r="K109" i="66"/>
  <c r="K96" i="66"/>
  <c r="Y50" i="12"/>
  <c r="Y87" i="12"/>
  <c r="BA110" i="66"/>
  <c r="BA94" i="66"/>
  <c r="BA70" i="66"/>
  <c r="BA97" i="66" s="1"/>
  <c r="BA109" i="66"/>
  <c r="BA96" i="66"/>
  <c r="CC46" i="10"/>
  <c r="BE65" i="66"/>
  <c r="BE66" i="66" s="1"/>
  <c r="BA95" i="66"/>
  <c r="BA108" i="66"/>
  <c r="T105" i="83"/>
  <c r="T106" i="83" s="1"/>
  <c r="J123" i="83" s="1"/>
  <c r="AE17" i="11"/>
  <c r="AE52" i="11"/>
  <c r="CC47" i="10" s="1"/>
  <c r="AI47" i="10" s="1"/>
  <c r="AE21" i="11"/>
  <c r="AE19" i="11"/>
  <c r="AE54" i="11"/>
  <c r="F48" i="16"/>
  <c r="K67" i="66"/>
  <c r="K94" i="66" s="1"/>
  <c r="L30" i="12"/>
  <c r="L31" i="12" s="1"/>
  <c r="Q44" i="4"/>
  <c r="AQ11" i="4"/>
  <c r="M31" i="83"/>
  <c r="P15" i="4"/>
  <c r="L87" i="83"/>
  <c r="L81" i="12"/>
  <c r="M43" i="63"/>
  <c r="M44" i="63" s="1"/>
  <c r="L43" i="17"/>
  <c r="L45" i="17" s="1"/>
  <c r="L69" i="66"/>
  <c r="L96" i="66" s="1"/>
  <c r="M84" i="12"/>
  <c r="P52" i="10"/>
  <c r="K108" i="66"/>
  <c r="S68" i="66"/>
  <c r="G48" i="16"/>
  <c r="R68" i="66"/>
  <c r="M15" i="63"/>
  <c r="M93" i="66"/>
  <c r="P66" i="66"/>
  <c r="N43" i="63"/>
  <c r="N44" i="63" s="1"/>
  <c r="H48" i="16"/>
  <c r="I48" i="16" s="1"/>
  <c r="J48" i="16" s="1"/>
  <c r="K48" i="16" s="1"/>
  <c r="L48" i="16" s="1"/>
  <c r="M48" i="16" s="1"/>
  <c r="N48" i="16" s="1"/>
  <c r="O48" i="16" s="1"/>
  <c r="Q48" i="16" s="1"/>
  <c r="M139" i="12"/>
  <c r="Y55" i="82"/>
  <c r="M88" i="83"/>
  <c r="Y54" i="82"/>
  <c r="L67" i="66"/>
  <c r="Q15" i="4"/>
  <c r="M81" i="12"/>
  <c r="M87" i="83"/>
  <c r="M30" i="12"/>
  <c r="O29" i="83"/>
  <c r="S29" i="83" s="1"/>
  <c r="N40" i="83"/>
  <c r="N50" i="63"/>
  <c r="AG47" i="10"/>
  <c r="N30" i="63"/>
  <c r="N22" i="83"/>
  <c r="L95" i="66"/>
  <c r="L108" i="66"/>
  <c r="J20" i="66"/>
  <c r="J72" i="66"/>
  <c r="L96" i="83"/>
  <c r="P629" i="10"/>
  <c r="M68" i="66"/>
  <c r="M69" i="66"/>
  <c r="O20" i="38"/>
  <c r="AG49" i="10"/>
  <c r="AG50" i="10" s="1"/>
  <c r="R29" i="83"/>
  <c r="K59" i="17"/>
  <c r="K255" i="12"/>
  <c r="K20" i="17"/>
  <c r="K87" i="12"/>
  <c r="K77" i="83"/>
  <c r="K37" i="12"/>
  <c r="K36" i="12"/>
  <c r="E45" i="16"/>
  <c r="K71" i="17"/>
  <c r="K15" i="17"/>
  <c r="O21" i="4"/>
  <c r="O47" i="4" s="1"/>
  <c r="K50" i="12"/>
  <c r="K53" i="12" s="1"/>
  <c r="AA30" i="11" s="1"/>
  <c r="AA66" i="11" s="1"/>
  <c r="AO17" i="4"/>
  <c r="O55" i="4"/>
  <c r="AO55" i="4" s="1"/>
  <c r="AQ15" i="4" l="1"/>
  <c r="Q56" i="4"/>
  <c r="AP15" i="4"/>
  <c r="P56" i="4"/>
  <c r="R40" i="83"/>
  <c r="O40" i="83"/>
  <c r="S40" i="83" s="1"/>
  <c r="Y57" i="12"/>
  <c r="Y90" i="12" s="1"/>
  <c r="Y89" i="12"/>
  <c r="Y88" i="12"/>
  <c r="BA72" i="66"/>
  <c r="BA105" i="66" s="1"/>
  <c r="AI48" i="10"/>
  <c r="AE55" i="11"/>
  <c r="CC49" i="10"/>
  <c r="AI49" i="10" s="1"/>
  <c r="AI50" i="10" s="1"/>
  <c r="BE68" i="66"/>
  <c r="CC48" i="10"/>
  <c r="BE93" i="66"/>
  <c r="BE103" i="66"/>
  <c r="AE57" i="11"/>
  <c r="AE53" i="11"/>
  <c r="K104" i="66"/>
  <c r="K70" i="66"/>
  <c r="R70" i="66" s="1"/>
  <c r="S67" i="66"/>
  <c r="K110" i="66"/>
  <c r="K97" i="66"/>
  <c r="R67" i="66"/>
  <c r="P17" i="4"/>
  <c r="P55" i="4" s="1"/>
  <c r="AP55" i="4" s="1"/>
  <c r="L72" i="17"/>
  <c r="L58" i="17"/>
  <c r="L14" i="17"/>
  <c r="L86" i="12"/>
  <c r="L19" i="17"/>
  <c r="L35" i="12"/>
  <c r="L255" i="12" s="1"/>
  <c r="L109" i="66"/>
  <c r="R30" i="83"/>
  <c r="O21" i="83"/>
  <c r="N15" i="63"/>
  <c r="M67" i="66"/>
  <c r="M96" i="83"/>
  <c r="Y39" i="82"/>
  <c r="Y53" i="82" s="1"/>
  <c r="AG48" i="10"/>
  <c r="AG51" i="10"/>
  <c r="M95" i="66"/>
  <c r="P68" i="66"/>
  <c r="M108" i="66"/>
  <c r="E46" i="16"/>
  <c r="E50" i="16" s="1"/>
  <c r="R31" i="83"/>
  <c r="N42" i="83"/>
  <c r="O42" i="83" s="1"/>
  <c r="N29" i="63"/>
  <c r="N33" i="63" s="1"/>
  <c r="AA29" i="11"/>
  <c r="J78" i="66"/>
  <c r="K88" i="12"/>
  <c r="O29" i="4"/>
  <c r="K51" i="12"/>
  <c r="K21" i="17"/>
  <c r="K57" i="12"/>
  <c r="J6" i="16" s="1"/>
  <c r="J98" i="66"/>
  <c r="J74" i="66"/>
  <c r="J105" i="66"/>
  <c r="L110" i="66"/>
  <c r="L94" i="66"/>
  <c r="L70" i="66"/>
  <c r="L97" i="66"/>
  <c r="L104" i="66"/>
  <c r="P69" i="66"/>
  <c r="M109" i="66"/>
  <c r="M96" i="66"/>
  <c r="AO21" i="4"/>
  <c r="O57" i="4"/>
  <c r="K93" i="83"/>
  <c r="O21" i="38"/>
  <c r="Q17" i="4"/>
  <c r="M31" i="12"/>
  <c r="M86" i="12"/>
  <c r="M35" i="12"/>
  <c r="R41" i="83" l="1"/>
  <c r="BA74" i="66"/>
  <c r="BA98" i="66"/>
  <c r="BA77" i="66"/>
  <c r="AI51" i="10"/>
  <c r="BE108" i="66"/>
  <c r="BE95" i="66"/>
  <c r="CC50" i="10"/>
  <c r="BE69" i="66"/>
  <c r="CC51" i="10"/>
  <c r="BE67" i="66"/>
  <c r="K20" i="66"/>
  <c r="S20" i="66" s="1"/>
  <c r="K72" i="66"/>
  <c r="K105" i="66" s="1"/>
  <c r="S70" i="66"/>
  <c r="AP17" i="4"/>
  <c r="L37" i="12"/>
  <c r="F45" i="16"/>
  <c r="F46" i="16" s="1"/>
  <c r="F50" i="16" s="1"/>
  <c r="L77" i="83"/>
  <c r="L20" i="17"/>
  <c r="L59" i="17"/>
  <c r="L36" i="12"/>
  <c r="L87" i="12"/>
  <c r="L15" i="17"/>
  <c r="P21" i="4"/>
  <c r="AP21" i="4" s="1"/>
  <c r="L71" i="17"/>
  <c r="J77" i="66"/>
  <c r="O31" i="4"/>
  <c r="BY62" i="10"/>
  <c r="J79" i="66"/>
  <c r="J111" i="66" s="1"/>
  <c r="N62" i="10"/>
  <c r="K23" i="63"/>
  <c r="K26" i="63"/>
  <c r="N65" i="10"/>
  <c r="AA34" i="11"/>
  <c r="AA40" i="11" s="1"/>
  <c r="K68" i="12"/>
  <c r="K161" i="12" s="1"/>
  <c r="K22" i="17"/>
  <c r="K25" i="17" s="1"/>
  <c r="K60" i="12"/>
  <c r="K59" i="12"/>
  <c r="K60" i="17"/>
  <c r="AA31" i="11"/>
  <c r="AA32" i="11" s="1"/>
  <c r="K58" i="12"/>
  <c r="K90" i="12"/>
  <c r="K248" i="12" s="1"/>
  <c r="K37" i="17"/>
  <c r="K36" i="17"/>
  <c r="O35" i="4"/>
  <c r="K183" i="12"/>
  <c r="K194" i="12"/>
  <c r="K61" i="12"/>
  <c r="W56" i="82"/>
  <c r="Q55" i="4"/>
  <c r="AQ55" i="4" s="1"/>
  <c r="AQ17" i="4"/>
  <c r="AG61" i="10"/>
  <c r="AG52" i="10"/>
  <c r="M110" i="66"/>
  <c r="M94" i="66"/>
  <c r="P67" i="66"/>
  <c r="M97" i="66"/>
  <c r="M70" i="66"/>
  <c r="M104" i="66"/>
  <c r="Q21" i="4"/>
  <c r="G45" i="16"/>
  <c r="M36" i="12"/>
  <c r="M87" i="12"/>
  <c r="M37" i="12"/>
  <c r="M255" i="12"/>
  <c r="M77" i="83"/>
  <c r="AO57" i="4"/>
  <c r="AO56" i="4"/>
  <c r="N63" i="10"/>
  <c r="L72" i="66"/>
  <c r="L20" i="66"/>
  <c r="O58" i="4"/>
  <c r="AO58" i="4" s="1"/>
  <c r="AO29" i="4"/>
  <c r="S72" i="66"/>
  <c r="R42" i="83"/>
  <c r="AI52" i="10" l="1"/>
  <c r="CC52" i="10"/>
  <c r="BE96" i="66"/>
  <c r="BE109" i="66"/>
  <c r="BY63" i="10"/>
  <c r="BY65" i="10" s="1"/>
  <c r="BA79" i="66"/>
  <c r="BE110" i="66"/>
  <c r="BE94" i="66"/>
  <c r="BE70" i="66"/>
  <c r="BE104" i="66"/>
  <c r="R20" i="66"/>
  <c r="K98" i="66"/>
  <c r="K74" i="66"/>
  <c r="R74" i="66" s="1"/>
  <c r="R72" i="66"/>
  <c r="L93" i="83"/>
  <c r="P47" i="4"/>
  <c r="P57" i="4"/>
  <c r="AP57" i="4" s="1"/>
  <c r="J81" i="66"/>
  <c r="J106" i="66" s="1"/>
  <c r="K163" i="12"/>
  <c r="H47" i="16"/>
  <c r="I47" i="16" s="1"/>
  <c r="J47" i="16" s="1"/>
  <c r="K47" i="16" s="1"/>
  <c r="L47" i="16" s="1"/>
  <c r="M47" i="16" s="1"/>
  <c r="N47" i="16" s="1"/>
  <c r="O47" i="16" s="1"/>
  <c r="Q47" i="16" s="1"/>
  <c r="M73" i="66"/>
  <c r="P73" i="66" s="1"/>
  <c r="Z52" i="82"/>
  <c r="N87" i="83"/>
  <c r="M72" i="66"/>
  <c r="P70" i="66"/>
  <c r="M20" i="66"/>
  <c r="P20" i="66" s="1"/>
  <c r="O59" i="4"/>
  <c r="AO59" i="4" s="1"/>
  <c r="AO35" i="4"/>
  <c r="O48" i="4"/>
  <c r="K39" i="17"/>
  <c r="K77" i="17"/>
  <c r="K67" i="12"/>
  <c r="F51" i="16"/>
  <c r="M93" i="83"/>
  <c r="AA36" i="11"/>
  <c r="AA35" i="11"/>
  <c r="AA37" i="11"/>
  <c r="L105" i="66"/>
  <c r="L98" i="66"/>
  <c r="L74" i="66"/>
  <c r="G46" i="16"/>
  <c r="G50" i="16" s="1"/>
  <c r="F60" i="16" s="1"/>
  <c r="F61" i="16" s="1"/>
  <c r="K204" i="12"/>
  <c r="N591" i="10"/>
  <c r="N66" i="10"/>
  <c r="N4" i="10"/>
  <c r="N67" i="10"/>
  <c r="AA84" i="11"/>
  <c r="AA67" i="11"/>
  <c r="E54" i="16"/>
  <c r="E55" i="16" s="1"/>
  <c r="Q47" i="4"/>
  <c r="AQ21" i="4"/>
  <c r="Q57" i="4"/>
  <c r="K7" i="17"/>
  <c r="K8" i="17" s="1"/>
  <c r="J7" i="16"/>
  <c r="O37" i="4"/>
  <c r="N68" i="10"/>
  <c r="N5" i="10" s="1"/>
  <c r="N6" i="10" s="1"/>
  <c r="K61" i="17"/>
  <c r="K5" i="12"/>
  <c r="K7" i="12" s="1"/>
  <c r="K69" i="12"/>
  <c r="O32" i="4"/>
  <c r="AO32" i="4" s="1"/>
  <c r="AO31" i="4"/>
  <c r="E60" i="16"/>
  <c r="E61" i="16" s="1"/>
  <c r="BA111" i="66" l="1"/>
  <c r="BA81" i="66"/>
  <c r="BY67" i="10"/>
  <c r="BY66" i="10"/>
  <c r="BE97" i="66"/>
  <c r="BE72" i="66"/>
  <c r="S74" i="66"/>
  <c r="AP56" i="4"/>
  <c r="AQ56" i="4"/>
  <c r="AQ57" i="4"/>
  <c r="J88" i="66"/>
  <c r="J99" i="66"/>
  <c r="J83" i="66"/>
  <c r="J100" i="66" s="1"/>
  <c r="J89" i="66"/>
  <c r="AA70" i="11"/>
  <c r="AA68" i="11"/>
  <c r="AA80" i="11" s="1"/>
  <c r="Z39" i="82"/>
  <c r="Z53" i="82" s="1"/>
  <c r="L64" i="12"/>
  <c r="L66" i="12" s="1"/>
  <c r="L213" i="12" s="1"/>
  <c r="K150" i="12"/>
  <c r="G51" i="16"/>
  <c r="F54" i="16"/>
  <c r="F55" i="16" s="1"/>
  <c r="N88" i="83"/>
  <c r="Z55" i="82"/>
  <c r="Z54" i="82"/>
  <c r="K11" i="17"/>
  <c r="M105" i="66"/>
  <c r="P72" i="66"/>
  <c r="M74" i="66"/>
  <c r="P74" i="66" s="1"/>
  <c r="M98" i="66"/>
  <c r="O38" i="4"/>
  <c r="AO37" i="4"/>
  <c r="J8" i="16"/>
  <c r="J16" i="16"/>
  <c r="AG62" i="10"/>
  <c r="AG63" i="10" s="1"/>
  <c r="AG65" i="10" s="1"/>
  <c r="J117" i="66"/>
  <c r="J118" i="66" s="1"/>
  <c r="K226" i="12"/>
  <c r="K227" i="12" s="1"/>
  <c r="J114" i="66"/>
  <c r="J115" i="66" s="1"/>
  <c r="K224" i="12"/>
  <c r="K205" i="12"/>
  <c r="K14" i="63"/>
  <c r="K21" i="63" s="1"/>
  <c r="K83" i="17"/>
  <c r="K165" i="12"/>
  <c r="K178" i="12"/>
  <c r="K38" i="17"/>
  <c r="K9" i="17" s="1"/>
  <c r="K256" i="12"/>
  <c r="K257" i="12" s="1"/>
  <c r="K33" i="17"/>
  <c r="AA71" i="11" l="1"/>
  <c r="AA74" i="11"/>
  <c r="BE98" i="66"/>
  <c r="BE74" i="66"/>
  <c r="BE105" i="66"/>
  <c r="AB72" i="11"/>
  <c r="BY69" i="10"/>
  <c r="BA83" i="66"/>
  <c r="BA88" i="66"/>
  <c r="BA106" i="66"/>
  <c r="BA89" i="66"/>
  <c r="L220" i="12"/>
  <c r="J126" i="66"/>
  <c r="K230" i="12"/>
  <c r="N77" i="83"/>
  <c r="N93" i="83" s="1"/>
  <c r="H45" i="16"/>
  <c r="N96" i="83"/>
  <c r="AG66" i="10"/>
  <c r="AG67" i="10"/>
  <c r="AA76" i="11"/>
  <c r="BY68" i="10" s="1"/>
  <c r="AA72" i="11"/>
  <c r="K25" i="63"/>
  <c r="K83" i="63"/>
  <c r="K24" i="63"/>
  <c r="K130" i="12"/>
  <c r="K95" i="12" s="1"/>
  <c r="L96" i="12" s="1"/>
  <c r="K151" i="12"/>
  <c r="BA99" i="66" l="1"/>
  <c r="AZ90" i="66"/>
  <c r="AA77" i="11"/>
  <c r="K59" i="63"/>
  <c r="K65" i="63" s="1"/>
  <c r="K73" i="63" s="1"/>
  <c r="L39" i="12"/>
  <c r="K134" i="12"/>
  <c r="C68" i="16"/>
  <c r="C70" i="16" s="1"/>
  <c r="M26" i="16" s="1"/>
  <c r="K84" i="17"/>
  <c r="K49" i="63"/>
  <c r="K51" i="63" s="1"/>
  <c r="K70" i="17"/>
  <c r="K85" i="17"/>
  <c r="K180" i="12"/>
  <c r="K239" i="12"/>
  <c r="K66" i="17"/>
  <c r="K168" i="12"/>
  <c r="K241" i="12"/>
  <c r="H46" i="16"/>
  <c r="I45" i="16"/>
  <c r="K156" i="12"/>
  <c r="I46" i="16" l="1"/>
  <c r="I50" i="16" s="1"/>
  <c r="P23" i="4"/>
  <c r="L38" i="12"/>
  <c r="AE22" i="11" s="1"/>
  <c r="AE58" i="11" s="1"/>
  <c r="K76" i="63"/>
  <c r="K78" i="63" s="1"/>
  <c r="K81" i="17"/>
  <c r="K65" i="17"/>
  <c r="K179" i="12"/>
  <c r="K145" i="12"/>
  <c r="K64" i="17"/>
  <c r="K32" i="17"/>
  <c r="H50" i="16"/>
  <c r="K53" i="63"/>
  <c r="K82" i="63"/>
  <c r="K84" i="63" s="1"/>
  <c r="K55" i="63"/>
  <c r="J45" i="16"/>
  <c r="K166" i="12"/>
  <c r="AE65" i="11" l="1"/>
  <c r="CC53" i="10"/>
  <c r="AI53" i="10" s="1"/>
  <c r="AI61" i="10" s="1"/>
  <c r="J46" i="16"/>
  <c r="J50" i="16" s="1"/>
  <c r="H60" i="16"/>
  <c r="H61" i="16" s="1"/>
  <c r="H51" i="16"/>
  <c r="H54" i="16"/>
  <c r="H52" i="16" s="1"/>
  <c r="G60" i="16"/>
  <c r="G61" i="16" s="1"/>
  <c r="G54" i="16"/>
  <c r="G55" i="16" s="1"/>
  <c r="I51" i="16"/>
  <c r="K69" i="17"/>
  <c r="K170" i="12"/>
  <c r="K45" i="16"/>
  <c r="K89" i="17"/>
  <c r="K258" i="12"/>
  <c r="K87" i="17"/>
  <c r="K250" i="12"/>
  <c r="K27" i="17"/>
  <c r="K26" i="17"/>
  <c r="K249" i="12"/>
  <c r="K31" i="17"/>
  <c r="P25" i="4"/>
  <c r="AP25" i="4" s="1"/>
  <c r="K76" i="66"/>
  <c r="O53" i="10"/>
  <c r="L17" i="63"/>
  <c r="L50" i="12"/>
  <c r="AE29" i="11" s="1"/>
  <c r="AP23" i="4"/>
  <c r="BE76" i="66" l="1"/>
  <c r="CC61" i="10"/>
  <c r="BE78" i="66" s="1"/>
  <c r="O61" i="10"/>
  <c r="P24" i="4"/>
  <c r="AP24" i="4" s="1"/>
  <c r="K28" i="17"/>
  <c r="J51" i="16"/>
  <c r="I60" i="16"/>
  <c r="I61" i="16" s="1"/>
  <c r="P29" i="4"/>
  <c r="L21" i="17"/>
  <c r="K78" i="66"/>
  <c r="L51" i="12"/>
  <c r="L88" i="12"/>
  <c r="L53" i="12"/>
  <c r="AE30" i="11" s="1"/>
  <c r="AE66" i="11" s="1"/>
  <c r="CC62" i="10" s="1"/>
  <c r="AI62" i="10" s="1"/>
  <c r="AI63" i="10" s="1"/>
  <c r="AI65" i="10" s="1"/>
  <c r="H55" i="16"/>
  <c r="L45" i="16"/>
  <c r="K252" i="12"/>
  <c r="K46" i="16"/>
  <c r="AI67" i="10" l="1"/>
  <c r="AI66" i="10"/>
  <c r="BE77" i="66"/>
  <c r="CC63" i="10"/>
  <c r="CC65" i="10" s="1"/>
  <c r="BE79" i="66"/>
  <c r="BE111" i="66" s="1"/>
  <c r="AE84" i="11"/>
  <c r="AE67" i="11"/>
  <c r="L46" i="16"/>
  <c r="L50" i="16" s="1"/>
  <c r="K50" i="16"/>
  <c r="J54" i="16" s="1"/>
  <c r="J52" i="16" s="1"/>
  <c r="S78" i="66"/>
  <c r="R78" i="66"/>
  <c r="K77" i="66"/>
  <c r="K79" i="66"/>
  <c r="K111" i="66" s="1"/>
  <c r="O62" i="10"/>
  <c r="P31" i="4"/>
  <c r="L26" i="63"/>
  <c r="L23" i="63"/>
  <c r="L57" i="12"/>
  <c r="K6" i="16" s="1"/>
  <c r="K229" i="12"/>
  <c r="J125" i="66"/>
  <c r="O63" i="10"/>
  <c r="M45" i="16"/>
  <c r="P58" i="4"/>
  <c r="AP58" i="4" s="1"/>
  <c r="AP29" i="4"/>
  <c r="BE81" i="66" l="1"/>
  <c r="CC67" i="10"/>
  <c r="CC66" i="10"/>
  <c r="AE68" i="11"/>
  <c r="AE70" i="11"/>
  <c r="AE34" i="11"/>
  <c r="AE31" i="11"/>
  <c r="AE32" i="11" s="1"/>
  <c r="J60" i="16"/>
  <c r="J61" i="16" s="1"/>
  <c r="K81" i="66"/>
  <c r="S81" i="66" s="1"/>
  <c r="K51" i="16"/>
  <c r="J55" i="16"/>
  <c r="L51" i="16"/>
  <c r="K54" i="16"/>
  <c r="K60" i="16"/>
  <c r="K61" i="16" s="1"/>
  <c r="L61" i="12"/>
  <c r="L90" i="12"/>
  <c r="L248" i="12" s="1"/>
  <c r="L68" i="12"/>
  <c r="L161" i="12" s="1"/>
  <c r="L22" i="17"/>
  <c r="L25" i="17" s="1"/>
  <c r="L194" i="12"/>
  <c r="O65" i="10"/>
  <c r="L37" i="17"/>
  <c r="L59" i="12"/>
  <c r="P35" i="4"/>
  <c r="L58" i="12"/>
  <c r="L183" i="12"/>
  <c r="L60" i="17"/>
  <c r="L36" i="17"/>
  <c r="L10" i="12"/>
  <c r="L60" i="12"/>
  <c r="X56" i="82"/>
  <c r="P32" i="4"/>
  <c r="AP32" i="4" s="1"/>
  <c r="AP31" i="4"/>
  <c r="N45" i="16"/>
  <c r="M46" i="16"/>
  <c r="CC69" i="10" l="1"/>
  <c r="AE80" i="11"/>
  <c r="BE106" i="66"/>
  <c r="BE89" i="66"/>
  <c r="BE88" i="66"/>
  <c r="BE83" i="66"/>
  <c r="BE99" i="66" s="1"/>
  <c r="AE71" i="11"/>
  <c r="AE72" i="11"/>
  <c r="AE76" i="11"/>
  <c r="AE35" i="11"/>
  <c r="AE36" i="11"/>
  <c r="AE37" i="11"/>
  <c r="K88" i="66"/>
  <c r="R88" i="66" s="1"/>
  <c r="K106" i="66"/>
  <c r="K89" i="66"/>
  <c r="R89" i="66" s="1"/>
  <c r="K99" i="66"/>
  <c r="K83" i="66"/>
  <c r="S83" i="66" s="1"/>
  <c r="R81" i="66"/>
  <c r="L204" i="12"/>
  <c r="K52" i="16"/>
  <c r="K55" i="16"/>
  <c r="L163" i="12"/>
  <c r="L33" i="17" s="1"/>
  <c r="AP35" i="4"/>
  <c r="P59" i="4"/>
  <c r="AP59" i="4" s="1"/>
  <c r="P48" i="4"/>
  <c r="L77" i="17"/>
  <c r="L39" i="17"/>
  <c r="L67" i="12"/>
  <c r="O45" i="16"/>
  <c r="N46" i="16"/>
  <c r="M50" i="16"/>
  <c r="L7" i="17"/>
  <c r="L8" i="17" s="1"/>
  <c r="O68" i="10"/>
  <c r="O5" i="10" s="1"/>
  <c r="O6" i="10" s="1"/>
  <c r="K7" i="16"/>
  <c r="K12" i="16" s="1"/>
  <c r="L5" i="12"/>
  <c r="L7" i="12" s="1"/>
  <c r="L61" i="17"/>
  <c r="P37" i="4"/>
  <c r="D8" i="17"/>
  <c r="L69" i="12"/>
  <c r="O67" i="10"/>
  <c r="O66" i="10"/>
  <c r="O4" i="10"/>
  <c r="O591" i="10"/>
  <c r="J12" i="16" l="1"/>
  <c r="S88" i="66"/>
  <c r="AE77" i="11"/>
  <c r="CC68" i="10"/>
  <c r="S89" i="66"/>
  <c r="K100" i="66"/>
  <c r="R83" i="66"/>
  <c r="O46" i="16"/>
  <c r="Q46" i="16" s="1"/>
  <c r="L11" i="17"/>
  <c r="AP37" i="4"/>
  <c r="P38" i="4"/>
  <c r="N50" i="16"/>
  <c r="M60" i="16" s="1"/>
  <c r="M61" i="16" s="1"/>
  <c r="Q45" i="16"/>
  <c r="L224" i="12"/>
  <c r="K117" i="66"/>
  <c r="K118" i="66" s="1"/>
  <c r="K114" i="66"/>
  <c r="K115" i="66" s="1"/>
  <c r="L14" i="63"/>
  <c r="L21" i="63" s="1"/>
  <c r="L226" i="12"/>
  <c r="L227" i="12" s="1"/>
  <c r="L205" i="12"/>
  <c r="L83" i="17"/>
  <c r="K8" i="16"/>
  <c r="K16" i="16"/>
  <c r="O8" i="16"/>
  <c r="P8" i="16"/>
  <c r="L256" i="12"/>
  <c r="L257" i="12" s="1"/>
  <c r="L178" i="12"/>
  <c r="L165" i="12"/>
  <c r="L38" i="17"/>
  <c r="L9" i="17" s="1"/>
  <c r="M51" i="16"/>
  <c r="L60" i="16"/>
  <c r="L61" i="16" s="1"/>
  <c r="M64" i="12"/>
  <c r="M66" i="12" s="1"/>
  <c r="M213" i="12" s="1"/>
  <c r="L150" i="12"/>
  <c r="K14" i="16" l="1"/>
  <c r="O50" i="16"/>
  <c r="M54" i="16" s="1"/>
  <c r="M52" i="16" s="1"/>
  <c r="L151" i="12"/>
  <c r="P12" i="16"/>
  <c r="I15" i="16"/>
  <c r="J14" i="16"/>
  <c r="K15" i="16"/>
  <c r="J15" i="16"/>
  <c r="L130" i="12"/>
  <c r="L95" i="12" s="1"/>
  <c r="L83" i="63"/>
  <c r="L24" i="63"/>
  <c r="L25" i="63"/>
  <c r="K126" i="66"/>
  <c r="L230" i="12"/>
  <c r="N51" i="16"/>
  <c r="N54" i="16"/>
  <c r="N52" i="16" s="1"/>
  <c r="L54" i="16"/>
  <c r="M220" i="12"/>
  <c r="O51" i="16" l="1"/>
  <c r="O60" i="16"/>
  <c r="O61" i="16" s="1"/>
  <c r="O54" i="16"/>
  <c r="O52" i="16" s="1"/>
  <c r="M55" i="16"/>
  <c r="N60" i="16"/>
  <c r="N61" i="16" s="1"/>
  <c r="Q50" i="16"/>
  <c r="L156" i="12"/>
  <c r="N55" i="16"/>
  <c r="L52" i="16"/>
  <c r="L55" i="16"/>
  <c r="L134" i="12"/>
  <c r="L84" i="17"/>
  <c r="L241" i="12"/>
  <c r="L168" i="12"/>
  <c r="L85" i="17"/>
  <c r="L66" i="17"/>
  <c r="M96" i="12"/>
  <c r="M39" i="12" s="1"/>
  <c r="L239" i="12"/>
  <c r="L49" i="63"/>
  <c r="L51" i="63" s="1"/>
  <c r="L180" i="12"/>
  <c r="L70" i="17"/>
  <c r="L59" i="63"/>
  <c r="L65" i="63" s="1"/>
  <c r="L73" i="63" s="1"/>
  <c r="M25" i="16" l="1"/>
  <c r="M28" i="16" s="1"/>
  <c r="O55" i="16"/>
  <c r="L82" i="63"/>
  <c r="L84" i="63" s="1"/>
  <c r="L55" i="63"/>
  <c r="L76" i="63"/>
  <c r="L78" i="63" s="1"/>
  <c r="L166" i="12"/>
  <c r="L53" i="63"/>
  <c r="Q23" i="4"/>
  <c r="M38" i="12"/>
  <c r="L179" i="12"/>
  <c r="L81" i="17"/>
  <c r="L145" i="12"/>
  <c r="L64" i="17"/>
  <c r="L65" i="17"/>
  <c r="L32" i="17"/>
  <c r="M30" i="16" l="1"/>
  <c r="M33" i="16" s="1"/>
  <c r="M35" i="16" s="1"/>
  <c r="L27" i="17"/>
  <c r="L26" i="17"/>
  <c r="L31" i="17"/>
  <c r="L89" i="17"/>
  <c r="L258" i="12"/>
  <c r="L69" i="17"/>
  <c r="L170" i="12"/>
  <c r="L250" i="12"/>
  <c r="L87" i="17"/>
  <c r="L249" i="12"/>
  <c r="AQ23" i="4"/>
  <c r="P53" i="10"/>
  <c r="P61" i="10" s="1"/>
  <c r="M17" i="63"/>
  <c r="Q25" i="4"/>
  <c r="AQ25" i="4" s="1"/>
  <c r="L76" i="66"/>
  <c r="M50" i="12"/>
  <c r="F67" i="16" l="1"/>
  <c r="L28" i="17"/>
  <c r="Q24" i="4"/>
  <c r="AQ24" i="4" s="1"/>
  <c r="Q29" i="4"/>
  <c r="L78" i="66"/>
  <c r="M53" i="12"/>
  <c r="M51" i="12"/>
  <c r="M88" i="12"/>
  <c r="L252" i="12"/>
  <c r="K125" i="66" l="1"/>
  <c r="L229" i="12"/>
  <c r="L79" i="66"/>
  <c r="L111" i="66" s="1"/>
  <c r="P62" i="10"/>
  <c r="Q31" i="4"/>
  <c r="M23" i="63"/>
  <c r="M26" i="63"/>
  <c r="M57" i="12"/>
  <c r="L77" i="66"/>
  <c r="P63" i="10"/>
  <c r="Q58" i="4"/>
  <c r="AQ58" i="4" s="1"/>
  <c r="AQ29" i="4"/>
  <c r="N57" i="12" l="1"/>
  <c r="L6" i="16"/>
  <c r="L81" i="66"/>
  <c r="L99" i="66" s="1"/>
  <c r="M90" i="12"/>
  <c r="M68" i="12"/>
  <c r="P65" i="10"/>
  <c r="M61" i="12"/>
  <c r="M194" i="12"/>
  <c r="Q35" i="4"/>
  <c r="AS35" i="4" s="1"/>
  <c r="M183" i="12"/>
  <c r="M58" i="12"/>
  <c r="M60" i="12"/>
  <c r="Y56" i="82"/>
  <c r="Q32" i="4"/>
  <c r="AQ32" i="4" s="1"/>
  <c r="AQ31" i="4"/>
  <c r="M248" i="12" l="1"/>
  <c r="N90" i="12"/>
  <c r="L89" i="66"/>
  <c r="L83" i="66"/>
  <c r="L100" i="66" s="1"/>
  <c r="L88" i="66"/>
  <c r="L106" i="66"/>
  <c r="M5" i="12"/>
  <c r="M7" i="12" s="1"/>
  <c r="P68" i="10"/>
  <c r="P5" i="10" s="1"/>
  <c r="P6" i="10" s="1"/>
  <c r="Q37" i="4"/>
  <c r="L7" i="16"/>
  <c r="M69" i="12"/>
  <c r="M204" i="12"/>
  <c r="P4" i="10"/>
  <c r="P591" i="10"/>
  <c r="P67" i="10"/>
  <c r="P66" i="10"/>
  <c r="AQ35" i="4"/>
  <c r="Q59" i="4"/>
  <c r="AQ59" i="4" s="1"/>
  <c r="Q48" i="4"/>
  <c r="M67" i="12"/>
  <c r="M161" i="12"/>
  <c r="L12" i="16" l="1"/>
  <c r="L14" i="16" s="1"/>
  <c r="S8" i="16"/>
  <c r="R8" i="16"/>
  <c r="L8" i="16"/>
  <c r="L16" i="16"/>
  <c r="L15" i="16"/>
  <c r="M150" i="12"/>
  <c r="AQ37" i="4"/>
  <c r="Q38" i="4"/>
  <c r="L117" i="66"/>
  <c r="L118" i="66" s="1"/>
  <c r="M226" i="12"/>
  <c r="M227" i="12" s="1"/>
  <c r="M224" i="12"/>
  <c r="L114" i="66"/>
  <c r="L115" i="66" s="1"/>
  <c r="M205" i="12"/>
  <c r="M14" i="63"/>
  <c r="M21" i="63" s="1"/>
  <c r="M163" i="12"/>
  <c r="M178" i="12" l="1"/>
  <c r="M256" i="12"/>
  <c r="M257" i="12" s="1"/>
  <c r="M165" i="12"/>
  <c r="M130" i="12"/>
  <c r="M95" i="12" s="1"/>
  <c r="M24" i="63"/>
  <c r="M25" i="63"/>
  <c r="M83" i="63"/>
  <c r="M151" i="12"/>
  <c r="L126" i="66" l="1"/>
  <c r="M230" i="12"/>
  <c r="M156" i="12"/>
  <c r="M134" i="12"/>
  <c r="M180" i="12"/>
  <c r="M49" i="63"/>
  <c r="M51" i="63" s="1"/>
  <c r="M59" i="63"/>
  <c r="M65" i="63" s="1"/>
  <c r="M73" i="63" s="1"/>
  <c r="M168" i="12"/>
  <c r="M241" i="12"/>
  <c r="M239" i="12"/>
  <c r="M82" i="63" l="1"/>
  <c r="M84" i="63" s="1"/>
  <c r="M55" i="63"/>
  <c r="M258" i="12" s="1"/>
  <c r="M53" i="63"/>
  <c r="M166" i="12"/>
  <c r="M145" i="12"/>
  <c r="M179" i="12"/>
  <c r="M76" i="63"/>
  <c r="M78" i="63" s="1"/>
  <c r="M250" i="12" l="1"/>
  <c r="M249" i="12"/>
  <c r="M170" i="12"/>
  <c r="N17" i="63"/>
  <c r="M76" i="66"/>
  <c r="M252" i="12" l="1"/>
  <c r="M229" i="12" s="1"/>
  <c r="M78" i="66"/>
  <c r="L125" i="66" l="1"/>
  <c r="M79" i="66"/>
  <c r="M111" i="66" s="1"/>
  <c r="N23" i="63"/>
  <c r="N26" i="63"/>
  <c r="M6" i="16"/>
  <c r="P78" i="66"/>
  <c r="M77" i="66"/>
  <c r="M81" i="66" l="1"/>
  <c r="M88" i="66" s="1"/>
  <c r="P88" i="66" s="1"/>
  <c r="Z56" i="82"/>
  <c r="M83" i="66" l="1"/>
  <c r="P83" i="66" s="1"/>
  <c r="P81" i="66"/>
  <c r="M106" i="66"/>
  <c r="M99" i="66"/>
  <c r="M89" i="66"/>
  <c r="P89" i="66" s="1"/>
  <c r="M7" i="16"/>
  <c r="M12" i="16" s="1"/>
  <c r="M100" i="66" l="1"/>
  <c r="M126" i="66"/>
  <c r="M14" i="16"/>
  <c r="Q8" i="16"/>
  <c r="M8" i="16"/>
  <c r="M117" i="66"/>
  <c r="M118" i="66" s="1"/>
  <c r="N14" i="63"/>
  <c r="N21" i="63" s="1"/>
  <c r="M114" i="66"/>
  <c r="M115" i="66" s="1"/>
  <c r="N24" i="63" l="1"/>
  <c r="N25" i="63"/>
  <c r="N83" i="63"/>
  <c r="N59" i="63" l="1"/>
  <c r="N65" i="63" s="1"/>
  <c r="N73" i="63" s="1"/>
  <c r="N49" i="63"/>
  <c r="N51" i="63" s="1"/>
  <c r="N53" i="63" l="1"/>
  <c r="N82" i="63"/>
  <c r="N84" i="63" s="1"/>
  <c r="N55" i="63"/>
  <c r="N76" i="63"/>
  <c r="N78" i="63" s="1"/>
  <c r="M125" i="66" l="1"/>
  <c r="L185" i="10" l="1"/>
  <c r="L193" i="10" l="1"/>
  <c r="M193" i="10" l="1"/>
  <c r="L198" i="10"/>
  <c r="L774" i="10"/>
  <c r="F8" i="80"/>
  <c r="G9" i="80" s="1"/>
  <c r="C4" i="80"/>
  <c r="C5" i="80" l="1"/>
  <c r="D5" i="80" s="1"/>
  <c r="E6" i="80" s="1"/>
  <c r="F7" i="80" s="1"/>
  <c r="G8" i="80" s="1"/>
  <c r="H10" i="80" s="1"/>
  <c r="L778" i="10"/>
  <c r="L789" i="10" s="1"/>
  <c r="K4" i="80"/>
  <c r="N8" i="80"/>
  <c r="O9" i="80" s="1"/>
  <c r="K5" i="80" l="1"/>
  <c r="L5" i="80" s="1"/>
  <c r="M6" i="80" s="1"/>
  <c r="N7" i="80" s="1"/>
  <c r="O8" i="80" s="1"/>
  <c r="P10" i="80" s="1"/>
  <c r="S134" i="11" l="1"/>
  <c r="S136" i="11" s="1"/>
  <c r="L205" i="10"/>
  <c r="M206" i="10" s="1"/>
  <c r="AC203" i="10"/>
  <c r="AE204" i="10" s="1"/>
  <c r="L218" i="10"/>
  <c r="M219" i="10" s="1"/>
  <c r="AC218" i="10" l="1"/>
  <c r="AC219" i="10" s="1"/>
  <c r="AE220" i="10" s="1"/>
  <c r="W135" i="11"/>
  <c r="S147" i="11"/>
  <c r="W148" i="11" s="1"/>
  <c r="W137" i="11"/>
  <c r="L221" i="10"/>
  <c r="M222" i="10" s="1"/>
  <c r="AC205" i="10"/>
  <c r="AE206" i="10" s="1"/>
  <c r="S145" i="11"/>
  <c r="W146" i="11" s="1"/>
  <c r="M774" i="10" l="1"/>
  <c r="N812" i="10" s="1"/>
  <c r="M778" i="10" l="1"/>
  <c r="N816" i="10" s="1"/>
  <c r="M185" i="10"/>
  <c r="M187" i="10" s="1"/>
  <c r="M789" i="10" l="1"/>
  <c r="AF778" i="10"/>
  <c r="AG778" i="10"/>
  <c r="M198" i="10"/>
  <c r="N199" i="10" s="1"/>
  <c r="AS157" i="11" s="1"/>
  <c r="AS158" i="11" s="1"/>
  <c r="M186" i="10"/>
  <c r="N186" i="10"/>
  <c r="I79" i="83" l="1"/>
  <c r="J79" i="83" l="1"/>
  <c r="K79" i="83" s="1"/>
  <c r="L79" i="83" s="1"/>
  <c r="M79" i="83" s="1"/>
  <c r="N79" i="83" s="1"/>
  <c r="K80" i="83" l="1"/>
  <c r="K83" i="83" l="1"/>
  <c r="K84" i="83" s="1"/>
  <c r="K82" i="83"/>
  <c r="K81" i="83"/>
  <c r="L80" i="83"/>
  <c r="L83" i="83" l="1"/>
  <c r="L84" i="83" s="1"/>
  <c r="L82" i="83"/>
  <c r="L81" i="83"/>
  <c r="K85" i="83"/>
  <c r="K90" i="83"/>
  <c r="K97" i="83"/>
  <c r="K94" i="83" l="1"/>
  <c r="K91" i="83"/>
  <c r="L85" i="83"/>
  <c r="L90" i="83"/>
  <c r="L97" i="83"/>
  <c r="L94" i="83" l="1"/>
  <c r="L91" i="83"/>
  <c r="N80" i="83" l="1"/>
  <c r="M80" i="83"/>
  <c r="M83" i="83" l="1"/>
  <c r="M84" i="83" s="1"/>
  <c r="M81" i="83"/>
  <c r="M82" i="83"/>
  <c r="N83" i="83"/>
  <c r="N84" i="83" s="1"/>
  <c r="N82" i="83"/>
  <c r="N81" i="83"/>
  <c r="N85" i="83" l="1"/>
  <c r="N90" i="83"/>
  <c r="N97" i="83"/>
  <c r="M97" i="83"/>
  <c r="M85" i="83"/>
  <c r="M90" i="83"/>
  <c r="M94" i="83" l="1"/>
  <c r="M91" i="83"/>
  <c r="N91" i="83"/>
  <c r="N94" i="83"/>
  <c r="T110" i="83" l="1"/>
  <c r="T111" i="83" s="1"/>
  <c r="J124" i="83" s="1"/>
  <c r="Q111" i="83"/>
  <c r="U166" i="11" l="1"/>
  <c r="U155" i="11" l="1"/>
  <c r="U157" i="11" s="1"/>
  <c r="U168" i="11" s="1"/>
  <c r="Y169" i="11" s="1"/>
  <c r="T195" i="11"/>
  <c r="AM168" i="11"/>
  <c r="Y156" i="11" l="1"/>
  <c r="Y158" i="11"/>
  <c r="W155" i="11"/>
  <c r="W166" i="11" s="1"/>
  <c r="V195" i="11" s="1"/>
  <c r="W157" i="11"/>
  <c r="W168" i="11" s="1"/>
  <c r="AA169" i="11" s="1"/>
  <c r="AM157" i="11"/>
  <c r="AM158" i="11"/>
  <c r="T196" i="11"/>
  <c r="T197" i="11"/>
  <c r="T198" i="11" s="1"/>
  <c r="AM169" i="11"/>
  <c r="AN157" i="11" l="1"/>
  <c r="AA156" i="11"/>
  <c r="AA158" i="11"/>
  <c r="AN158" i="11"/>
  <c r="V196" i="11"/>
  <c r="V197" i="11"/>
  <c r="V198" i="11" s="1"/>
  <c r="AN168" i="11"/>
  <c r="AA167" i="11"/>
  <c r="AN169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Liu, Leaf [GIR]</author>
  </authors>
  <commentList>
    <comment ref="N23" authorId="0" shapeId="0" xr:uid="{3E1D4996-317C-4B66-8B61-8735010FCD4F}">
      <text>
        <r>
          <rPr>
            <b/>
            <sz val="9"/>
            <color indexed="81"/>
            <rFont val="Tahoma"/>
            <family val="2"/>
          </rPr>
          <t>Liu, Leaf [GIR]:</t>
        </r>
        <r>
          <rPr>
            <sz val="9"/>
            <color indexed="81"/>
            <rFont val="Tahoma"/>
            <family val="2"/>
          </rPr>
          <t xml:space="preserve">
finanical investment of AFS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denlis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Source: DATASTREAM
Static Data: CN:FHT;X~U$,X(WC05301); ;
Last Refreshed: 1/26/2018 3:30:33 PM
3 Columns
3 Rows</t>
        </r>
      </text>
    </comment>
    <comment ref="A31" authorId="0" shapeId="0" xr:uid="{00000000-0006-0000-0D00-000002000000}">
      <text>
        <r>
          <rPr>
            <b/>
            <sz val="8"/>
            <color indexed="81"/>
            <rFont val="Tahoma"/>
            <family val="2"/>
          </rPr>
          <t>denlis:</t>
        </r>
        <r>
          <rPr>
            <sz val="8"/>
            <color indexed="81"/>
            <rFont val="Tahoma"/>
            <family val="2"/>
          </rPr>
          <t xml:space="preserve">
for land use rights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Sun, Luna [GIR]</author>
  </authors>
  <commentList>
    <comment ref="B5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Sun, Luna [GIR]:</t>
        </r>
        <r>
          <rPr>
            <sz val="9"/>
            <color indexed="81"/>
            <rFont val="Tahoma"/>
            <family val="2"/>
          </rPr>
          <t xml:space="preserve">
                其他收益/资产处置收益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Liu, Leaf [GIR]</author>
  </authors>
  <commentList>
    <comment ref="A82" authorId="0" shapeId="0" xr:uid="{244ED9B3-1347-4724-B981-6B8D446208AA}">
      <text>
        <r>
          <rPr>
            <b/>
            <sz val="9"/>
            <color indexed="81"/>
            <rFont val="Tahoma"/>
            <family val="2"/>
          </rPr>
          <t>Liu, Leaf [GIR]:</t>
        </r>
        <r>
          <rPr>
            <sz val="9"/>
            <color indexed="81"/>
            <rFont val="Tahoma"/>
            <family val="2"/>
          </rPr>
          <t xml:space="preserve">
银行大额存单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Zhong, Hongda [GIR]</author>
  </authors>
  <commentList>
    <comment ref="U30" authorId="0" shapeId="0" xr:uid="{EFD79B4A-054C-4EA2-AECA-690240C78230}">
      <text>
        <r>
          <rPr>
            <b/>
            <sz val="9"/>
            <color indexed="81"/>
            <rFont val="Tahoma"/>
            <family val="2"/>
          </rPr>
          <t>Zhong, Hongda [GIR]:</t>
        </r>
        <r>
          <rPr>
            <sz val="9"/>
            <color indexed="81"/>
            <rFont val="Tahoma"/>
            <family val="2"/>
          </rPr>
          <t xml:space="preserve">
gs assumption</t>
        </r>
      </text>
    </comment>
    <comment ref="U32" authorId="0" shapeId="0" xr:uid="{06B71164-7525-48A9-9614-21D6B499C87F}">
      <text>
        <r>
          <rPr>
            <b/>
            <sz val="9"/>
            <color indexed="81"/>
            <rFont val="Tahoma"/>
            <family val="2"/>
          </rPr>
          <t>Zhong, Hongda [GIR]:</t>
        </r>
        <r>
          <rPr>
            <sz val="9"/>
            <color indexed="81"/>
            <rFont val="Tahoma"/>
            <family val="2"/>
          </rPr>
          <t xml:space="preserve">
30months from Sep2024</t>
        </r>
      </text>
    </comment>
    <comment ref="F71" authorId="0" shapeId="0" xr:uid="{1B86934D-7141-47B8-A7E4-D2AEB5AB5E9E}">
      <text>
        <r>
          <rPr>
            <b/>
            <sz val="9"/>
            <color indexed="81"/>
            <rFont val="Tahoma"/>
            <family val="2"/>
          </rPr>
          <t>Zhong, Hongda [GIR]:</t>
        </r>
        <r>
          <rPr>
            <sz val="9"/>
            <color indexed="81"/>
            <rFont val="Tahoma"/>
            <family val="2"/>
          </rPr>
          <t xml:space="preserve">
3月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Zhong, Hongda [GIR]</author>
  </authors>
  <commentList>
    <comment ref="L22" authorId="0" shapeId="0" xr:uid="{62BC06ED-D2FA-4706-B6FB-A20E3280DDCB}">
      <text>
        <r>
          <rPr>
            <b/>
            <sz val="9"/>
            <color indexed="81"/>
            <rFont val="Tahoma"/>
            <family val="2"/>
          </rPr>
          <t>Zhong, Hongda [GIR]:</t>
        </r>
        <r>
          <rPr>
            <sz val="9"/>
            <color indexed="81"/>
            <rFont val="Tahoma"/>
            <family val="2"/>
          </rPr>
          <t xml:space="preserve">
adjust to consider 3 new factories' capex are not yet starting depreciating until 2027/2028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Paras Mehta</author>
  </authors>
  <commentList>
    <comment ref="B7" authorId="0" shapeId="0" xr:uid="{00000000-0006-0000-0E00-000001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Annual Average Share  Price/EPS 
</t>
        </r>
      </text>
    </comment>
    <comment ref="B8" authorId="0" shapeId="0" xr:uid="{00000000-0006-0000-0E00-000002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PE Ratio/EPS 2 year CAGR
</t>
        </r>
      </text>
    </comment>
    <comment ref="B9" authorId="0" shapeId="0" xr:uid="{00000000-0006-0000-0E00-000003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Annual Average Share  Price/BVPS
</t>
        </r>
      </text>
    </comment>
    <comment ref="B10" authorId="0" shapeId="0" xr:uid="{00000000-0006-0000-0E00-000004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Price per share/Sales per share
</t>
        </r>
      </text>
    </comment>
    <comment ref="B11" authorId="0" shapeId="0" xr:uid="{00000000-0006-0000-0E00-000005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Dividend per share/Current Market Price</t>
        </r>
      </text>
    </comment>
    <comment ref="B12" authorId="0" shapeId="0" xr:uid="{00000000-0006-0000-0E00-000006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Total Market Capitalization + Net Debt + Minority Interests</t>
        </r>
      </text>
    </comment>
    <comment ref="B13" authorId="0" shapeId="0" xr:uid="{00000000-0006-0000-0E00-000007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EV/Total Sales </t>
        </r>
      </text>
    </comment>
    <comment ref="B14" authorId="0" shapeId="0" xr:uid="{00000000-0006-0000-0E00-000008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EV/EBITDA</t>
        </r>
      </text>
    </comment>
    <comment ref="B15" authorId="0" shapeId="0" xr:uid="{00000000-0006-0000-0E00-000009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EV/EBIT</t>
        </r>
      </text>
    </comment>
    <comment ref="B18" authorId="0" shapeId="0" xr:uid="{00000000-0006-0000-0E00-00000A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Gross Profit/Total Sales
</t>
        </r>
      </text>
    </comment>
    <comment ref="B19" authorId="0" shapeId="0" xr:uid="{00000000-0006-0000-0E00-00000B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EBITDA/Total Sales
</t>
        </r>
      </text>
    </comment>
    <comment ref="B20" authorId="0" shapeId="0" xr:uid="{00000000-0006-0000-0E00-00000C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Operating Profit (EBIT)/Total Sales
</t>
        </r>
      </text>
    </comment>
    <comment ref="B21" authorId="0" shapeId="0" xr:uid="{00000000-0006-0000-0E00-00000D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Pretax Profit/Total Sales
</t>
        </r>
      </text>
    </comment>
    <comment ref="B22" authorId="0" shapeId="0" xr:uid="{00000000-0006-0000-0E00-00000E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Net Income/Total Sales
</t>
        </r>
      </text>
    </comment>
    <comment ref="B25" authorId="0" shapeId="0" xr:uid="{00000000-0006-0000-0E00-00000F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Net Income/Total Sales
</t>
        </r>
      </text>
    </comment>
    <comment ref="B26" authorId="0" shapeId="0" xr:uid="{00000000-0006-0000-0E00-000010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Sales/Average total assets
</t>
        </r>
      </text>
    </comment>
    <comment ref="B27" authorId="0" shapeId="0" xr:uid="{00000000-0006-0000-0E00-000011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Average total assets/Average total common equity
</t>
        </r>
      </text>
    </comment>
    <comment ref="B31" authorId="0" shapeId="0" xr:uid="{00000000-0006-0000-0E00-000012000000}">
      <text>
        <r>
          <rPr>
            <sz val="8"/>
            <color indexed="81"/>
            <rFont val="Tahoma"/>
            <family val="2"/>
          </rPr>
          <t xml:space="preserve">
Net Income/Average Total Assets
</t>
        </r>
      </text>
    </comment>
    <comment ref="B32" authorId="0" shapeId="0" xr:uid="{00000000-0006-0000-0E00-000013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EBIT(1-Tax Rate)/Average gross fixed assets plus working capital</t>
        </r>
      </text>
    </comment>
    <comment ref="B33" authorId="0" shapeId="0" xr:uid="{00000000-0006-0000-0E00-000014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Net Income/Average Total Common Equity
</t>
        </r>
      </text>
    </comment>
    <comment ref="B36" authorId="0" shapeId="0" xr:uid="{00000000-0006-0000-0E00-000015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Net Income/Total Common Shares</t>
        </r>
      </text>
    </comment>
    <comment ref="B37" authorId="0" shapeId="0" xr:uid="{00000000-0006-0000-0E00-000016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Net Income/Total Diluted Shares
</t>
        </r>
      </text>
    </comment>
    <comment ref="B38" authorId="0" shapeId="0" xr:uid="{00000000-0006-0000-0E00-000017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Total Common Equity/Period end shares outstanding
</t>
        </r>
      </text>
    </comment>
    <comment ref="B39" authorId="0" shapeId="0" xr:uid="{00000000-0006-0000-0E00-000018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Total dividends paid/Total Wgt Avg. Adj. shares outstanding
</t>
        </r>
      </text>
    </comment>
    <comment ref="B42" authorId="0" shapeId="0" xr:uid="{00000000-0006-0000-0E00-000019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CoGS/Total Sales
</t>
        </r>
      </text>
    </comment>
    <comment ref="B43" authorId="0" shapeId="0" xr:uid="{00000000-0006-0000-0E00-00001A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SG&amp;A Expense/Total Sales
</t>
        </r>
      </text>
    </comment>
    <comment ref="B44" authorId="0" shapeId="0" xr:uid="{00000000-0006-0000-0E00-00001B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R&amp;D or other expenses/Total Sales</t>
        </r>
      </text>
    </comment>
    <comment ref="B45" authorId="0" shapeId="0" xr:uid="{00000000-0006-0000-0E00-00001C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EBIT or EBITDA margin depending on whether COGS includes D&amp;A or not.</t>
        </r>
      </text>
    </comment>
    <comment ref="B48" authorId="0" shapeId="0" xr:uid="{00000000-0006-0000-0E00-00001D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CoGS/Average Inventory
</t>
        </r>
      </text>
    </comment>
    <comment ref="B49" authorId="0" shapeId="0" xr:uid="{00000000-0006-0000-0E00-00001E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Sales/Average Receivables
</t>
        </r>
      </text>
    </comment>
    <comment ref="B50" authorId="0" shapeId="0" xr:uid="{00000000-0006-0000-0E00-00001F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Average Inventory/CoGS per day
</t>
        </r>
      </text>
    </comment>
    <comment ref="B51" authorId="0" shapeId="0" xr:uid="{00000000-0006-0000-0E00-000020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Average Receivables/Sales per day
</t>
        </r>
      </text>
    </comment>
    <comment ref="B52" authorId="0" shapeId="0" xr:uid="{00000000-0006-0000-0E00-000021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Average Payables/CoGS per day
</t>
        </r>
      </text>
    </comment>
    <comment ref="B53" authorId="0" shapeId="0" xr:uid="{00000000-0006-0000-0E00-000022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Inventory Days + Receivable Days - Payable Days
</t>
        </r>
      </text>
    </comment>
    <comment ref="B64" authorId="0" shapeId="0" xr:uid="{00000000-0006-0000-0E00-000023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Current Assets/Current Liabilities
</t>
        </r>
      </text>
    </comment>
    <comment ref="B65" authorId="0" shapeId="0" xr:uid="{00000000-0006-0000-0E00-000024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Current Assets less Inventories/Current Liabilities
</t>
        </r>
      </text>
    </comment>
    <comment ref="B66" authorId="0" shapeId="0" xr:uid="{00000000-0006-0000-0E00-000025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Cash &amp; Cash Equivalents/Current Liabilities
</t>
        </r>
      </text>
    </comment>
    <comment ref="B69" authorId="0" shapeId="0" xr:uid="{00000000-0006-0000-0E00-000026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Total debt/(Total liabilities+Total shareholders funds)</t>
        </r>
      </text>
    </comment>
    <comment ref="B70" authorId="0" shapeId="0" xr:uid="{00000000-0006-0000-0E00-000027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Total Debt less Cash &amp; equivalents/Total Shareholders' Funds
</t>
        </r>
      </text>
    </comment>
    <comment ref="B71" authorId="0" shapeId="0" xr:uid="{00000000-0006-0000-0E00-000028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EBIT/Interest Expense
</t>
        </r>
      </text>
    </comment>
    <comment ref="B72" authorId="0" shapeId="0" xr:uid="{00000000-0006-0000-0E00-000029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EBITDA/Interest Expense
</t>
        </r>
      </text>
    </comment>
    <comment ref="B77" authorId="0" shapeId="0" xr:uid="{00000000-0006-0000-0E00-00002A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Dividend/Net Income
</t>
        </r>
      </text>
    </comment>
    <comment ref="B80" authorId="0" shapeId="0" xr:uid="{00000000-0006-0000-0E00-00002B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Capex/Total Sales
</t>
        </r>
      </text>
    </comment>
    <comment ref="B81" authorId="0" shapeId="0" xr:uid="{00000000-0006-0000-0E00-00002C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Current Assets less Current Liabilities/Total Sales
</t>
        </r>
      </text>
    </comment>
    <comment ref="B82" authorId="0" shapeId="0" xr:uid="{00000000-0006-0000-0E00-00002D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Depreciation/Total Sales
</t>
        </r>
      </text>
    </comment>
    <comment ref="B83" authorId="0" shapeId="0" xr:uid="{00000000-0006-0000-0E00-00002E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Operating Cash Flow less Preferred Dividends/Total Wgt. Avg. Adj. shares
</t>
        </r>
      </text>
    </comment>
    <comment ref="B84" authorId="0" shapeId="0" xr:uid="{00000000-0006-0000-0E00-00002F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Cash &amp; Equivalents/Total Common Equity
</t>
        </r>
      </text>
    </comment>
    <comment ref="B85" authorId="0" shapeId="0" xr:uid="{00000000-0006-0000-0E00-000030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Cash &amp; Equivalents/Total Wght. Avg. Adj. shares
</t>
        </r>
      </text>
    </comment>
    <comment ref="B86" authorId="0" shapeId="0" xr:uid="{00000000-0006-0000-0E00-000031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Total Sales/Gross fixed assets less Depreciation &amp; Amortization
</t>
        </r>
      </text>
    </comment>
    <comment ref="B87" authorId="0" shapeId="0" xr:uid="{00000000-0006-0000-0E00-000032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Total Assets/ Total Common Equity
</t>
        </r>
      </text>
    </comment>
    <comment ref="B88" authorId="0" shapeId="0" xr:uid="{00000000-0006-0000-0E00-000033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Short Term debt &amp; current portion of Long Term Debt/Long Term Debt
</t>
        </r>
      </text>
    </comment>
    <comment ref="B89" authorId="0" shapeId="0" xr:uid="{00000000-0006-0000-0E00-000034000000}">
      <text>
        <r>
          <rPr>
            <b/>
            <sz val="8"/>
            <color indexed="81"/>
            <rFont val="Tahoma"/>
            <family val="2"/>
          </rPr>
          <t>Paras Mehta:</t>
        </r>
        <r>
          <rPr>
            <sz val="8"/>
            <color indexed="81"/>
            <rFont val="Tahoma"/>
            <family val="2"/>
          </rPr>
          <t xml:space="preserve">
EBITDA/(Previous period's Gross Fixed Assets plus Non-cash Working Capital)</t>
        </r>
      </text>
    </comment>
  </commentList>
</comments>
</file>

<file path=xl/sharedStrings.xml><?xml version="1.0" encoding="utf-8"?>
<sst xmlns="http://schemas.openxmlformats.org/spreadsheetml/2006/main" count="4252" uniqueCount="1813">
  <si>
    <t>Source: Company data, Goldman Sachs Research estimates.</t>
  </si>
  <si>
    <t>净利润率</t>
  </si>
  <si>
    <t>Net profit margin</t>
  </si>
  <si>
    <t>税前利润率</t>
  </si>
  <si>
    <t>Pre-tax profit margin</t>
  </si>
  <si>
    <t>EBIT利润率</t>
  </si>
  <si>
    <t>Operating profit margin</t>
  </si>
  <si>
    <t>EBITDA利润率</t>
  </si>
  <si>
    <t>EBITDA margin</t>
  </si>
  <si>
    <t>毛利率</t>
  </si>
  <si>
    <t>Gross margin</t>
  </si>
  <si>
    <t>利润率分析</t>
  </si>
  <si>
    <t>Margin analysis</t>
  </si>
  <si>
    <t>基本每股收益（元）</t>
  </si>
  <si>
    <t>Basic EPS (Rmb)</t>
  </si>
  <si>
    <t>净利润</t>
  </si>
  <si>
    <t>Net income</t>
  </si>
  <si>
    <t>少数股东损益</t>
  </si>
  <si>
    <t>Minority interest</t>
  </si>
  <si>
    <t>有效税率</t>
  </si>
  <si>
    <t>Effective tax rate</t>
  </si>
  <si>
    <t>所得税</t>
  </si>
  <si>
    <t>Provision for taxes</t>
  </si>
  <si>
    <t>利润总额</t>
  </si>
  <si>
    <t>Pre-tax profit (Income before tax)</t>
  </si>
  <si>
    <t>营业外收支</t>
  </si>
  <si>
    <t>Non-operating income/(loss)</t>
  </si>
  <si>
    <t>投资收益</t>
  </si>
  <si>
    <t>Investment gains/losses</t>
  </si>
  <si>
    <t>财务费用</t>
  </si>
  <si>
    <t>Net interest income/(expense)</t>
  </si>
  <si>
    <t>利息支出</t>
  </si>
  <si>
    <t>Interest expense</t>
  </si>
  <si>
    <t>利息收入</t>
  </si>
  <si>
    <t>Interest income</t>
  </si>
  <si>
    <t>EBIT</t>
  </si>
  <si>
    <t>EBIT (Operating profit)</t>
  </si>
  <si>
    <t>摊销</t>
  </si>
  <si>
    <t>Amortization</t>
  </si>
  <si>
    <t>折旧</t>
  </si>
  <si>
    <t>Depreciation</t>
  </si>
  <si>
    <t xml:space="preserve"> </t>
  </si>
  <si>
    <t>EBITDA</t>
  </si>
  <si>
    <t>其他费用</t>
  </si>
  <si>
    <t>Other operating expenses, net</t>
  </si>
  <si>
    <t>EPS</t>
  </si>
  <si>
    <t>营业税金、销售及管理费用</t>
  </si>
  <si>
    <t>SG&amp;A</t>
  </si>
  <si>
    <t>营业成本</t>
  </si>
  <si>
    <t>COGS</t>
  </si>
  <si>
    <t>毛利</t>
  </si>
  <si>
    <t>营业收入</t>
  </si>
  <si>
    <t>Total revenues</t>
  </si>
  <si>
    <t>Revenue</t>
  </si>
  <si>
    <t>损益表（单位：百万元人民币）</t>
  </si>
  <si>
    <t>Summary P&amp;L (Rmb mn)</t>
  </si>
  <si>
    <t>同比增长</t>
  </si>
  <si>
    <t>YoY change</t>
  </si>
  <si>
    <t>Gross profit</t>
  </si>
  <si>
    <t>as % of revenue</t>
  </si>
  <si>
    <t>Inventory days</t>
  </si>
  <si>
    <t>Inventory</t>
  </si>
  <si>
    <t>销售费用率</t>
  </si>
  <si>
    <t>Sales expense</t>
  </si>
  <si>
    <t>管理费用率</t>
  </si>
  <si>
    <t>财务预测汇总</t>
  </si>
  <si>
    <t>2019E</t>
  </si>
  <si>
    <t>UGCI_PL</t>
  </si>
  <si>
    <t>LEASE_ADJ_DACF</t>
  </si>
  <si>
    <t>P/E</t>
  </si>
  <si>
    <t xml:space="preserve"> (一) 基本每股收益</t>
  </si>
  <si>
    <t>EPS - basic</t>
  </si>
  <si>
    <t>归属于母公司所有者的净利润</t>
  </si>
  <si>
    <t>Net income attributable to parent shareholders</t>
  </si>
  <si>
    <t>减：少数股东损益</t>
  </si>
  <si>
    <t>Minority interests</t>
  </si>
  <si>
    <t>减：所得税</t>
  </si>
  <si>
    <t>Income taxes</t>
  </si>
  <si>
    <t>Pre-tax profit (income before tax)</t>
  </si>
  <si>
    <t>减：营业外支出</t>
  </si>
  <si>
    <t>Other non-operating expense</t>
  </si>
  <si>
    <t>加：营业外收入</t>
  </si>
  <si>
    <t>Other non-operating income</t>
  </si>
  <si>
    <t>其中：对联营企业和合营企业的投资收益</t>
  </si>
  <si>
    <t>Net income from associates or jointly controlled entities</t>
  </si>
  <si>
    <t>投资净收益</t>
  </si>
  <si>
    <t>Investment gains/loss</t>
  </si>
  <si>
    <t>公允价值变动净收益</t>
  </si>
  <si>
    <t>资产减值损失</t>
  </si>
  <si>
    <t>Impairment losses on PP&amp;E</t>
  </si>
  <si>
    <t>Net financial expenses</t>
  </si>
  <si>
    <t>占营业收入比重</t>
  </si>
  <si>
    <t>管理费用</t>
  </si>
  <si>
    <t>Administrative expense</t>
  </si>
  <si>
    <t>销售费用</t>
  </si>
  <si>
    <t>营业税金及附加</t>
  </si>
  <si>
    <t>Sales tax and add-on</t>
  </si>
  <si>
    <t>毛利增速</t>
  </si>
  <si>
    <t>YoY change - gross profit</t>
  </si>
  <si>
    <t>Total COGS</t>
  </si>
  <si>
    <t>收入增速</t>
  </si>
  <si>
    <t>YoY change - revenue</t>
  </si>
  <si>
    <t>Total revenue</t>
  </si>
  <si>
    <t xml:space="preserve"> (二) 稀释每股收益</t>
  </si>
  <si>
    <t>YoY</t>
  </si>
  <si>
    <t>% of 营业收入</t>
  </si>
  <si>
    <t>QoQ</t>
  </si>
  <si>
    <t>QoQ分析</t>
  </si>
  <si>
    <t>YTD分析</t>
  </si>
  <si>
    <t>Check (TCF= Change in B/S Cash)</t>
  </si>
  <si>
    <t>Total cash flow</t>
  </si>
  <si>
    <t>Effect of foreign exchange rate changes</t>
  </si>
  <si>
    <t>Cash flow from financing</t>
  </si>
  <si>
    <t>Other financing cash flow items</t>
  </si>
  <si>
    <t>Change in minority interest</t>
  </si>
  <si>
    <t>Increase/(decrease) in preferred shares</t>
  </si>
  <si>
    <t>Increase/(decrease) in long-term debt</t>
  </si>
  <si>
    <t>Increase/(decrease) in short-term debt</t>
  </si>
  <si>
    <t>Share repurchase/issue (change In common stock)</t>
  </si>
  <si>
    <t>Dividends paid (common and preferred)</t>
  </si>
  <si>
    <t>Cash flow from investing</t>
  </si>
  <si>
    <t>Other investment cash flow items</t>
  </si>
  <si>
    <t>Investments</t>
  </si>
  <si>
    <t>(Acquisitions)/divestitures</t>
  </si>
  <si>
    <t>Capital expenditure</t>
  </si>
  <si>
    <t>Cash flow from operations</t>
  </si>
  <si>
    <t>Other operating cash flow items</t>
  </si>
  <si>
    <t>Accounts payable</t>
  </si>
  <si>
    <t>Accounts receivable</t>
  </si>
  <si>
    <t>(Increase)/decrease in working capital :</t>
  </si>
  <si>
    <t>Net loss/(gain) on asset sales</t>
  </si>
  <si>
    <t>Net income from associates and jointly controlled entities</t>
  </si>
  <si>
    <t>Depreciation and amortization add-back</t>
  </si>
  <si>
    <t>Minority interest add-back</t>
  </si>
  <si>
    <t>Income pre-preferred share dividends</t>
  </si>
  <si>
    <t>Cash flow statements</t>
  </si>
  <si>
    <t>Back to Cover Sheet</t>
  </si>
  <si>
    <t>common stocks new issuring</t>
  </si>
  <si>
    <t>Stock dividend payout</t>
  </si>
  <si>
    <t>Cash dividend payout</t>
  </si>
  <si>
    <t>Dividend calculation:</t>
  </si>
  <si>
    <t>Net debt</t>
  </si>
  <si>
    <t>Net working capital</t>
  </si>
  <si>
    <t>Book value per share</t>
  </si>
  <si>
    <t>Net payable days</t>
  </si>
  <si>
    <t>Net receivable days</t>
  </si>
  <si>
    <t>Balance sheet assumptions and other calculations</t>
  </si>
  <si>
    <t>Check (TA=TL&amp;E)</t>
  </si>
  <si>
    <t>Total liabilities and equity</t>
  </si>
  <si>
    <t>Total shareholders funds/equity</t>
  </si>
  <si>
    <t>Minority interest (balance sheet)</t>
  </si>
  <si>
    <t>Total common equity</t>
  </si>
  <si>
    <t>Other common equity</t>
  </si>
  <si>
    <t>Retained earnings</t>
  </si>
  <si>
    <t>Treasury stock</t>
  </si>
  <si>
    <t>Common stock (includes par value, capital surplus, and treasury)</t>
  </si>
  <si>
    <t>Preferred shares</t>
  </si>
  <si>
    <t xml:space="preserve">Total liabilities   </t>
  </si>
  <si>
    <t>Total long-term liabilities</t>
  </si>
  <si>
    <t>Other long-term liabilities/creditors</t>
  </si>
  <si>
    <t>Long-term debt</t>
  </si>
  <si>
    <t>Current liabilities</t>
  </si>
  <si>
    <t>Other current liabilities</t>
  </si>
  <si>
    <t>Short-term debt and current portion of long-term debt</t>
  </si>
  <si>
    <t>Total assets</t>
  </si>
  <si>
    <t>Other long-term assets</t>
  </si>
  <si>
    <t>Total investments</t>
  </si>
  <si>
    <t>Net intantigibles</t>
  </si>
  <si>
    <t>Accumulated amortization</t>
  </si>
  <si>
    <t xml:space="preserve">Gross intangibles </t>
  </si>
  <si>
    <t>Net PP&amp;E/Fixed assets</t>
  </si>
  <si>
    <t>Less fixed asset impairment</t>
  </si>
  <si>
    <t>Less accumulated depreciation</t>
  </si>
  <si>
    <t>Gross PP&amp;E/Fixed assets</t>
  </si>
  <si>
    <t>Current assets</t>
  </si>
  <si>
    <t>Other current assets</t>
  </si>
  <si>
    <t>Inventory/stocks</t>
  </si>
  <si>
    <t>Net receivables</t>
  </si>
  <si>
    <t>Cash and equivalents</t>
  </si>
  <si>
    <t>Balance sheets</t>
  </si>
  <si>
    <t>Share equivalent (mn)</t>
  </si>
  <si>
    <t>Conversion price</t>
  </si>
  <si>
    <t xml:space="preserve">Fx rate </t>
  </si>
  <si>
    <t>CB 2 - Amount outstanding (Rmb)</t>
  </si>
  <si>
    <t>CB 1 - Amount outstanding (Rmb)</t>
  </si>
  <si>
    <t>Fully diluted shares calculation:</t>
  </si>
  <si>
    <t>As a % of interest in jointly controlled entities</t>
  </si>
  <si>
    <t>Interest in a jointly controlled entity</t>
  </si>
  <si>
    <t>Income from jointly controlled entities:</t>
  </si>
  <si>
    <t>As a % of interest in associates</t>
  </si>
  <si>
    <t>Interests in an associate</t>
  </si>
  <si>
    <t>Income from associates:</t>
  </si>
  <si>
    <t>As a % of average capital expenditure</t>
  </si>
  <si>
    <t>Capitalized interest</t>
  </si>
  <si>
    <t>Total interest charges (as a % of avg. debt)</t>
  </si>
  <si>
    <t>Interest charges</t>
  </si>
  <si>
    <t>Average debt</t>
  </si>
  <si>
    <t>Interest expense calculation:</t>
  </si>
  <si>
    <t>Interest income calculation:</t>
  </si>
  <si>
    <t>Other income statement assumptions</t>
  </si>
  <si>
    <t>Net margins</t>
  </si>
  <si>
    <t>Tax rate (as a % of EBT excluding associates)</t>
  </si>
  <si>
    <t>Pre-tax margin</t>
  </si>
  <si>
    <t>EBIT margin</t>
  </si>
  <si>
    <t>EBITDA margin</t>
    <phoneticPr fontId="0" type="noConversion"/>
  </si>
  <si>
    <t>Gross margins</t>
  </si>
  <si>
    <t xml:space="preserve">SG&amp;A </t>
  </si>
  <si>
    <t>Others</t>
  </si>
  <si>
    <t>COGS (wages and staff welfare)</t>
  </si>
  <si>
    <t>% of sales</t>
  </si>
  <si>
    <t>Margin and growth analysis</t>
  </si>
  <si>
    <t>Period end shares outstanding (mn)</t>
  </si>
  <si>
    <t>Fully diluted shares outstanding (mn)</t>
  </si>
  <si>
    <t>Weighted avg. adj. shares outstanding (mn)</t>
  </si>
  <si>
    <t>Dividends per share</t>
  </si>
  <si>
    <t>EPS - fully diluted</t>
  </si>
  <si>
    <t>yoy %</t>
  </si>
  <si>
    <t>Extraordinary gain/(loss)</t>
  </si>
  <si>
    <t>Preferred dividends</t>
  </si>
  <si>
    <t>Other non-operating income/expense</t>
  </si>
  <si>
    <t>Other investment gains/loss</t>
  </si>
  <si>
    <t>Other finanical costs</t>
  </si>
  <si>
    <t>Foreign exchange gain/(loss)</t>
  </si>
  <si>
    <t>EBIT  (operating profit)</t>
  </si>
  <si>
    <t xml:space="preserve">net gains/loss of fair value </t>
  </si>
  <si>
    <t>Impairment losses on property, plant and equipment</t>
  </si>
  <si>
    <t>Other operating expense</t>
  </si>
  <si>
    <t>Total sales/revenues</t>
  </si>
  <si>
    <t>Income statements</t>
  </si>
  <si>
    <t>Variance from consensus (%)</t>
  </si>
  <si>
    <t>Consensus estimates</t>
  </si>
  <si>
    <t>预测年份</t>
  </si>
  <si>
    <t>预测下一年净利润(综合值)</t>
  </si>
  <si>
    <t>Beta值</t>
  </si>
  <si>
    <t>大股东持股比例</t>
  </si>
  <si>
    <t>大股东名称</t>
  </si>
  <si>
    <t>每股转增股本</t>
  </si>
  <si>
    <t>每股股利(税后)</t>
  </si>
  <si>
    <t>每股宣发股利(税前)</t>
  </si>
  <si>
    <t>无形资产-净额</t>
  </si>
  <si>
    <t>无形资产-减值准备</t>
  </si>
  <si>
    <t>无形资产-累计摊销</t>
  </si>
  <si>
    <t>无形资产-原值</t>
  </si>
  <si>
    <t>投资性房地产-净额</t>
  </si>
  <si>
    <t>投资性房地产-减值准备</t>
  </si>
  <si>
    <t>投资性房地产-累计折旧</t>
  </si>
  <si>
    <t>投资性房地产-原值</t>
  </si>
  <si>
    <t>固定资产-净额</t>
  </si>
  <si>
    <t>固定资产-减值准备</t>
  </si>
  <si>
    <t>固定资产-累计折旧</t>
  </si>
  <si>
    <t>固定资产-原值</t>
  </si>
  <si>
    <t>财务费用明细-其他</t>
  </si>
  <si>
    <t>财务费用明细-手续费</t>
  </si>
  <si>
    <t>财务费用明细-汇兑损益</t>
  </si>
  <si>
    <t>财务费用明细-利息收入</t>
  </si>
  <si>
    <t>财务费用明细-利息支出</t>
  </si>
  <si>
    <t>合并报表</t>
  </si>
  <si>
    <t>报表类型</t>
  </si>
  <si>
    <t>报告参数</t>
  </si>
  <si>
    <t xml:space="preserve">                间接法-现金及现金等价物净增加额</t>
  </si>
  <si>
    <t xml:space="preserve">                加：间接法-现金净增加额差额(合计平衡项目)</t>
  </si>
  <si>
    <t xml:space="preserve">                加：间接法-现金净增加额差额(特殊报表科目)</t>
  </si>
  <si>
    <t xml:space="preserve">                减：现金等价物的期初余额</t>
  </si>
  <si>
    <t xml:space="preserve">                加：现金等价物的期末余额</t>
  </si>
  <si>
    <t xml:space="preserve">                减：现金的期初余额</t>
  </si>
  <si>
    <t xml:space="preserve">                现金的期末余额</t>
  </si>
  <si>
    <t xml:space="preserve">                融资租入固定资产</t>
  </si>
  <si>
    <t xml:space="preserve">                一年内到期的可转换公司债券</t>
  </si>
  <si>
    <t xml:space="preserve">                债务转为资本</t>
  </si>
  <si>
    <t xml:space="preserve">                经营活动产生的现金流量净额</t>
  </si>
  <si>
    <t xml:space="preserve">                间接法-经营活动现金流量净额差额(合计平衡项目)</t>
  </si>
  <si>
    <t xml:space="preserve">                间接法-经营活动现金流量净额差额(特殊报表科目)</t>
  </si>
  <si>
    <t xml:space="preserve">                其他</t>
  </si>
  <si>
    <t xml:space="preserve">                未确认的投资损失</t>
  </si>
  <si>
    <t xml:space="preserve">                经营性应付项目的增加</t>
  </si>
  <si>
    <t xml:space="preserve">                经营性应收项目的减少</t>
  </si>
  <si>
    <t xml:space="preserve">                存货的减少</t>
  </si>
  <si>
    <t xml:space="preserve">                递延所得税负债增加</t>
  </si>
  <si>
    <t xml:space="preserve">                递延所得税资产减少</t>
  </si>
  <si>
    <t xml:space="preserve">                投资损失</t>
  </si>
  <si>
    <t xml:space="preserve">                财务费用</t>
  </si>
  <si>
    <t xml:space="preserve">                公允价值变动损失</t>
  </si>
  <si>
    <t xml:space="preserve">                固定资产报废损失</t>
  </si>
  <si>
    <t xml:space="preserve">                处置固定资产、无形资产和其他长期资产的损失</t>
  </si>
  <si>
    <t xml:space="preserve">                预提费用增加</t>
  </si>
  <si>
    <t xml:space="preserve">                待摊费用减少</t>
  </si>
  <si>
    <t xml:space="preserve">                长期待摊费用摊销</t>
  </si>
  <si>
    <t xml:space="preserve">                无形资产摊销</t>
  </si>
  <si>
    <t xml:space="preserve">                固定资产折旧、油气资产折耗、生产性生物资产折旧</t>
  </si>
  <si>
    <t xml:space="preserve">                加：资产减值准备</t>
  </si>
  <si>
    <t xml:space="preserve">                净利润</t>
  </si>
  <si>
    <t xml:space="preserve">                期末现金及现金等价物余额</t>
  </si>
  <si>
    <t xml:space="preserve">                期初现金及现金等价物余额</t>
  </si>
  <si>
    <t xml:space="preserve">                现金及现金等价物净增加额</t>
  </si>
  <si>
    <t xml:space="preserve">                直接法-现金及现金等价物净增加额差额(合计平衡项目)</t>
  </si>
  <si>
    <t xml:space="preserve">                直接法-现金及现金等价物净增加额差额(特殊报表科目)</t>
  </si>
  <si>
    <t xml:space="preserve">                汇率变动对现金的影响</t>
  </si>
  <si>
    <t>四、现金及现金等价物净增加：</t>
  </si>
  <si>
    <t xml:space="preserve">                筹资活动产生的现金流量净额</t>
  </si>
  <si>
    <t xml:space="preserve">                筹资活动产生的现金流量净额差额(合计平衡项目)</t>
  </si>
  <si>
    <t xml:space="preserve">                筹资活动现金流出小计</t>
  </si>
  <si>
    <t xml:space="preserve">                筹资活动现金流出差额(合计平衡项目)</t>
  </si>
  <si>
    <t xml:space="preserve">                筹资活动现金流出差额(特殊报表科目)</t>
  </si>
  <si>
    <t xml:space="preserve">                支付其他与筹资活动有关的现金</t>
  </si>
  <si>
    <t xml:space="preserve">                其中：子公司支付给少数股东的股利、利润</t>
  </si>
  <si>
    <t xml:space="preserve">                分配股利、利润或偿付利息支付的现金</t>
  </si>
  <si>
    <t xml:space="preserve">                偿还债务支付的现金</t>
  </si>
  <si>
    <t xml:space="preserve">                筹资活动现金流入小计</t>
  </si>
  <si>
    <t xml:space="preserve">                筹资活动现金流入差额(合计平衡项目)</t>
  </si>
  <si>
    <t xml:space="preserve">                筹资活动现金流入差额(特殊报表科目)</t>
  </si>
  <si>
    <t xml:space="preserve">                发行债券收到的现金</t>
  </si>
  <si>
    <t xml:space="preserve">                收到其他与筹资活动有关的现金</t>
  </si>
  <si>
    <t xml:space="preserve">                取得借款收到的现金</t>
  </si>
  <si>
    <t xml:space="preserve">                其中：子公司吸收少数股东投资收到的现金</t>
  </si>
  <si>
    <t xml:space="preserve">                吸收投资收到的现金</t>
  </si>
  <si>
    <t>三、筹资活动产生的现金流量：</t>
  </si>
  <si>
    <t xml:space="preserve">                投资活动产生的现金流量净额</t>
  </si>
  <si>
    <t xml:space="preserve">                投资活动产生的现金流量净额差额(合计平衡项目)</t>
  </si>
  <si>
    <t xml:space="preserve">                投资活动现金流出小计</t>
  </si>
  <si>
    <t xml:space="preserve">                投资活动现金流出差额(合计平衡项目)</t>
  </si>
  <si>
    <t xml:space="preserve">                投资活动现金流出差额(特殊报表科目)</t>
  </si>
  <si>
    <t xml:space="preserve">                支付其他与投资活动有关的现金</t>
  </si>
  <si>
    <t xml:space="preserve">                取得子公司及其他营业单位支付的现金净额</t>
  </si>
  <si>
    <t xml:space="preserve">                投资支付的现金</t>
  </si>
  <si>
    <t xml:space="preserve">                购建固定资产、无形资产和其他长期资产支付的现金</t>
  </si>
  <si>
    <t xml:space="preserve">                投资活动现金流入小计</t>
  </si>
  <si>
    <t xml:space="preserve">                投资活动现金流入差额(合计平衡项目)</t>
  </si>
  <si>
    <t xml:space="preserve">                投资活动现金流入差额(特殊报表科目)</t>
  </si>
  <si>
    <t xml:space="preserve">                收到其他与投资活动有关的现金</t>
  </si>
  <si>
    <t xml:space="preserve">                处置子公司及其他营业单位收到的现金净额</t>
  </si>
  <si>
    <t xml:space="preserve">                处置固定资产、无形资产和其他长期资产收回的现金净额</t>
  </si>
  <si>
    <t xml:space="preserve">                取得投资收益收到的现金</t>
  </si>
  <si>
    <t xml:space="preserve">                收回投资收到的现金</t>
  </si>
  <si>
    <t>二、投资活动产生的现金流量：</t>
  </si>
  <si>
    <t xml:space="preserve">                经营活动产生的现金流量净额差额(合计平衡项目)</t>
  </si>
  <si>
    <t xml:space="preserve">                经营活动现金流出小计</t>
  </si>
  <si>
    <t xml:space="preserve">                经营活动现金流出差额(合计平衡项目)</t>
  </si>
  <si>
    <t xml:space="preserve">                经营活动现金流出差额(特殊报表科目)</t>
  </si>
  <si>
    <t xml:space="preserve">                支付其他与经营活动有关的现金</t>
  </si>
  <si>
    <t xml:space="preserve">                支付的各项税费</t>
  </si>
  <si>
    <t xml:space="preserve">                支付给职工以及为职工支付的现金</t>
  </si>
  <si>
    <t xml:space="preserve">                购买商品、接受劳务支付的现金</t>
  </si>
  <si>
    <t xml:space="preserve">                经营活动现金流入小计</t>
  </si>
  <si>
    <t xml:space="preserve">                经营活动现金流入差额(合计平衡项目)</t>
  </si>
  <si>
    <t xml:space="preserve">                经营活动现金流入差额(特殊报表科目)</t>
  </si>
  <si>
    <t xml:space="preserve">                收到其他与经营活动有关的现金</t>
  </si>
  <si>
    <t xml:space="preserve">                收到的税费返还</t>
  </si>
  <si>
    <t xml:space="preserve">                销售商品、提供劳务收到的现金</t>
  </si>
  <si>
    <t>一、经营活动产生的现金流量：</t>
  </si>
  <si>
    <t>一般企业－现金流量表 (单位：百万元)</t>
  </si>
  <si>
    <t xml:space="preserve">                负债和所有者权益总计</t>
  </si>
  <si>
    <t xml:space="preserve">                负债及股东权益差额(合计平衡项目)</t>
  </si>
  <si>
    <t xml:space="preserve">                负债及股东权益差额(特殊报表项目)</t>
  </si>
  <si>
    <t xml:space="preserve">                所有者权益合计</t>
  </si>
  <si>
    <t xml:space="preserve">                归属于母公司所有者权益合计</t>
  </si>
  <si>
    <t xml:space="preserve">                股权权益差额(合计平衡项目)</t>
  </si>
  <si>
    <t xml:space="preserve">                股东权益差额(特殊报表科目)</t>
  </si>
  <si>
    <t xml:space="preserve">                少数股东权益</t>
  </si>
  <si>
    <t xml:space="preserve">                外币报表折算差额</t>
  </si>
  <si>
    <t xml:space="preserve">                未分配利润</t>
  </si>
  <si>
    <t xml:space="preserve">                一般风险准备</t>
  </si>
  <si>
    <t xml:space="preserve">                盈余公积金</t>
  </si>
  <si>
    <t xml:space="preserve">                减：库存股</t>
  </si>
  <si>
    <t xml:space="preserve">                资本公积金</t>
  </si>
  <si>
    <t xml:space="preserve">                实收资本(或股本)</t>
  </si>
  <si>
    <t>所有者权益(或股东权益)：</t>
  </si>
  <si>
    <t xml:space="preserve">                负债合计</t>
  </si>
  <si>
    <t xml:space="preserve">                负债差额(合计平衡项目)</t>
  </si>
  <si>
    <t xml:space="preserve">                负债差额(特殊报表科目)</t>
  </si>
  <si>
    <t xml:space="preserve">                非流动负债合计</t>
  </si>
  <si>
    <t xml:space="preserve">                非流动负债差额(合计平衡项目)</t>
  </si>
  <si>
    <t xml:space="preserve">                非流动负债差额(特殊报表科目)</t>
  </si>
  <si>
    <t xml:space="preserve">                其他非流动负债</t>
  </si>
  <si>
    <t xml:space="preserve">                递延收益-非流动负债</t>
  </si>
  <si>
    <t xml:space="preserve">                递延所得税负债</t>
  </si>
  <si>
    <t xml:space="preserve">                预计负债</t>
  </si>
  <si>
    <t xml:space="preserve">                专项应付款</t>
  </si>
  <si>
    <t xml:space="preserve">                长期应付款</t>
  </si>
  <si>
    <t xml:space="preserve">                应付债券</t>
  </si>
  <si>
    <t xml:space="preserve">                长期借款</t>
  </si>
  <si>
    <t>非流动负债：</t>
  </si>
  <si>
    <t xml:space="preserve">                流动负债合计</t>
  </si>
  <si>
    <t xml:space="preserve">                流动负债差额(合计平衡项目)</t>
  </si>
  <si>
    <t xml:space="preserve">                流动负债差额(特殊报表科目)</t>
  </si>
  <si>
    <t xml:space="preserve">                其他流动负债</t>
  </si>
  <si>
    <t xml:space="preserve">                应付短期债券</t>
  </si>
  <si>
    <t xml:space="preserve">                递延收益-流动负债</t>
  </si>
  <si>
    <t xml:space="preserve">                预提费用</t>
  </si>
  <si>
    <t xml:space="preserve">                应付股利</t>
  </si>
  <si>
    <t xml:space="preserve">                一年内到期的非流动负债</t>
  </si>
  <si>
    <t xml:space="preserve">                代理承销证券款</t>
  </si>
  <si>
    <t xml:space="preserve">                代理买卖证券款</t>
  </si>
  <si>
    <t xml:space="preserve">                保险合同准备金</t>
  </si>
  <si>
    <t xml:space="preserve">                应付分保账款</t>
  </si>
  <si>
    <t xml:space="preserve">                其他应付款</t>
  </si>
  <si>
    <t xml:space="preserve">                应付利息</t>
  </si>
  <si>
    <t xml:space="preserve">                应交税费</t>
  </si>
  <si>
    <t xml:space="preserve">                应付职工薪酬</t>
  </si>
  <si>
    <t xml:space="preserve">                应付手续费及佣金</t>
  </si>
  <si>
    <t xml:space="preserve">                卖出回购金融资产款</t>
  </si>
  <si>
    <t xml:space="preserve">                预收款项</t>
  </si>
  <si>
    <t xml:space="preserve">                应付账款</t>
  </si>
  <si>
    <t xml:space="preserve">                应付票据</t>
  </si>
  <si>
    <t xml:space="preserve">                交易性金融负债</t>
  </si>
  <si>
    <t xml:space="preserve">                拆入资金</t>
  </si>
  <si>
    <t xml:space="preserve">                吸收存款及同业存放</t>
  </si>
  <si>
    <t xml:space="preserve">                向中央银行借款</t>
  </si>
  <si>
    <t xml:space="preserve">                短期借款</t>
  </si>
  <si>
    <t>流动负债：</t>
  </si>
  <si>
    <t xml:space="preserve">                资产总计</t>
  </si>
  <si>
    <t xml:space="preserve">                资产差额(合计平衡项目)</t>
  </si>
  <si>
    <t xml:space="preserve">                资产差额(特殊报表科目)</t>
  </si>
  <si>
    <t xml:space="preserve">                非流动资产合计</t>
  </si>
  <si>
    <t xml:space="preserve">                非流动资产差额(合计平衡项目)</t>
  </si>
  <si>
    <t xml:space="preserve">                非流动资产差额(特殊报表科目)</t>
  </si>
  <si>
    <t xml:space="preserve">                其他非流动资产</t>
  </si>
  <si>
    <t xml:space="preserve">                递延所得税资产</t>
  </si>
  <si>
    <t xml:space="preserve">                长期待摊费用</t>
  </si>
  <si>
    <t xml:space="preserve">                商誉</t>
  </si>
  <si>
    <t xml:space="preserve">                开发支出</t>
  </si>
  <si>
    <t xml:space="preserve">                无形资产</t>
  </si>
  <si>
    <t xml:space="preserve">                油气资产</t>
  </si>
  <si>
    <t xml:space="preserve">                生产性生物资产</t>
  </si>
  <si>
    <t xml:space="preserve">                固定资产清理</t>
  </si>
  <si>
    <t xml:space="preserve">                工程物资</t>
  </si>
  <si>
    <t xml:space="preserve">                在建工程</t>
  </si>
  <si>
    <t xml:space="preserve">                固定资产</t>
  </si>
  <si>
    <t xml:space="preserve">                投资性房地产</t>
  </si>
  <si>
    <t xml:space="preserve">                长期股权投资</t>
  </si>
  <si>
    <t xml:space="preserve">                长期应收款</t>
  </si>
  <si>
    <t xml:space="preserve">                持有至到期投资</t>
  </si>
  <si>
    <t xml:space="preserve">                可供出售金融资产</t>
  </si>
  <si>
    <t xml:space="preserve">                发放贷款及垫款</t>
  </si>
  <si>
    <t>非流动资产：</t>
  </si>
  <si>
    <t xml:space="preserve">                流动资产合计</t>
  </si>
  <si>
    <t xml:space="preserve">                流动资产差额(合计平衡项目)</t>
  </si>
  <si>
    <t xml:space="preserve">                流动资产差额(特殊报表科目)</t>
  </si>
  <si>
    <t xml:space="preserve">                其他流动资产</t>
  </si>
  <si>
    <t xml:space="preserve">                待摊费用</t>
  </si>
  <si>
    <t xml:space="preserve">                一年内到期的非流动资产</t>
  </si>
  <si>
    <t xml:space="preserve">                其中：消耗性生物资产</t>
  </si>
  <si>
    <t xml:space="preserve">                存货</t>
  </si>
  <si>
    <t xml:space="preserve">                买入返售金融资产</t>
  </si>
  <si>
    <t xml:space="preserve">                应收股利</t>
  </si>
  <si>
    <t xml:space="preserve">                其他应收款</t>
  </si>
  <si>
    <t xml:space="preserve">                应收利息</t>
  </si>
  <si>
    <t xml:space="preserve">                应收分保合同准备金</t>
  </si>
  <si>
    <t xml:space="preserve">                应收分保账款</t>
  </si>
  <si>
    <t xml:space="preserve">                应收保费</t>
  </si>
  <si>
    <t xml:space="preserve">                预付款项</t>
  </si>
  <si>
    <t xml:space="preserve">                应收账款</t>
  </si>
  <si>
    <t xml:space="preserve">                应收票据</t>
  </si>
  <si>
    <t xml:space="preserve">                交易性金融资产</t>
  </si>
  <si>
    <t xml:space="preserve">                拆出资金</t>
  </si>
  <si>
    <t xml:space="preserve">                结算备付金</t>
  </si>
  <si>
    <t xml:space="preserve">                货币资金</t>
  </si>
  <si>
    <t>流动资产：</t>
  </si>
  <si>
    <t>一般企业－资产负债表 (单位：百万元)</t>
  </si>
  <si>
    <t xml:space="preserve">                (二) 稀释每股收益</t>
  </si>
  <si>
    <t xml:space="preserve">                (一) 基本每股收益</t>
  </si>
  <si>
    <t>七、每股收益：</t>
  </si>
  <si>
    <t xml:space="preserve">                归属于母公司所有者的净利润</t>
  </si>
  <si>
    <t xml:space="preserve">                减：少数股东损益</t>
  </si>
  <si>
    <t>六、净利润</t>
  </si>
  <si>
    <t xml:space="preserve">                加：净利润差额(合计平衡项目)</t>
  </si>
  <si>
    <t xml:space="preserve">                加：净利润差额(特殊报表科目)</t>
  </si>
  <si>
    <t xml:space="preserve">                加：未确认的投资损失</t>
  </si>
  <si>
    <t xml:space="preserve">                减：所得税</t>
  </si>
  <si>
    <t>五、利润总额</t>
  </si>
  <si>
    <t xml:space="preserve">                加：利润总额差额(合计平衡项目)</t>
  </si>
  <si>
    <t xml:space="preserve">                加：利润总额差额(特殊报表科目)</t>
  </si>
  <si>
    <t xml:space="preserve">                其中：非流动资产处置净损失</t>
  </si>
  <si>
    <t xml:space="preserve">                减：营业外支出</t>
  </si>
  <si>
    <t xml:space="preserve">                加：营业外收入</t>
  </si>
  <si>
    <t>四、营业利润</t>
  </si>
  <si>
    <t xml:space="preserve">                加：营业利润差额(合计平衡项目)</t>
  </si>
  <si>
    <t xml:space="preserve">                加：营业利润差额(特殊报表科目)</t>
  </si>
  <si>
    <t xml:space="preserve">                汇兑净收益</t>
  </si>
  <si>
    <t xml:space="preserve">                其中：对联营企业和合营企业的投资收益</t>
  </si>
  <si>
    <t xml:space="preserve">                投资净收益</t>
  </si>
  <si>
    <t xml:space="preserve">                公允价值变动净收益</t>
  </si>
  <si>
    <t>三、其他经营收益</t>
  </si>
  <si>
    <t xml:space="preserve">                资产减值损失</t>
  </si>
  <si>
    <t xml:space="preserve">                管理费用</t>
  </si>
  <si>
    <t xml:space="preserve">                销售费用</t>
  </si>
  <si>
    <t xml:space="preserve">                营业税金及附加</t>
  </si>
  <si>
    <t xml:space="preserve">                分保费用</t>
  </si>
  <si>
    <t xml:space="preserve">                保单红利支出</t>
  </si>
  <si>
    <t xml:space="preserve">                提取保险合同准备金净额</t>
  </si>
  <si>
    <t xml:space="preserve">                赔付支出净额</t>
  </si>
  <si>
    <t xml:space="preserve">                退保金</t>
  </si>
  <si>
    <t xml:space="preserve">                手续费及佣金支出</t>
  </si>
  <si>
    <t xml:space="preserve">                利息支出</t>
  </si>
  <si>
    <t xml:space="preserve">                营业成本</t>
  </si>
  <si>
    <t>二、营业总成本</t>
  </si>
  <si>
    <t xml:space="preserve">                手续费及佣金收入</t>
  </si>
  <si>
    <t xml:space="preserve">                已赚保费</t>
  </si>
  <si>
    <t xml:space="preserve">                利息收入</t>
  </si>
  <si>
    <t xml:space="preserve">                营业收入</t>
  </si>
  <si>
    <t>一、营业总收入</t>
  </si>
  <si>
    <t>一般企业－利润表 (单位：百万元)</t>
  </si>
  <si>
    <t>证券简称</t>
  </si>
  <si>
    <t>证券代码</t>
  </si>
  <si>
    <t>Source: Company data, Datastream, Goldman Sachs Research estimates.</t>
  </si>
  <si>
    <t>CNY</t>
  </si>
  <si>
    <t>A shares</t>
  </si>
  <si>
    <t>FCF</t>
  </si>
  <si>
    <t>Sales</t>
  </si>
  <si>
    <t>CROCI</t>
  </si>
  <si>
    <t>Growth</t>
  </si>
  <si>
    <t>Dividend payout ratio</t>
  </si>
  <si>
    <t>WACC</t>
  </si>
  <si>
    <t>EV/EBIT</t>
  </si>
  <si>
    <t>EV/EBITDA</t>
  </si>
  <si>
    <t>EV/Sales</t>
  </si>
  <si>
    <t>Terminal growth rate</t>
  </si>
  <si>
    <t>Sensitivity analysis</t>
  </si>
  <si>
    <t>Total FCF</t>
  </si>
  <si>
    <t>Terminal value (Rmb mn)</t>
  </si>
  <si>
    <t>Terminal value</t>
  </si>
  <si>
    <t>% growth</t>
  </si>
  <si>
    <t>FCF (Rmb mn)</t>
  </si>
  <si>
    <t>- capital expenditure</t>
  </si>
  <si>
    <t>+ Depreciation and amortization</t>
  </si>
  <si>
    <t>- EBIT x tax rate</t>
  </si>
  <si>
    <t>DCF calculation</t>
  </si>
  <si>
    <t>Discounted cash flow model</t>
  </si>
  <si>
    <t>Potential share price upside</t>
  </si>
  <si>
    <t>Long-run debt-to-capital ratio</t>
  </si>
  <si>
    <t>After-tax cost of debt</t>
  </si>
  <si>
    <t>Tax rate</t>
  </si>
  <si>
    <t>Cost of debt</t>
  </si>
  <si>
    <t>Debt component</t>
  </si>
  <si>
    <t>Shares outstanding (current)</t>
  </si>
  <si>
    <t>Cost of equity</t>
  </si>
  <si>
    <t>Fair value (Rmb mn)</t>
  </si>
  <si>
    <t>Beta</t>
  </si>
  <si>
    <t>Risk free rate</t>
  </si>
  <si>
    <t>Net debt (Rmb mn)</t>
  </si>
  <si>
    <t>Equity market premium</t>
  </si>
  <si>
    <t>Firm value (Rmb mn)</t>
  </si>
  <si>
    <t>Equity component</t>
  </si>
  <si>
    <t>DCF summary results</t>
  </si>
  <si>
    <t>WACC calculation</t>
  </si>
  <si>
    <t>Current price A share (RMB)</t>
  </si>
  <si>
    <t>DCF value/A share (RMB)</t>
  </si>
  <si>
    <t>Applicable Exchange Rate</t>
  </si>
  <si>
    <t>Equity value/share (Rmb)</t>
  </si>
  <si>
    <t>Total debt</t>
  </si>
  <si>
    <t>Minority interest (Rmb mn)</t>
  </si>
  <si>
    <t>Total cash and equivalents</t>
  </si>
  <si>
    <t>Debt calculation (Rmb mn)</t>
  </si>
  <si>
    <t>Beginning year</t>
  </si>
  <si>
    <t>CROCI_INCL_LEASES_NOM</t>
  </si>
  <si>
    <t>Calculation</t>
  </si>
  <si>
    <t>Gross cash invested</t>
  </si>
  <si>
    <t>OTH_GCI_ADJ</t>
  </si>
  <si>
    <t>CAP_LEASES</t>
  </si>
  <si>
    <t>INV_SECUR</t>
  </si>
  <si>
    <t>FIX_ASS_INV</t>
  </si>
  <si>
    <t>Other GCI elements</t>
  </si>
  <si>
    <t>SHORT_T_DEBT</t>
  </si>
  <si>
    <t>SHORT_TERM_LIABS</t>
  </si>
  <si>
    <t>SHORT_T_LIAB_CALC</t>
  </si>
  <si>
    <t>OTH_CUR_ASS</t>
  </si>
  <si>
    <t>DEBTORS</t>
  </si>
  <si>
    <t>STOCKS</t>
  </si>
  <si>
    <t>Operating current assets</t>
  </si>
  <si>
    <t>GR_INTANG</t>
  </si>
  <si>
    <t>GR_FIX_ASS</t>
  </si>
  <si>
    <t>TOT_DEPR_ASS_CALC</t>
  </si>
  <si>
    <t>Total depreciating assets</t>
  </si>
  <si>
    <t>OTH_DACF_ADJ</t>
  </si>
  <si>
    <t>LEASE_PAY</t>
  </si>
  <si>
    <t>NET_INT_EXP</t>
  </si>
  <si>
    <t>AT_PORT_CALC</t>
  </si>
  <si>
    <t>WORK_CAP</t>
  </si>
  <si>
    <t>CF_OPS</t>
  </si>
  <si>
    <t>Quantum</t>
  </si>
  <si>
    <t>Relevant key metrics</t>
  </si>
  <si>
    <t>Rmb/US$ exchange rate (year-end)</t>
  </si>
  <si>
    <t>Exchange rate used when reporting, publishing and pricing currencies are same, but exchange rate is required for other calculations.</t>
  </si>
  <si>
    <t>Inflation rate</t>
  </si>
  <si>
    <t>Rmb/US$ exchange rate (annual average)</t>
  </si>
  <si>
    <t>Rmb/HK$ exchange rate (year-end)</t>
  </si>
  <si>
    <t>Rmb/HK$ exchange rate (annual average)</t>
  </si>
  <si>
    <t>Exchange rates used when reporting, publishing and pricing currencies are diferent (used in Model, Revenue, Ratios and QP sheets). Value should be 1.0 if currencies are the same.</t>
  </si>
  <si>
    <t>Exchange rates</t>
  </si>
  <si>
    <t>Market capitalization (Rmb mn)</t>
  </si>
  <si>
    <t>Short-term debt/long-term debt (x)</t>
  </si>
  <si>
    <t>Total asset/equity ratio (x)</t>
  </si>
  <si>
    <t>Sales/net fixed assets</t>
  </si>
  <si>
    <t>Cash and equivalents/share</t>
  </si>
  <si>
    <t>Cash and equivalents/net asset value (%)</t>
  </si>
  <si>
    <t>Cash flow/share</t>
  </si>
  <si>
    <t>Depreciation to revenue ratio (%)</t>
  </si>
  <si>
    <t>Working capital to turnover (%)</t>
  </si>
  <si>
    <t>Capex to turnover ratio (%)</t>
  </si>
  <si>
    <t>Other ratios</t>
  </si>
  <si>
    <t>HK$/Rmb exchange rate (annual average)</t>
  </si>
  <si>
    <t>Market price (A shares) Rmb</t>
  </si>
  <si>
    <t>Capital market ratios</t>
  </si>
  <si>
    <t>EBITDA interest coverage (x)</t>
  </si>
  <si>
    <t>EBIT interest coverage ratio (x)</t>
  </si>
  <si>
    <t>Net debt to equity ratio (x)</t>
  </si>
  <si>
    <t>Total debt to capital ratio (x)</t>
  </si>
  <si>
    <t>Gearing ratios</t>
  </si>
  <si>
    <t>Super quick ratio</t>
  </si>
  <si>
    <t>Quick ratio</t>
  </si>
  <si>
    <t>Current ratio</t>
  </si>
  <si>
    <t>Liquidity ratios</t>
  </si>
  <si>
    <t>EPS (basic) growth</t>
  </si>
  <si>
    <t>Net profit growth</t>
  </si>
  <si>
    <t>EBIT (operating profit) growth</t>
  </si>
  <si>
    <t>EBITDA growth</t>
  </si>
  <si>
    <t xml:space="preserve">Gross profit growth </t>
  </si>
  <si>
    <t>Sales growth</t>
  </si>
  <si>
    <t>Growth rates</t>
  </si>
  <si>
    <t>Cash conversion cycle days</t>
  </si>
  <si>
    <t>Payable days (days' COGS as payables)</t>
  </si>
  <si>
    <t>Receivable days (days' sales as receivables)</t>
  </si>
  <si>
    <t>Inventory days (days' COGS as inventory)</t>
  </si>
  <si>
    <t>Receivable turns</t>
  </si>
  <si>
    <t>Inventory turns</t>
  </si>
  <si>
    <t>Working capital measures</t>
  </si>
  <si>
    <t>Major expenses (as a % of net sales)</t>
  </si>
  <si>
    <t>Cash dividend per share (Rmb)</t>
  </si>
  <si>
    <t>Book value per share (Rmb)</t>
  </si>
  <si>
    <t>Diluted EPS (Rmb)</t>
  </si>
  <si>
    <t>Per share statistics</t>
  </si>
  <si>
    <t>Return on equity (%)</t>
  </si>
  <si>
    <t>Return on invested capital (%)</t>
  </si>
  <si>
    <t>Return on asset (%)</t>
  </si>
  <si>
    <t>Asset turnover ratio</t>
  </si>
  <si>
    <t>Asset to equity ratio</t>
  </si>
  <si>
    <t>Turnover to asset ratio</t>
  </si>
  <si>
    <t>Net profit margin (%)</t>
  </si>
  <si>
    <t>ROE Dupont analysis</t>
  </si>
  <si>
    <t>Pre-tax margins</t>
  </si>
  <si>
    <t>Operating profit (EBIT) margin (%)</t>
  </si>
  <si>
    <t>Gross profit margin (%)</t>
  </si>
  <si>
    <t>Profitability ratios</t>
  </si>
  <si>
    <t>EV (Rmb mn)</t>
  </si>
  <si>
    <t>Dividend yield</t>
  </si>
  <si>
    <t xml:space="preserve">Price to sales </t>
  </si>
  <si>
    <t>P/B</t>
  </si>
  <si>
    <t>PEG</t>
  </si>
  <si>
    <t>Valuation metrics</t>
  </si>
  <si>
    <t>Actual</t>
  </si>
  <si>
    <t>Exceptionals (including preference dividend)</t>
  </si>
  <si>
    <t>Linked to Raw Data</t>
  </si>
  <si>
    <t>Linked to Model</t>
  </si>
  <si>
    <t>Do not delete Column A &amp; B</t>
  </si>
  <si>
    <t>PRICE_CURRENCY_ISO</t>
  </si>
  <si>
    <t>TARGET_PRICE</t>
  </si>
  <si>
    <t>Type</t>
  </si>
  <si>
    <t>Date</t>
  </si>
  <si>
    <t>Check</t>
  </si>
  <si>
    <t>Net change in cash and cash equivalents</t>
  </si>
  <si>
    <t>Net cash (used in)/from financing activities</t>
  </si>
  <si>
    <t>Interest paid</t>
  </si>
  <si>
    <t>Capital contribution by minority shareholders of subsidiaries</t>
  </si>
  <si>
    <t>Dividends paid to minority shareholders</t>
  </si>
  <si>
    <t>Increase/decrease in preferred shares</t>
  </si>
  <si>
    <t>Repurchase of preference shares</t>
  </si>
  <si>
    <t>Proceeds from issue of preference shares</t>
  </si>
  <si>
    <t>Increase/decrease in long-term debt</t>
  </si>
  <si>
    <t>XXX</t>
  </si>
  <si>
    <t>New loans raised</t>
  </si>
  <si>
    <t>Repayment of loans</t>
  </si>
  <si>
    <t>Proceeds from issue of convertible bond</t>
  </si>
  <si>
    <t>Increase/decrease in ST debt</t>
  </si>
  <si>
    <t>Repayments of short-term loans</t>
  </si>
  <si>
    <t>Proceeds from short-term loans</t>
  </si>
  <si>
    <t>Dividends paid</t>
  </si>
  <si>
    <t>Repurchase of A shares</t>
  </si>
  <si>
    <t>Proceeds from issue of A shares</t>
  </si>
  <si>
    <t>Financing activities</t>
  </si>
  <si>
    <t>Net cash (used in)/from investing activities</t>
  </si>
  <si>
    <t>Decrease in amount due from an associate</t>
  </si>
  <si>
    <t>Interest received</t>
  </si>
  <si>
    <t>Dividend received from jointly controlled entity</t>
  </si>
  <si>
    <t>Increase in investment cost in a jointly controlled entity</t>
  </si>
  <si>
    <t>Proceeds from disposal of trading securities (f.k.a. investment in securities)</t>
  </si>
  <si>
    <t>Proceeds from disposal of investment securities (non-trading)</t>
  </si>
  <si>
    <t>Capital contribution in associate</t>
  </si>
  <si>
    <t>Purchase of available for sales investment</t>
  </si>
  <si>
    <t>Proceeds from disposal of available for sales investment</t>
  </si>
  <si>
    <t>Proceeds from disposal of an associate</t>
  </si>
  <si>
    <t>Purchase of trading securities (f.k.a. acquisition of investments in securities)</t>
  </si>
  <si>
    <t>Investment in an associated company</t>
  </si>
  <si>
    <t>Purchase of intangible assets</t>
  </si>
  <si>
    <t>Prepayment for land lease</t>
  </si>
  <si>
    <t>(Increase) decrease in bank deposits with maturity over three months and pledged bank deposits</t>
  </si>
  <si>
    <t>Total acquisitions/divestitures</t>
  </si>
  <si>
    <t>Acquisition of a business</t>
  </si>
  <si>
    <t>Acquisition of a jointly controlled entity</t>
  </si>
  <si>
    <t>Proceeds from disposal of property, plant and equipment</t>
  </si>
  <si>
    <t>Prepayment for/purchase of construction in progress</t>
  </si>
  <si>
    <t>Additions to property, plant and equipment</t>
  </si>
  <si>
    <t>Purchase of property, plant and equipment</t>
  </si>
  <si>
    <t>Investing activities</t>
  </si>
  <si>
    <t>Net cash generated from/(used in) operating activities</t>
  </si>
  <si>
    <t>PRC enterprise income tax paid</t>
  </si>
  <si>
    <t>Decrease in held for trading investment</t>
  </si>
  <si>
    <t>Increase (decrease) in provision in termination benefit</t>
  </si>
  <si>
    <t>Increase in provision</t>
  </si>
  <si>
    <t>Increase (decrease) in other tax liabilities</t>
  </si>
  <si>
    <t>Increase in deferred income</t>
  </si>
  <si>
    <t>Total accounts payable and accrued liabilities CF</t>
  </si>
  <si>
    <t xml:space="preserve">Increase in trade payables and other payables </t>
  </si>
  <si>
    <t>Increase in amounts due to related parties</t>
  </si>
  <si>
    <t>Total accounts receivable CF</t>
  </si>
  <si>
    <t>Increase in trade receivables and other receivables</t>
  </si>
  <si>
    <t>(Increase)/decrease in net amounts due to/from customers for contract works</t>
  </si>
  <si>
    <t>(Increase)/decrease in amounts due from related parties</t>
  </si>
  <si>
    <t>Inventories CF</t>
  </si>
  <si>
    <t>Increase in current assets:</t>
  </si>
  <si>
    <t>Loss on disposal of staff dormitories</t>
  </si>
  <si>
    <t>Loss on disposal of an associate</t>
  </si>
  <si>
    <t>Expense arising from Group Reorganization</t>
  </si>
  <si>
    <t>Expenses of R and D cost in construction in progress</t>
  </si>
  <si>
    <t>Provision for amount due from an associated company</t>
  </si>
  <si>
    <t xml:space="preserve">Reversal of written down for inventories </t>
  </si>
  <si>
    <t>Inventories written off</t>
  </si>
  <si>
    <t>Operating lease rentals in respect of prepaid lease payments</t>
  </si>
  <si>
    <t>Allowance for bad and doubtful debts</t>
  </si>
  <si>
    <t>Realisation (amortisation) of deferred income</t>
  </si>
  <si>
    <t>Finance cost</t>
  </si>
  <si>
    <t>Share of results of associates</t>
  </si>
  <si>
    <t>Share result of jointly controlled entities</t>
  </si>
  <si>
    <t>Net profit/loss on asset sales</t>
  </si>
  <si>
    <t>Gain on disposal of available-for-sale investment</t>
  </si>
  <si>
    <t>(Gain) Loss on disposal of PPE and construction in process</t>
  </si>
  <si>
    <t>Depreciation and amortisation</t>
  </si>
  <si>
    <t>Unallocated</t>
  </si>
  <si>
    <t>Depreciation of Information technology</t>
  </si>
  <si>
    <t>Depreciation of Property</t>
  </si>
  <si>
    <t>Depreciation of Consumer products</t>
  </si>
  <si>
    <t>Depreciation of Medicine</t>
  </si>
  <si>
    <t>Depreciation of Infrastructure facilities</t>
  </si>
  <si>
    <t>Amortisation of prepaid lease payments on land use rights</t>
    <phoneticPr fontId="0" type="noConversion"/>
  </si>
  <si>
    <t>Amortisation of intangible assets</t>
    <phoneticPr fontId="0" type="noConversion"/>
  </si>
  <si>
    <t>Adjustments for:</t>
  </si>
  <si>
    <t>Operating activities</t>
  </si>
  <si>
    <t>Profit before taxation</t>
  </si>
  <si>
    <t xml:space="preserve">Total </t>
  </si>
  <si>
    <t>Transfer to DEC</t>
  </si>
  <si>
    <t>Transfer to property, plant and equipment</t>
  </si>
  <si>
    <t>Expenses of research and development cost to income statement for the year</t>
  </si>
  <si>
    <t>Written off</t>
  </si>
  <si>
    <t>Cost</t>
  </si>
  <si>
    <t>Construction in progress</t>
  </si>
  <si>
    <t>Check balance</t>
  </si>
  <si>
    <t>Total liabilities and shareholders' equity</t>
  </si>
  <si>
    <t>Minority interest (Bal Sheet)</t>
  </si>
  <si>
    <t>Other common equity (warrants, options, etc)</t>
  </si>
  <si>
    <t>Reserves</t>
  </si>
  <si>
    <t>Share capital</t>
  </si>
  <si>
    <t>Capital and reserves</t>
  </si>
  <si>
    <t>Other long-term liabilities</t>
  </si>
  <si>
    <t>Amounts due to related parties</t>
  </si>
  <si>
    <t>Deferred income</t>
  </si>
  <si>
    <t>long-term bonds</t>
  </si>
  <si>
    <t>(Unsecured) long-term liabilities</t>
  </si>
  <si>
    <t>Borrowings</t>
  </si>
  <si>
    <t>Non-current liabilities</t>
  </si>
  <si>
    <t>Enterpise income tax liablities</t>
  </si>
  <si>
    <t>Dividends payable</t>
  </si>
  <si>
    <t>Receipts in advance</t>
  </si>
  <si>
    <t>Accrued expenses</t>
  </si>
  <si>
    <t>Short-term bank and other borrowings</t>
  </si>
  <si>
    <t>Short-term bonds</t>
  </si>
  <si>
    <t xml:space="preserve">Borrowings </t>
  </si>
  <si>
    <t>Accounts payable and accrued liabilities</t>
  </si>
  <si>
    <t>Amounts due to subsidiaries</t>
  </si>
  <si>
    <t>Other payables</t>
  </si>
  <si>
    <t>Bills payables</t>
  </si>
  <si>
    <t>Trade payables</t>
  </si>
  <si>
    <t>Amount due to related parties</t>
  </si>
  <si>
    <t>Amounts due to customers for contract works</t>
  </si>
  <si>
    <t>Liabilities and shareholders' equity</t>
  </si>
  <si>
    <t>Restricted cash</t>
  </si>
  <si>
    <t>Special adjustment</t>
  </si>
  <si>
    <t>Bank deposits with maturity over three months</t>
  </si>
  <si>
    <t>Other investment</t>
  </si>
  <si>
    <t>Prepaid lease payments (on land use right)</t>
  </si>
  <si>
    <t xml:space="preserve">Trading securities </t>
  </si>
  <si>
    <t>Prepayment</t>
  </si>
  <si>
    <t>Amount due from related parties</t>
  </si>
  <si>
    <t>Amounts due from an associate</t>
  </si>
  <si>
    <t>Amount due from subsidiaries</t>
  </si>
  <si>
    <t>Amounts due from customers for contract works</t>
  </si>
  <si>
    <t>Other receivables</t>
  </si>
  <si>
    <t>Bills receivables</t>
  </si>
  <si>
    <t>Trade receivables</t>
  </si>
  <si>
    <t>Inventories</t>
  </si>
  <si>
    <t>Spare parts and consumables</t>
  </si>
  <si>
    <t>Finished goods</t>
  </si>
  <si>
    <t>Work in process</t>
  </si>
  <si>
    <t>Raw materials and consumables</t>
  </si>
  <si>
    <t xml:space="preserve">Cash and cash equivalents </t>
  </si>
  <si>
    <t>Deposits in non-banking financial institutions</t>
  </si>
  <si>
    <t>Cash equivalents</t>
  </si>
  <si>
    <t xml:space="preserve">Cash </t>
  </si>
  <si>
    <t>Other non-current assets</t>
  </si>
  <si>
    <t>longterm amortization</t>
  </si>
  <si>
    <t>longtern receivables</t>
  </si>
  <si>
    <t>Deferred tax assets</t>
  </si>
  <si>
    <t>Prepaid lease payments</t>
  </si>
  <si>
    <t>Available-for-sale investments (Investment securities or non-trading securities)</t>
  </si>
  <si>
    <t>Investments in subsidiaries</t>
  </si>
  <si>
    <t>Investment properties</t>
  </si>
  <si>
    <t>Intangible asseets</t>
  </si>
  <si>
    <t>Property, plant and equipment</t>
  </si>
  <si>
    <t>Less: fixed asset impairment</t>
  </si>
  <si>
    <t>Less: accumulated depreciation</t>
  </si>
  <si>
    <t>Gross value, excluding construction in progress</t>
  </si>
  <si>
    <t>Gross value,including construction in progress</t>
  </si>
  <si>
    <t>Non-current assets</t>
  </si>
  <si>
    <t>Total finance costs</t>
  </si>
  <si>
    <t>Less: capitalized interest</t>
  </si>
  <si>
    <t>Other</t>
  </si>
  <si>
    <t>Bank loans and other borrowings wholly repayable within five years</t>
  </si>
  <si>
    <t>Interest on amounts due to related parties</t>
  </si>
  <si>
    <t>Interest on bank</t>
  </si>
  <si>
    <t>Finance costs</t>
  </si>
  <si>
    <t>Total</t>
  </si>
  <si>
    <t>Revenue breakdown</t>
  </si>
  <si>
    <t>Share count</t>
  </si>
  <si>
    <t xml:space="preserve">Final </t>
  </si>
  <si>
    <t>Interim</t>
  </si>
  <si>
    <t>Dividends</t>
  </si>
  <si>
    <t>Diluted</t>
  </si>
  <si>
    <t>Basic</t>
  </si>
  <si>
    <t>Earnings per share (Rmb)</t>
  </si>
  <si>
    <t>Net profit (post minority int, pref div, extraordinary items)</t>
  </si>
  <si>
    <t>Preferred dividend</t>
  </si>
  <si>
    <t>Taxation</t>
  </si>
  <si>
    <t>Pre-tax profits</t>
  </si>
  <si>
    <t>Other non operating income/expense</t>
  </si>
  <si>
    <t xml:space="preserve">                                 Net income from associates or jointly controlled entities</t>
  </si>
  <si>
    <t>Net financial expense/income</t>
  </si>
  <si>
    <t>Interest costs</t>
  </si>
  <si>
    <t>Depreciation and amortization</t>
  </si>
  <si>
    <t>Other operating gains/expenses</t>
  </si>
  <si>
    <t>asset impairment loss</t>
  </si>
  <si>
    <t>Other COGS</t>
  </si>
  <si>
    <t>Wages and staff welfare</t>
  </si>
  <si>
    <t>Fuel costs</t>
  </si>
  <si>
    <t>Cost of sales</t>
  </si>
  <si>
    <t>Turnover</t>
  </si>
  <si>
    <t>Pre-tax profit</t>
  </si>
  <si>
    <t>Gross fixed assets, PP&amp;E</t>
  </si>
  <si>
    <t>Gross intangibles</t>
  </si>
  <si>
    <t>Equity method investments</t>
  </si>
  <si>
    <t>Investments in securities</t>
  </si>
  <si>
    <t>Cash flow from operating activities</t>
  </si>
  <si>
    <t>Q</t>
  </si>
  <si>
    <t>Target price</t>
  </si>
  <si>
    <t>Current shares outstanding (mn)</t>
  </si>
  <si>
    <t>其他</t>
  </si>
  <si>
    <t>财务指标</t>
  </si>
  <si>
    <t>生产指标</t>
  </si>
  <si>
    <t>每吨收入(千元)</t>
  </si>
  <si>
    <t>每吨成本(千元)</t>
  </si>
  <si>
    <t>费用</t>
  </si>
  <si>
    <t>基本每股收益</t>
  </si>
  <si>
    <t>人工成本</t>
  </si>
  <si>
    <t>员工总人数</t>
  </si>
  <si>
    <t>人工成本占销售管理费用比例</t>
  </si>
  <si>
    <t>人工成本占收入比例</t>
  </si>
  <si>
    <t>按照性质分的费用</t>
  </si>
  <si>
    <t>广告宣传费用</t>
  </si>
  <si>
    <t>销售管理费用率</t>
  </si>
  <si>
    <t>Segments</t>
  </si>
  <si>
    <t>Annual</t>
  </si>
  <si>
    <t>Halves</t>
  </si>
  <si>
    <t>Quarters</t>
  </si>
  <si>
    <t>每吨毛利(千元)</t>
  </si>
  <si>
    <t>较上一期绝对增量</t>
  </si>
  <si>
    <t>check</t>
  </si>
  <si>
    <t>营业成本直接人工</t>
  </si>
  <si>
    <t>固定资产</t>
  </si>
  <si>
    <t>原值净增</t>
  </si>
  <si>
    <t>资本开支</t>
  </si>
  <si>
    <t>占收入比重</t>
  </si>
  <si>
    <t>无形资产</t>
  </si>
  <si>
    <t>长期待摊费用</t>
  </si>
  <si>
    <t>固定资产、在建工程</t>
  </si>
  <si>
    <t>折旧年限</t>
  </si>
  <si>
    <t>期初原值</t>
  </si>
  <si>
    <t>期末原值</t>
  </si>
  <si>
    <t>摊销年限</t>
  </si>
  <si>
    <t>其他长期资产</t>
  </si>
  <si>
    <t>期初</t>
  </si>
  <si>
    <t>增加</t>
  </si>
  <si>
    <t>期末</t>
  </si>
  <si>
    <t>新增收入/资本开支</t>
  </si>
  <si>
    <t>股权激励</t>
  </si>
  <si>
    <t>增长</t>
  </si>
  <si>
    <t>Net Profit</t>
  </si>
  <si>
    <t>Accretion</t>
  </si>
  <si>
    <t>Financial terms</t>
  </si>
  <si>
    <t>Operating terms</t>
  </si>
  <si>
    <t>Growth terms</t>
  </si>
  <si>
    <t>Revenue per ton</t>
  </si>
  <si>
    <t>Expense</t>
  </si>
  <si>
    <t>Selling expense</t>
  </si>
  <si>
    <t>Salary</t>
  </si>
  <si>
    <t>Advertising expense</t>
  </si>
  <si>
    <t>Transportation expense</t>
  </si>
  <si>
    <t>Other expense</t>
  </si>
  <si>
    <t>Expense ratio</t>
  </si>
  <si>
    <t>Admin. Expense</t>
  </si>
  <si>
    <t>Salary expense</t>
  </si>
  <si>
    <t>Admin expense ratio</t>
  </si>
  <si>
    <t>Labor cost</t>
  </si>
  <si>
    <t>Admin expense</t>
  </si>
  <si>
    <t>Cost per headcount</t>
  </si>
  <si>
    <t>Labor cost as a portion of revenue</t>
  </si>
  <si>
    <t>Expense in catagories</t>
  </si>
  <si>
    <t>Selling &amp; Admin expense ratio</t>
  </si>
  <si>
    <t>Labor cost as a portion of Selling &amp; Admin expense</t>
  </si>
  <si>
    <t>Deprecaition</t>
  </si>
  <si>
    <t>物流费用</t>
  </si>
  <si>
    <t>收入地理分布</t>
  </si>
  <si>
    <t>研发费</t>
  </si>
  <si>
    <t>R&amp;D</t>
  </si>
  <si>
    <t>产能利用率</t>
  </si>
  <si>
    <t>2017</t>
  </si>
  <si>
    <t>2018</t>
  </si>
  <si>
    <t>2019</t>
  </si>
  <si>
    <t>Transportation</t>
  </si>
  <si>
    <t>Tax</t>
  </si>
  <si>
    <t>Utilization rate</t>
  </si>
  <si>
    <t>Geographic distribution of revenue</t>
  </si>
  <si>
    <t>生产人员</t>
  </si>
  <si>
    <t>Water</t>
  </si>
  <si>
    <t>Manufacturing</t>
  </si>
  <si>
    <t>GP</t>
  </si>
  <si>
    <t>OP</t>
  </si>
  <si>
    <t>OPM</t>
  </si>
  <si>
    <t>X~U$</t>
  </si>
  <si>
    <t>Add: (Increase)/decrease in working capital</t>
  </si>
  <si>
    <t>1 - Margin tax rate</t>
  </si>
  <si>
    <t>Less: Net interest income/(expense)</t>
  </si>
  <si>
    <t>Add: Shared profits from associated companies /JCE</t>
  </si>
  <si>
    <t>Debt adjusted cash flow （incl leases)</t>
  </si>
  <si>
    <t>Check: EBITDA less tax (ex. Govt grant and negative goodwill)</t>
  </si>
  <si>
    <t>Cash earnings post tax (EBITDA minus tax paid)</t>
  </si>
  <si>
    <t>Other receivable</t>
  </si>
  <si>
    <t>Operating current liabs</t>
  </si>
  <si>
    <t>Trade and bills payable, accounts payable (-)</t>
  </si>
  <si>
    <t>Net operating working capital</t>
  </si>
  <si>
    <t>Net operating working capital for GCI</t>
  </si>
  <si>
    <t>Others - prepaid leases, properties, associates</t>
  </si>
  <si>
    <t>Non-current prepayments</t>
  </si>
  <si>
    <t>Caculation</t>
  </si>
  <si>
    <t>GCI, gross cash invested, nominal (excl. cash) (US$)</t>
  </si>
  <si>
    <t>CROCI (nominal) (US$)</t>
  </si>
  <si>
    <t>Adjusted net debt calculation:</t>
  </si>
  <si>
    <t>Cash</t>
  </si>
  <si>
    <t>ST investments / held to maturity instruments</t>
  </si>
  <si>
    <t>A/R</t>
  </si>
  <si>
    <t>A/P</t>
  </si>
  <si>
    <t>Adjusted net debt (HKD)</t>
  </si>
  <si>
    <t xml:space="preserve">= Total debt - free cash </t>
  </si>
  <si>
    <t>= Free cash = Cash + ST investments + (A/R + Inventory -A/P)</t>
  </si>
  <si>
    <t>Market Cap (current, pricing ccy)</t>
  </si>
  <si>
    <t>Minority interests (year end, pricing ccy)</t>
  </si>
  <si>
    <t>Enterprise value (adjusted, pricing ccy)</t>
  </si>
  <si>
    <t>EV/GCI (X)</t>
  </si>
  <si>
    <t>CROCI/WACC (X)</t>
  </si>
  <si>
    <t>EV/GCI v CROCI/WACC (valuation ratio, X)</t>
  </si>
  <si>
    <t>Capital Intensity</t>
  </si>
  <si>
    <t>Cash Margin</t>
  </si>
  <si>
    <t>Available for sales: NA</t>
  </si>
  <si>
    <t>CN:FHT</t>
  </si>
  <si>
    <t>2020E</t>
  </si>
  <si>
    <t>2021E</t>
  </si>
  <si>
    <t>2022E</t>
  </si>
  <si>
    <t>2023E</t>
  </si>
  <si>
    <t>Target PE</t>
  </si>
  <si>
    <t>Unit COGS (RMB per ton)</t>
  </si>
  <si>
    <t>Consensus EBIT</t>
  </si>
  <si>
    <t>Consensus Sales</t>
  </si>
  <si>
    <t>Consensus NI</t>
  </si>
  <si>
    <t>销售人员平均绩效</t>
  </si>
  <si>
    <t>GSe</t>
  </si>
  <si>
    <t>Diff</t>
  </si>
  <si>
    <t>yoy</t>
  </si>
  <si>
    <t>其他收益</t>
  </si>
  <si>
    <t>Other income/loss</t>
  </si>
  <si>
    <t>Rmb millions</t>
  </si>
  <si>
    <t>Divisional P/L</t>
  </si>
  <si>
    <t>Gross Profit</t>
  </si>
  <si>
    <t>Group OP</t>
  </si>
  <si>
    <t>Breakdown</t>
  </si>
  <si>
    <t>YoY Growth (%)</t>
  </si>
  <si>
    <t>Margins</t>
  </si>
  <si>
    <t>Consolidated P/L (Rmb mn)</t>
  </si>
  <si>
    <t>SG&amp;A (excl. other rev/exp)</t>
  </si>
  <si>
    <t xml:space="preserve">Selling Exp. </t>
  </si>
  <si>
    <t xml:space="preserve">Admin Exp. </t>
  </si>
  <si>
    <t>Other income/expenses</t>
  </si>
  <si>
    <t>EBIT (reported)</t>
  </si>
  <si>
    <t>D&amp;A</t>
  </si>
  <si>
    <t xml:space="preserve">Net Finance Exp. </t>
  </si>
  <si>
    <t>Other Non-Op Income</t>
  </si>
  <si>
    <t>Profit Before Tax</t>
  </si>
  <si>
    <t>Minority Interest</t>
  </si>
  <si>
    <t>One-off's after tax</t>
  </si>
  <si>
    <t>Recurring NPAT</t>
  </si>
  <si>
    <t>WA Shares - Basic</t>
  </si>
  <si>
    <t>WA Shares - Diluted</t>
  </si>
  <si>
    <t>EPS - Basic (Rmb/Sh)</t>
  </si>
  <si>
    <t>EPS - Diluted (Rmb/Sh)</t>
  </si>
  <si>
    <t xml:space="preserve">Growth </t>
  </si>
  <si>
    <t>Operating profit (GP less SG&amp;A)</t>
  </si>
  <si>
    <t>Reported NPAT</t>
  </si>
  <si>
    <t>GP margin</t>
  </si>
  <si>
    <t>Reported NPAT margin</t>
  </si>
  <si>
    <t>SG&amp;A/Sales</t>
  </si>
  <si>
    <t>Effective Tax Rate</t>
  </si>
  <si>
    <t>FY17</t>
  </si>
  <si>
    <t>SG&amp;A率</t>
  </si>
  <si>
    <t>2020</t>
  </si>
  <si>
    <t>Cash in stock</t>
  </si>
  <si>
    <t>Other capital</t>
  </si>
  <si>
    <t>Savings</t>
  </si>
  <si>
    <t>Total cash</t>
  </si>
  <si>
    <t>Diff vs. cash balance</t>
  </si>
  <si>
    <t>MA_PROB</t>
  </si>
  <si>
    <t>GOLDMAN SACHS</t>
  </si>
  <si>
    <t>GLOBAL INVESTMENT RESEARCH</t>
  </si>
  <si>
    <t>Consumers Team</t>
  </si>
  <si>
    <t>Rating</t>
  </si>
  <si>
    <t>RATING</t>
  </si>
  <si>
    <t>M&amp;A probability</t>
  </si>
  <si>
    <r>
      <t xml:space="preserve">Market Cap (US$ mn), </t>
    </r>
    <r>
      <rPr>
        <i/>
        <sz val="11"/>
        <color theme="1"/>
        <rFont val="Arial"/>
        <family val="2"/>
      </rPr>
      <t>price as of</t>
    </r>
  </si>
  <si>
    <t>CAPI</t>
  </si>
  <si>
    <t>NUM_SH1</t>
  </si>
  <si>
    <t>Currency</t>
  </si>
  <si>
    <t>Valuation Methodology</t>
  </si>
  <si>
    <t>Current Publication Date</t>
  </si>
  <si>
    <t>TARGET_PRICE_CHANGE_DATE</t>
  </si>
  <si>
    <t>Previous Publication Date</t>
  </si>
  <si>
    <t>Team Contacts</t>
  </si>
  <si>
    <t>Other income</t>
  </si>
  <si>
    <t>FY18</t>
  </si>
  <si>
    <t>YoY Growth</t>
  </si>
  <si>
    <t>Relative difference</t>
  </si>
  <si>
    <t>Absolute difference</t>
  </si>
  <si>
    <t>Old estimates</t>
  </si>
  <si>
    <t>NPAT to shareholders</t>
  </si>
  <si>
    <t>YOY</t>
  </si>
  <si>
    <t>Online</t>
  </si>
  <si>
    <t>FY19</t>
  </si>
  <si>
    <t>1Q20</t>
  </si>
  <si>
    <t>2Q20</t>
  </si>
  <si>
    <t>研发费用</t>
  </si>
  <si>
    <t>信用减值损失</t>
  </si>
  <si>
    <t xml:space="preserve">                (一) 基本每股收益(元)</t>
  </si>
  <si>
    <t xml:space="preserve">                (二) 稀释每股收益(元)</t>
  </si>
  <si>
    <t>补充资料：</t>
  </si>
  <si>
    <t>资产处置收益</t>
  </si>
  <si>
    <t>1H20</t>
  </si>
  <si>
    <t>3Q20</t>
  </si>
  <si>
    <t>9M20</t>
  </si>
  <si>
    <t>2024E</t>
  </si>
  <si>
    <t>2025E</t>
  </si>
  <si>
    <t>FY25E</t>
  </si>
  <si>
    <t>4Q20</t>
  </si>
  <si>
    <t>2H20</t>
  </si>
  <si>
    <t>FY20</t>
  </si>
  <si>
    <t>1Q21</t>
  </si>
  <si>
    <t xml:space="preserve">                其他收益/资产处置收益</t>
  </si>
  <si>
    <t xml:space="preserve">                研发费用</t>
  </si>
  <si>
    <t xml:space="preserve">                信用减值损失</t>
  </si>
  <si>
    <t xml:space="preserve">                债权投资</t>
  </si>
  <si>
    <t>Investment gains/(loss)</t>
  </si>
  <si>
    <t xml:space="preserve">net gains/(loss) of fair value </t>
  </si>
  <si>
    <t>(Gain) Loss on disposal of trading securities</t>
  </si>
  <si>
    <t xml:space="preserve">Net gains/(loss) of fair value </t>
  </si>
  <si>
    <t>销售人员</t>
  </si>
  <si>
    <t>财务人员</t>
  </si>
  <si>
    <t>行政人员</t>
  </si>
  <si>
    <t>人均成本 (千元)</t>
  </si>
  <si>
    <t>Market data (Rmb/kg)</t>
  </si>
  <si>
    <t>Utilization</t>
  </si>
  <si>
    <t>Operating profit</t>
  </si>
  <si>
    <t>YoY growth</t>
  </si>
  <si>
    <t>2Q21</t>
  </si>
  <si>
    <t>1H21</t>
  </si>
  <si>
    <t>DCF</t>
  </si>
  <si>
    <t>2026E</t>
  </si>
  <si>
    <t>Buy</t>
  </si>
  <si>
    <t>By segment</t>
  </si>
  <si>
    <t>Gross Profit Margin</t>
  </si>
  <si>
    <t>3Q21</t>
  </si>
  <si>
    <t>GP per ton (k rmb)</t>
  </si>
  <si>
    <t>Selling</t>
  </si>
  <si>
    <t>Finance</t>
  </si>
  <si>
    <t>Administration</t>
  </si>
  <si>
    <t>605499.SS</t>
  </si>
  <si>
    <t>Eastroc Beverage</t>
  </si>
  <si>
    <t>Eastroc Beverage (605499.SS)</t>
  </si>
  <si>
    <t>东鹏特饮</t>
  </si>
  <si>
    <t xml:space="preserve">                合同负债</t>
  </si>
  <si>
    <t xml:space="preserve">                其他权益工具投资</t>
  </si>
  <si>
    <t xml:space="preserve">                其他非流动金融资产</t>
  </si>
  <si>
    <t xml:space="preserve">                使用权资产</t>
  </si>
  <si>
    <t xml:space="preserve">                租赁负债</t>
  </si>
  <si>
    <t xml:space="preserve">                使用权资产折旧</t>
  </si>
  <si>
    <t>包装饮用水</t>
  </si>
  <si>
    <t>Energy drinks</t>
  </si>
  <si>
    <t>Other beverage</t>
  </si>
  <si>
    <t>Cross check</t>
  </si>
  <si>
    <t>功能饮料</t>
  </si>
  <si>
    <t>250ml 金瓶</t>
  </si>
  <si>
    <t>500ml 金瓶</t>
  </si>
  <si>
    <t>250ml 金罐</t>
  </si>
  <si>
    <t>250ml 金砖</t>
  </si>
  <si>
    <t>250ml golden bottle</t>
  </si>
  <si>
    <t>500ml golden bottle</t>
  </si>
  <si>
    <t>250ml golden can</t>
  </si>
  <si>
    <t>250ml golden tetra pak</t>
  </si>
  <si>
    <t>other energy drinks</t>
  </si>
  <si>
    <t>Sales growth yoy</t>
  </si>
  <si>
    <t>销售量 (千吨)</t>
  </si>
  <si>
    <t>Sales volume (k tons)</t>
  </si>
  <si>
    <t>生产量 (千吨)</t>
  </si>
  <si>
    <t>Production volume (k tons)</t>
  </si>
  <si>
    <t>产能 (千吨)</t>
  </si>
  <si>
    <t>Capacity (k tons)</t>
  </si>
  <si>
    <t>代工产量 (千吨)</t>
  </si>
  <si>
    <t>OEM Volume (k tons)</t>
  </si>
  <si>
    <t>Non energy drinks</t>
  </si>
  <si>
    <t>销售量（千吨）</t>
  </si>
  <si>
    <t>生产量（千吨）</t>
  </si>
  <si>
    <t>代工产量（千吨）</t>
  </si>
  <si>
    <t>产能（千吨）</t>
  </si>
  <si>
    <t>广东</t>
  </si>
  <si>
    <t>Guangdong</t>
  </si>
  <si>
    <t>华中</t>
  </si>
  <si>
    <t>广西</t>
  </si>
  <si>
    <t>华东</t>
  </si>
  <si>
    <t>西南</t>
  </si>
  <si>
    <t>华北</t>
  </si>
  <si>
    <t>北方</t>
  </si>
  <si>
    <t>线上</t>
  </si>
  <si>
    <t>Guangxi</t>
  </si>
  <si>
    <t>Southwest</t>
  </si>
  <si>
    <t>North China</t>
  </si>
  <si>
    <t>North</t>
  </si>
  <si>
    <t>East China</t>
  </si>
  <si>
    <t>Central China</t>
  </si>
  <si>
    <t>Distributor breakdown by geography</t>
  </si>
  <si>
    <t>经销商/零售终端变动情况</t>
  </si>
  <si>
    <t>Total distributors</t>
  </si>
  <si>
    <t>经销商总计</t>
  </si>
  <si>
    <t>Distributor productivity (Rmb mn)</t>
  </si>
  <si>
    <t>Revenue breakdown by channel</t>
  </si>
  <si>
    <t>销售渠道分类</t>
  </si>
  <si>
    <t>线上销售</t>
  </si>
  <si>
    <t>直营</t>
  </si>
  <si>
    <t>Whole sales</t>
  </si>
  <si>
    <t>Direct sales</t>
  </si>
  <si>
    <t>职工薪酬</t>
  </si>
  <si>
    <t>运输费</t>
  </si>
  <si>
    <t>宣传推广费</t>
  </si>
  <si>
    <t>A&amp;P expense</t>
  </si>
  <si>
    <t>Ads expense</t>
  </si>
  <si>
    <t>Channel expense</t>
  </si>
  <si>
    <t>广告宣传费</t>
  </si>
  <si>
    <t>渠道推广费</t>
  </si>
  <si>
    <t>折旧与摊销</t>
  </si>
  <si>
    <t>股份支付</t>
  </si>
  <si>
    <t>Stock payment</t>
  </si>
  <si>
    <t>研发人员</t>
  </si>
  <si>
    <t/>
  </si>
  <si>
    <t>林木勤</t>
  </si>
  <si>
    <t>605499.SH</t>
  </si>
  <si>
    <t>每吨收入(元)</t>
  </si>
  <si>
    <t>Revenue per ton (rmb)</t>
  </si>
  <si>
    <t>Cost per ton (rmb)</t>
  </si>
  <si>
    <t>每吨成本(元)</t>
  </si>
  <si>
    <t>每吨毛利(元)</t>
  </si>
  <si>
    <t>Gross profit per ton (rmb)</t>
  </si>
  <si>
    <t>GP per ton (rmb)</t>
  </si>
  <si>
    <t>COGS per ton (rmb)</t>
  </si>
  <si>
    <t>Revenues</t>
  </si>
  <si>
    <t>其他业务</t>
  </si>
  <si>
    <t>白砂糖</t>
  </si>
  <si>
    <t>瓶坯</t>
  </si>
  <si>
    <t>Sugar (rmb/kg)</t>
  </si>
  <si>
    <t>PET</t>
  </si>
  <si>
    <t>瓶盖</t>
  </si>
  <si>
    <t>外帽</t>
  </si>
  <si>
    <t>纸箱</t>
  </si>
  <si>
    <t>bottle body (rmb/unit)</t>
  </si>
  <si>
    <t>bottle cup (rmb/unit)</t>
  </si>
  <si>
    <t>bottle cup outside (rmb/unit)</t>
  </si>
  <si>
    <t>纸浆</t>
  </si>
  <si>
    <t>carton (rmb/unit)</t>
  </si>
  <si>
    <t>PET (usd/kg) - Wind</t>
  </si>
  <si>
    <t>Pulp (rmb/kg) - Wind</t>
  </si>
  <si>
    <t>9M21</t>
  </si>
  <si>
    <t>1Q22</t>
  </si>
  <si>
    <t>1H22</t>
  </si>
  <si>
    <t>2H21</t>
  </si>
  <si>
    <t>Financial summaries</t>
  </si>
  <si>
    <t>Eastroc</t>
  </si>
  <si>
    <t>Capex</t>
  </si>
  <si>
    <t>Fixed assets</t>
  </si>
  <si>
    <t>Intangible assets</t>
  </si>
  <si>
    <t>LT deferrals</t>
  </si>
  <si>
    <t>ROI (sales increase/capex)</t>
  </si>
  <si>
    <t>PP&amp;E</t>
  </si>
  <si>
    <t>Beginning</t>
  </si>
  <si>
    <t>Change</t>
  </si>
  <si>
    <t>End</t>
  </si>
  <si>
    <t xml:space="preserve">Depreciation </t>
  </si>
  <si>
    <t>Useful years</t>
  </si>
  <si>
    <t>Intangibles</t>
  </si>
  <si>
    <t>Other LT assets</t>
  </si>
  <si>
    <t>vs. consensus</t>
  </si>
  <si>
    <t>diff.</t>
  </si>
  <si>
    <t>3Q22</t>
  </si>
  <si>
    <t>9M22</t>
  </si>
  <si>
    <t>4Q21</t>
  </si>
  <si>
    <t>2Q22</t>
  </si>
  <si>
    <t>Diff. formula</t>
  </si>
  <si>
    <t>DTC</t>
  </si>
  <si>
    <t>zhuying</t>
  </si>
  <si>
    <t>主营业务</t>
  </si>
  <si>
    <t>Major business</t>
  </si>
  <si>
    <t>Other parts of China</t>
  </si>
  <si>
    <t>2H22</t>
  </si>
  <si>
    <t>1H23</t>
  </si>
  <si>
    <t>2H23</t>
  </si>
  <si>
    <t>FY21</t>
  </si>
  <si>
    <t>Ratios</t>
  </si>
  <si>
    <t>DTC &amp; online</t>
  </si>
  <si>
    <t>线上及直营</t>
  </si>
  <si>
    <t>Geographic distribution of COGS and gross profits</t>
  </si>
  <si>
    <t>销售成本和毛利地理分布</t>
  </si>
  <si>
    <t>主营业务成本</t>
  </si>
  <si>
    <t>COGS and GP breakdown by channel</t>
  </si>
  <si>
    <t xml:space="preserve">COGS  </t>
  </si>
  <si>
    <t>GPM %</t>
  </si>
  <si>
    <t>Volume and ASP breakdown by channel (mn litre)</t>
  </si>
  <si>
    <t>ASP (Rmb per litre)</t>
  </si>
  <si>
    <t>GPM</t>
  </si>
  <si>
    <t>主营业务收入</t>
  </si>
  <si>
    <t>Revenue by region</t>
  </si>
  <si>
    <t>Volume by region (mn litre)</t>
  </si>
  <si>
    <t>ASP by region (Rmb/litre)</t>
  </si>
  <si>
    <t>ASP yoy (Rmb)</t>
  </si>
  <si>
    <t>Bushuila</t>
  </si>
  <si>
    <t>Dongpeng Daka</t>
  </si>
  <si>
    <t>补水啦</t>
  </si>
  <si>
    <t>东鹏大咖</t>
  </si>
  <si>
    <t>In which: Bushuila + Dongpeng Daka - Revenue</t>
  </si>
  <si>
    <t>Designed capacity</t>
  </si>
  <si>
    <t>Capacity ('000 tonnes)</t>
  </si>
  <si>
    <t>Production volume (in-house)</t>
  </si>
  <si>
    <t>Production volume (outsourcing)</t>
  </si>
  <si>
    <t>Capacity utilization ratio (%)</t>
  </si>
  <si>
    <t>产能</t>
  </si>
  <si>
    <t>其他东鹏特饮</t>
  </si>
  <si>
    <t>其他饮料</t>
  </si>
  <si>
    <t>1Q23</t>
  </si>
  <si>
    <t>9M23</t>
  </si>
  <si>
    <t>1Q24</t>
  </si>
  <si>
    <t>4Q22</t>
  </si>
  <si>
    <t>2Q23</t>
  </si>
  <si>
    <t>3Q23</t>
  </si>
  <si>
    <t>4Q23</t>
  </si>
  <si>
    <t>4Q24E</t>
  </si>
  <si>
    <t>Raw material cost breakdown</t>
  </si>
  <si>
    <t>香精</t>
  </si>
  <si>
    <t>White granulated sugar</t>
  </si>
  <si>
    <t>瓦楞纸</t>
  </si>
  <si>
    <t>纸箱（瓦楞纸）</t>
  </si>
  <si>
    <t>瓶胚（PET)</t>
  </si>
  <si>
    <t>主营业务成本 - 直接材料</t>
  </si>
  <si>
    <t>As a % of total COGS</t>
  </si>
  <si>
    <t>合计占主营业务成本比重</t>
  </si>
  <si>
    <t>COGS - Direct material costs</t>
  </si>
  <si>
    <t>COGS - Direct staff costs</t>
  </si>
  <si>
    <t>COGS - manufacturing costs</t>
  </si>
  <si>
    <t>Avg procurement prices (Rmb/unit)</t>
  </si>
  <si>
    <t>Avg procurement prices yoy %</t>
  </si>
  <si>
    <t>As % of direct material costs</t>
  </si>
  <si>
    <t>Sum</t>
  </si>
  <si>
    <t>ROE Dupont</t>
  </si>
  <si>
    <t>NPM</t>
  </si>
  <si>
    <t xml:space="preserve">Asset turnover </t>
  </si>
  <si>
    <t xml:space="preserve">Asset / Equity </t>
  </si>
  <si>
    <t>Doupont</t>
  </si>
  <si>
    <t>ROE = Sales / asset  * np /sales * asset / equity</t>
  </si>
  <si>
    <t>COGS - logistic costs</t>
  </si>
  <si>
    <t>Euromonitor data (4/22/2024)</t>
  </si>
  <si>
    <t>Eastroc Super Drink</t>
  </si>
  <si>
    <t>Hi-Tiger</t>
  </si>
  <si>
    <t>Zhongwo</t>
  </si>
  <si>
    <t>Warhorse</t>
  </si>
  <si>
    <t>Red Bull (Red Bull GmbH)</t>
  </si>
  <si>
    <t>XS (Amway)</t>
  </si>
  <si>
    <t>Monster</t>
  </si>
  <si>
    <t xml:space="preserve">Reported vs. Euromonitor % </t>
  </si>
  <si>
    <t>Total energy drinks (Euromonitor)</t>
  </si>
  <si>
    <t>Euronomonitor brand shares %</t>
  </si>
  <si>
    <t>Total sales volume ('000 tonnes)</t>
  </si>
  <si>
    <t>Unit cost (Rmb per litre)</t>
  </si>
  <si>
    <t>With reference to GS cost tracker, but proportionate vs. historical trends</t>
  </si>
  <si>
    <t>Unit cost - direct material costs (Rmb per litre)</t>
  </si>
  <si>
    <t>Weighted avg. yoy % based on GS tracker</t>
  </si>
  <si>
    <t>Volume growth yoy</t>
  </si>
  <si>
    <t>销量增速</t>
  </si>
  <si>
    <t>YOY - COGS</t>
  </si>
  <si>
    <t>Nielsen IQ data (Dongpeng)</t>
  </si>
  <si>
    <t>Eastroc's market share (value) %</t>
  </si>
  <si>
    <t>Eastroc's market share (volume) %</t>
  </si>
  <si>
    <t>Energy drink market (volume k ton)</t>
  </si>
  <si>
    <t>Industry ASP (Rmb/litre)</t>
  </si>
  <si>
    <t>ASP (Rmb/litre)</t>
  </si>
  <si>
    <t>Energy drink market in China</t>
  </si>
  <si>
    <t>RTD coffee market in China</t>
  </si>
  <si>
    <t>RTD coffee industry market size (value, Rmb mn)</t>
  </si>
  <si>
    <t xml:space="preserve">Eastroc's Super Drink MSP </t>
  </si>
  <si>
    <t>Energy drink industry market size (value, Rmb mn, retail assumed = 2x ex-fac)</t>
  </si>
  <si>
    <t>Shares outstanding</t>
  </si>
  <si>
    <t>Operation data</t>
  </si>
  <si>
    <t>Contract liabilities</t>
  </si>
  <si>
    <t>Other drinks</t>
  </si>
  <si>
    <t>As a % of total sales</t>
  </si>
  <si>
    <t>Other non-energy drinks</t>
  </si>
  <si>
    <t>Explicit growth rate</t>
  </si>
  <si>
    <t>2025-35 CAGR</t>
  </si>
  <si>
    <t>Suggested retail price (Rmb per unit)</t>
  </si>
  <si>
    <t>Shipment price (Rmb per unit, tax inclusive)</t>
  </si>
  <si>
    <t>到岸价</t>
  </si>
  <si>
    <t>Retail price analysis</t>
  </si>
  <si>
    <t>Mark-up</t>
  </si>
  <si>
    <t>Average</t>
  </si>
  <si>
    <t>As % of total revenue</t>
  </si>
  <si>
    <t>Lease liabilities</t>
  </si>
  <si>
    <t>Contract liability (current)</t>
  </si>
  <si>
    <t>n.m.</t>
  </si>
  <si>
    <t>FY22</t>
  </si>
  <si>
    <t>FY23</t>
  </si>
  <si>
    <t>FY26E</t>
  </si>
  <si>
    <t>Number of distributors</t>
  </si>
  <si>
    <t>Bushuila + Daka</t>
  </si>
  <si>
    <t>Number of fridges bought p.a. ('000)</t>
  </si>
  <si>
    <t>Unit cost (Rmb '000, GSe)</t>
  </si>
  <si>
    <t>As % of total selling expenses</t>
  </si>
  <si>
    <t>As % of total A&amp;P expenses</t>
  </si>
  <si>
    <t>Revenue and GP breakdown by product</t>
  </si>
  <si>
    <t xml:space="preserve">Revenue  </t>
  </si>
  <si>
    <t>Eastroc Special Drinks</t>
  </si>
  <si>
    <t>Vivi Cocktails</t>
  </si>
  <si>
    <t>Sugar-free tea</t>
  </si>
  <si>
    <t xml:space="preserve">Duoheduorun </t>
  </si>
  <si>
    <t>Total others</t>
  </si>
  <si>
    <t>Coconut water</t>
  </si>
  <si>
    <t>Cross check: total others</t>
  </si>
  <si>
    <t>Special Drinks</t>
  </si>
  <si>
    <t>Daka</t>
  </si>
  <si>
    <t>+Special Drinks</t>
  </si>
  <si>
    <t>+Bushuila</t>
  </si>
  <si>
    <t>+Daka</t>
  </si>
  <si>
    <t>+Other drinks</t>
  </si>
  <si>
    <t>-</t>
  </si>
  <si>
    <t>TP Implied PE</t>
  </si>
  <si>
    <t>o</t>
  </si>
  <si>
    <t>Selling expense/Sales</t>
  </si>
  <si>
    <t>Admin expense/Sales</t>
  </si>
  <si>
    <t>- Increase/(decrease) in NWC</t>
  </si>
  <si>
    <t>IPO price (Rmb)</t>
  </si>
  <si>
    <t>Avg cost (Rmb)</t>
  </si>
  <si>
    <t>Total number of shares owned</t>
  </si>
  <si>
    <t>&lt;&lt; 2020年3月转股份有限公司，折股</t>
  </si>
  <si>
    <t>Total invested amounts</t>
  </si>
  <si>
    <t>&lt;&lt; for 股权激励</t>
  </si>
  <si>
    <t>君正投资</t>
  </si>
  <si>
    <t>第四次增资</t>
  </si>
  <si>
    <t>第六次股权转让</t>
  </si>
  <si>
    <t>第三次增资</t>
  </si>
  <si>
    <t>% ownership</t>
  </si>
  <si>
    <t># Shares (mn)</t>
  </si>
  <si>
    <t># shares obtained</t>
  </si>
  <si>
    <t>Invested amount (Rmb mn)</t>
  </si>
  <si>
    <t>Investor</t>
  </si>
  <si>
    <t>Series</t>
  </si>
  <si>
    <t>Non-energy drinks sales mix %</t>
  </si>
  <si>
    <t>Trading P/E</t>
  </si>
  <si>
    <t>% Guangdong capacity</t>
  </si>
  <si>
    <t>2027E</t>
  </si>
  <si>
    <t>Kunming</t>
  </si>
  <si>
    <t>Zhongshan</t>
  </si>
  <si>
    <t>Tianjin</t>
  </si>
  <si>
    <t>Changsha, Hunan</t>
  </si>
  <si>
    <t>2024 (completed)</t>
  </si>
  <si>
    <t>Changsha</t>
  </si>
  <si>
    <t>湘鹏</t>
  </si>
  <si>
    <t>合计</t>
  </si>
  <si>
    <t>Shanwei, Guangdong</t>
  </si>
  <si>
    <t>Haifeng</t>
  </si>
  <si>
    <t>海鹏</t>
  </si>
  <si>
    <t>Nanning, Guangxi</t>
  </si>
  <si>
    <t>Nanning</t>
  </si>
  <si>
    <t>桂鹏</t>
  </si>
  <si>
    <t>Guangzhou, Guangdong</t>
  </si>
  <si>
    <t>Guangzhou</t>
  </si>
  <si>
    <t>增鹏</t>
  </si>
  <si>
    <t>Chuzhou, Anhui</t>
  </si>
  <si>
    <t>Anhui</t>
  </si>
  <si>
    <t>徽鹏</t>
  </si>
  <si>
    <t>Chongqing</t>
  </si>
  <si>
    <t>庆鹏</t>
  </si>
  <si>
    <t>Quzhou, Zhejiang</t>
  </si>
  <si>
    <t>Zhejiang</t>
  </si>
  <si>
    <t>浙鹏</t>
  </si>
  <si>
    <t>Dongguan, Guangdong</t>
  </si>
  <si>
    <t>Dongguan</t>
  </si>
  <si>
    <t>莞鹏</t>
  </si>
  <si>
    <t>South China</t>
  </si>
  <si>
    <t>华鹏</t>
  </si>
  <si>
    <t>Location</t>
  </si>
  <si>
    <t>Production start date</t>
  </si>
  <si>
    <t>Utilization %</t>
  </si>
  <si>
    <t>Designed capacity (k ton)</t>
  </si>
  <si>
    <t>Actual production (k ton)</t>
  </si>
  <si>
    <t>K tons</t>
  </si>
  <si>
    <t>华南生产基地罐装碳酸饮料生产线</t>
  </si>
  <si>
    <t>已经有增城，华南，东莞，安徽，南宁，重庆，海丰等七大基地；长沙和衢州建设中</t>
  </si>
  <si>
    <t>http://www.cninfo.com.cn/new/disclosure/detail?stockCode=605499&amp;announcementId=1220456215&amp;orgId=9900041766&amp;announcementTime=2024-06-26</t>
  </si>
  <si>
    <t>30 months (2027)</t>
  </si>
  <si>
    <t>24 months</t>
  </si>
  <si>
    <t>1,000 (GSe)</t>
  </si>
  <si>
    <t>~248 mu</t>
  </si>
  <si>
    <t>Kunming, Yunnan</t>
  </si>
  <si>
    <t xml:space="preserve">New </t>
  </si>
  <si>
    <t>http://www.cninfo.com.cn/new/disclosure/detail?stockCode=605499&amp;announcementId=1219738548&amp;orgId=9900041766&amp;announcementTime=2024-04-23</t>
  </si>
  <si>
    <t>500ml Special Drinks, Daka, Bushuila, RTD tea</t>
  </si>
  <si>
    <t>36 months</t>
  </si>
  <si>
    <t>~180 mu</t>
  </si>
  <si>
    <t>Zhongshan, Guangdong</t>
  </si>
  <si>
    <t>250/500ml Special Drinks</t>
  </si>
  <si>
    <t>13 mu</t>
  </si>
  <si>
    <t>Phase IV</t>
  </si>
  <si>
    <t>Special Drinks, RTD tea</t>
  </si>
  <si>
    <t>End-2026</t>
  </si>
  <si>
    <t>~200 mu</t>
  </si>
  <si>
    <t>http://www.cninfo.com.cn/new/disclosure/detail?stockCode=605499&amp;announcementId=1210591269&amp;orgId=9900041766&amp;announcementTime=2021-07-29</t>
  </si>
  <si>
    <t>Completed</t>
  </si>
  <si>
    <t>146.9 mu</t>
  </si>
  <si>
    <t>http://www.cninfo.com.cn/new/disclosure/detail?stockCode=605499&amp;announcementId=1211684202&amp;orgId=9900041766&amp;announcementTime=2021-11-24</t>
  </si>
  <si>
    <t>Special Drinks, Bushuila and RTD tea</t>
  </si>
  <si>
    <t>197 mu</t>
  </si>
  <si>
    <t>http://www.cninfo.com.cn/new/disclosure/detail?stockCode=605499&amp;announcementId=1218247124&amp;orgId=9900041766&amp;announcementTime=2023-11-04</t>
  </si>
  <si>
    <t>Key products</t>
  </si>
  <si>
    <t>Number of production lines</t>
  </si>
  <si>
    <t>Ready for production</t>
  </si>
  <si>
    <t>Construction period</t>
  </si>
  <si>
    <t>Est production volume ('000 ton)</t>
  </si>
  <si>
    <t>Est production value (Rmb mn)</t>
  </si>
  <si>
    <t>Total GFA</t>
  </si>
  <si>
    <t>Total FA investment (Rmb mn)</t>
  </si>
  <si>
    <t>Announcement date</t>
  </si>
  <si>
    <t>Production capacity expansion plan</t>
  </si>
  <si>
    <t>2Q24</t>
  </si>
  <si>
    <t>1H24</t>
  </si>
  <si>
    <t>Non-energy drinks</t>
  </si>
  <si>
    <t xml:space="preserve">Bushuila   </t>
  </si>
  <si>
    <t>Revenue (Half year)</t>
  </si>
  <si>
    <t>Energy Drinks</t>
  </si>
  <si>
    <t>Sales by region</t>
  </si>
  <si>
    <t>In which: online</t>
  </si>
  <si>
    <t>direct sales</t>
  </si>
  <si>
    <t>Customer advances</t>
  </si>
  <si>
    <t>as % of next quarter sales</t>
  </si>
  <si>
    <t xml:space="preserve">Bushuila sales volume </t>
  </si>
  <si>
    <t xml:space="preserve">yoy </t>
  </si>
  <si>
    <t>Others  sales volume</t>
  </si>
  <si>
    <t>2H24E</t>
  </si>
  <si>
    <t>Dividend declared, last year final</t>
  </si>
  <si>
    <t>Dividend declared, current year interim</t>
  </si>
  <si>
    <t>Impact on current year cash flow statement</t>
  </si>
  <si>
    <t>Dividend proposed, current year final</t>
  </si>
  <si>
    <t>Total common dividends declared, current year</t>
  </si>
  <si>
    <t>Bushuila (rmb)</t>
  </si>
  <si>
    <t>Bushuila - Rev per 555ml</t>
  </si>
  <si>
    <t>NP</t>
  </si>
  <si>
    <t xml:space="preserve">Shareholder update </t>
  </si>
  <si>
    <t>ASP/ kg</t>
  </si>
  <si>
    <t>All other drinks</t>
  </si>
  <si>
    <t>Sales by region yoy</t>
  </si>
  <si>
    <t>Sales by region Mix %</t>
  </si>
  <si>
    <t>Offline</t>
  </si>
  <si>
    <t>DTC &amp; Online</t>
  </si>
  <si>
    <t>Major business total</t>
  </si>
  <si>
    <t>Sales per distributor mn</t>
  </si>
  <si>
    <t>Number of POS mn</t>
  </si>
  <si>
    <t>累计不重复扫码的消费者 ID  mn</t>
  </si>
  <si>
    <t>GSE</t>
  </si>
  <si>
    <t>销售人员平均Salary</t>
  </si>
  <si>
    <t>24-26E CAGR</t>
  </si>
  <si>
    <t>from wind</t>
  </si>
  <si>
    <t>Number of POS for Bushuila (mn)</t>
  </si>
  <si>
    <t xml:space="preserve">  Sales of energy drink per POS</t>
  </si>
  <si>
    <t>% of Covered POS</t>
  </si>
  <si>
    <t>Number of PoS and Sales per POS</t>
  </si>
  <si>
    <t>冰冻化陈列 POS</t>
  </si>
  <si>
    <t>自有冰柜</t>
  </si>
  <si>
    <t>冰冻化陈列的占比 %</t>
  </si>
  <si>
    <t>自有冰柜  %</t>
  </si>
  <si>
    <t>Number of POS (mn)</t>
  </si>
  <si>
    <t>Special drink sales per POS (Rmb)</t>
  </si>
  <si>
    <t>Net additions (mn)</t>
  </si>
  <si>
    <t>Assumptions:</t>
  </si>
  <si>
    <t># POS in Guangdong (k, GSe)</t>
  </si>
  <si>
    <t>Revenue per POS in Guangdong (Rmb)</t>
  </si>
  <si>
    <t># POS outside Guangdong (k, GSe)</t>
  </si>
  <si>
    <t>Revenue per POS outside Guangdong (Rmb)</t>
  </si>
  <si>
    <t># Distributors in Guangdong</t>
  </si>
  <si>
    <t>Revenue per distributor in Guangdong</t>
  </si>
  <si>
    <t># Distributors outside Guangdong</t>
  </si>
  <si>
    <t>Revenue per distributor outside Guangdong</t>
  </si>
  <si>
    <t>Number of PoS per distributor (#)</t>
  </si>
  <si>
    <t>Incremental sales per new POS (since 2021, Rmb)</t>
  </si>
  <si>
    <t>as % of total</t>
  </si>
  <si>
    <t>Bushuila sales per POS (Rmb)</t>
  </si>
  <si>
    <t>Special drinks revenue</t>
  </si>
  <si>
    <t>Special drink sales contributed by existing POS (all 2020 as existing POS)</t>
  </si>
  <si>
    <t>Special drink sales per existing POS (all 2020 as existing POS, Rmb)</t>
  </si>
  <si>
    <t>Special drink sales contributed by new POS (since 2021)</t>
  </si>
  <si>
    <t>Total number of fridges ('000)</t>
  </si>
  <si>
    <t>GSe spending on fridges p.a. (under channel expenses sub-category)</t>
  </si>
  <si>
    <t>As % of total sales</t>
  </si>
  <si>
    <t>As % of net profits</t>
  </si>
  <si>
    <t>行政人员平均Salary</t>
  </si>
  <si>
    <t>Salary per salesperson (Rmb '000)</t>
  </si>
  <si>
    <t>Salary per admin person (Rmb '000)</t>
  </si>
  <si>
    <t>9M24</t>
  </si>
  <si>
    <t>3Q24</t>
  </si>
  <si>
    <t>Revenue (quarterly)</t>
  </si>
  <si>
    <t>2028E</t>
  </si>
  <si>
    <t>Energy drinks POS</t>
  </si>
  <si>
    <t>Energy drinks sales/POS</t>
  </si>
  <si>
    <t>Non-energy drinks POS</t>
  </si>
  <si>
    <t>Non-energy drinks sales/POS</t>
  </si>
  <si>
    <t>Sales building blocks</t>
  </si>
  <si>
    <t>EBIT per ton</t>
  </si>
  <si>
    <t>Unit</t>
  </si>
  <si>
    <t>Sales volume</t>
  </si>
  <si>
    <t>Non-energy drink sales</t>
  </si>
  <si>
    <t>Energy drink sales</t>
  </si>
  <si>
    <t>2023 Sales</t>
  </si>
  <si>
    <t>2028E Sales</t>
  </si>
  <si>
    <t>Dongpeng Daka (coffee)</t>
  </si>
  <si>
    <t>Bushuila (electrolyte water)</t>
  </si>
  <si>
    <t>Others (e.g coconut juice)</t>
  </si>
  <si>
    <t>Target price (end-2025E)</t>
  </si>
  <si>
    <t>First year POS</t>
  </si>
  <si>
    <t>Second year POS</t>
  </si>
  <si>
    <t>Special drinks sales in Guangdong</t>
  </si>
  <si>
    <t>Beverage sales in Guangdong</t>
  </si>
  <si>
    <t>Assuming % Special drinks in Guangdong sales</t>
  </si>
  <si>
    <t>Special drinks sales outside Guangdong</t>
  </si>
  <si>
    <t>Beverage sales outside Guangdong</t>
  </si>
  <si>
    <t>ASP</t>
  </si>
  <si>
    <t>A&amp;P</t>
  </si>
  <si>
    <t>COGS breakdown</t>
  </si>
  <si>
    <t>Sales staff cost</t>
  </si>
  <si>
    <t>Raw material</t>
  </si>
  <si>
    <t>Manufacturing and other COGS</t>
  </si>
  <si>
    <t>Other Selling exp</t>
  </si>
  <si>
    <t>Admin exp</t>
  </si>
  <si>
    <t>Sales tax</t>
  </si>
  <si>
    <t>2023 EBIT</t>
  </si>
  <si>
    <t>2028E EBIT</t>
  </si>
  <si>
    <t>Manufac. &amp; other COGS</t>
  </si>
  <si>
    <t>2028E EBIT margin</t>
  </si>
  <si>
    <t>Special drinks sales per POS in Guangdong (Rmb)</t>
  </si>
  <si>
    <t>Beverage sales per POS in Guangdong (Rmb)</t>
  </si>
  <si>
    <t>Completion date</t>
  </si>
  <si>
    <t>End-2024</t>
  </si>
  <si>
    <t>Construction starting date</t>
  </si>
  <si>
    <t>Current GSe PPE capex</t>
  </si>
  <si>
    <t>Special drinks sales per POS outside Guangdong (Rmb)</t>
  </si>
  <si>
    <t>Beverage sales per POS outside Guangdong (Rmb)</t>
  </si>
  <si>
    <t>Sales / First year POS (Rmb)</t>
  </si>
  <si>
    <t>Sales / Second year POS (Rmb)</t>
  </si>
  <si>
    <t>Sales of First year POS (Rmb mn)</t>
  </si>
  <si>
    <t>Sales of Second year POS (Rmb mn)</t>
  </si>
  <si>
    <t xml:space="preserve">Third year POS </t>
  </si>
  <si>
    <t xml:space="preserve">Fourth year POS </t>
  </si>
  <si>
    <t xml:space="preserve">&gt;Fifth year POS </t>
  </si>
  <si>
    <t>Sales / &gt; Fifth year POS (Rmb)</t>
  </si>
  <si>
    <t>Sales of Third year POS (Rmb mn)</t>
  </si>
  <si>
    <t>Sales of Fourth year POS (Rmb mn)</t>
  </si>
  <si>
    <t>Special Drinks Sales Breakdown by POS ages</t>
  </si>
  <si>
    <t>Sales of &gt;Fifth year POS  (Rmb mn)</t>
  </si>
  <si>
    <t>YoY of Sales / &gt; Fifth year POS</t>
  </si>
  <si>
    <t>As % of GSe PPE capex</t>
  </si>
  <si>
    <t>as % of sales</t>
  </si>
  <si>
    <t>as % of net profit</t>
  </si>
  <si>
    <t>as % of total PPE</t>
  </si>
  <si>
    <t>Total PPE</t>
  </si>
  <si>
    <t>as % of CAPEX</t>
  </si>
  <si>
    <t>PPE accumulated addition</t>
  </si>
  <si>
    <t># useful years</t>
  </si>
  <si>
    <t>Depreciation addition</t>
  </si>
  <si>
    <t>Implied new volume (k ton)</t>
  </si>
  <si>
    <t>Production volume 2023 (k ton)</t>
  </si>
  <si>
    <t>Revenue 2028E/ Revenue 2023</t>
  </si>
  <si>
    <t>% volume addition by 2028E</t>
  </si>
  <si>
    <t>Overall ASP per ton 2028E (Rmb)</t>
  </si>
  <si>
    <t>Straight-line allocation</t>
  </si>
  <si>
    <t>Total investment</t>
  </si>
  <si>
    <t>Sales / Third year POS (Rmb)</t>
  </si>
  <si>
    <t>Sales / Fourth year POS (Rmb)</t>
  </si>
  <si>
    <t>Market shares in energy drinks</t>
  </si>
  <si>
    <t>Base case</t>
  </si>
  <si>
    <t>Other drink sales</t>
  </si>
  <si>
    <t>Total sales</t>
  </si>
  <si>
    <t>SG&amp;A (excl. Depr, same as base case)</t>
  </si>
  <si>
    <t>+/- % vs. base case</t>
  </si>
  <si>
    <t xml:space="preserve">EBIT </t>
  </si>
  <si>
    <t>Depreciation as % of bear case EBIT</t>
  </si>
  <si>
    <t>Depreciation as % of base case EBIT</t>
  </si>
  <si>
    <t>Assumption: no market share gain in Energy drinks since 2025E with Red Bull coming back</t>
  </si>
  <si>
    <t>Scenario analysis: D&amp;A impact from capacity expansion on EBIT amid intensified competition</t>
  </si>
  <si>
    <t>Bear case: no market share gains &amp; GPM expansion since 2025E</t>
  </si>
  <si>
    <t>Depreciation as % of base-case GP</t>
  </si>
  <si>
    <t>Depreciation as % of bear-case GP</t>
  </si>
  <si>
    <t>23-26</t>
  </si>
  <si>
    <t>FY27E</t>
  </si>
  <si>
    <t>FY28E</t>
  </si>
  <si>
    <t>4Q24</t>
  </si>
  <si>
    <t>2Q25E</t>
  </si>
  <si>
    <t>3Q25E</t>
  </si>
  <si>
    <t>4Q25E</t>
  </si>
  <si>
    <t>1H25E</t>
  </si>
  <si>
    <t>2H25E</t>
  </si>
  <si>
    <t>9M25E</t>
  </si>
  <si>
    <t>26-28</t>
  </si>
  <si>
    <t>OCF</t>
  </si>
  <si>
    <t xml:space="preserve"> As % of sales</t>
  </si>
  <si>
    <t>FCF = OCF - Capex</t>
  </si>
  <si>
    <t>ROE</t>
  </si>
  <si>
    <t>ROIC</t>
  </si>
  <si>
    <t>Period end cash balance+ 债权投资</t>
  </si>
  <si>
    <t>Interest income as a % of average cash</t>
  </si>
  <si>
    <t>Interest income as a % of period end cash</t>
  </si>
  <si>
    <t>Mix</t>
  </si>
  <si>
    <t>qoq %</t>
  </si>
  <si>
    <t>NOPAT</t>
  </si>
  <si>
    <t>Invested Capital (Equity + LT debt + ST debt)</t>
  </si>
  <si>
    <t>Haikou, Hainan</t>
  </si>
  <si>
    <t>213.4 mu</t>
  </si>
  <si>
    <t>1,198 mu</t>
  </si>
  <si>
    <t>30 months since construction start</t>
  </si>
  <si>
    <t>Haikou</t>
  </si>
  <si>
    <t>Est. Early 2025</t>
  </si>
  <si>
    <t>Est. 2H27</t>
  </si>
  <si>
    <t>Additional production value (Rmb mn)</t>
  </si>
  <si>
    <t>Sales volume 2028E/ 2023</t>
  </si>
  <si>
    <t xml:space="preserve">VA consensus </t>
  </si>
  <si>
    <t>Special Drink</t>
  </si>
  <si>
    <t>VA</t>
  </si>
  <si>
    <t>Implied growth contribution from new POS (&lt;4-yr-old POS)</t>
  </si>
  <si>
    <t># ≥5-yr-old POS as % of total</t>
  </si>
  <si>
    <t>Sales growth yoy per ≥ 5-yr-old POS</t>
  </si>
  <si>
    <t>Special drinks sales per POS</t>
  </si>
  <si>
    <t>PPE Capex as % of Sales</t>
  </si>
  <si>
    <t>18-23 5yr CAGR</t>
  </si>
  <si>
    <t>21-23 2yr CAGR</t>
  </si>
  <si>
    <t>24-26E 2yr CAGR</t>
  </si>
  <si>
    <t>23-26E 3yr CAGR</t>
  </si>
  <si>
    <t>Other beverage sales</t>
  </si>
  <si>
    <t>Total number of PoS (mn)</t>
  </si>
  <si>
    <t>Incremental sales</t>
  </si>
  <si>
    <t>Incremental marketing expenses</t>
  </si>
  <si>
    <t>Nongfu</t>
  </si>
  <si>
    <t>CR Bev</t>
  </si>
  <si>
    <t>Incremental sales / incremental marketing expenses</t>
  </si>
  <si>
    <t>2018-23 aggregate</t>
  </si>
  <si>
    <t>2024-26 aggregate</t>
  </si>
  <si>
    <t>(2022-23)</t>
  </si>
  <si>
    <t>Marketing investment efficiency analysis
(Rmb mn, x)</t>
  </si>
  <si>
    <t>CR Beverage</t>
  </si>
  <si>
    <t xml:space="preserve">Eastroc  </t>
  </si>
  <si>
    <t>2018-23 avg</t>
  </si>
  <si>
    <t>2024E-26E avg</t>
  </si>
  <si>
    <t>Addition PPE investment needed for production</t>
  </si>
  <si>
    <t>Capex of new projects</t>
  </si>
  <si>
    <t>Projects 
(Rmb mn)</t>
  </si>
  <si>
    <t>As % of sales</t>
  </si>
  <si>
    <t>Net cash</t>
  </si>
  <si>
    <t>23-28 5yr CAGR</t>
  </si>
  <si>
    <t>GPM of Bushuila</t>
  </si>
  <si>
    <t>GP of Bushuila</t>
  </si>
  <si>
    <t>GP of other beverages (ex. Bushuila)</t>
  </si>
  <si>
    <t>GPM of other beverages (ex. Bushuila)</t>
  </si>
  <si>
    <t>Growth analysis</t>
  </si>
  <si>
    <t>Old</t>
  </si>
  <si>
    <t>New</t>
  </si>
  <si>
    <t>%</t>
  </si>
  <si>
    <t>Pre-results</t>
  </si>
  <si>
    <t>Low-end</t>
  </si>
  <si>
    <t>High-end</t>
  </si>
  <si>
    <t>Diff. vs GSe</t>
  </si>
  <si>
    <t>Net profits</t>
  </si>
  <si>
    <t>2024 (Rmb mn)</t>
  </si>
  <si>
    <t>Implied 4Q24 (Rmb mn)</t>
  </si>
  <si>
    <t>yoy change</t>
  </si>
  <si>
    <t>Recurring net profits</t>
  </si>
  <si>
    <t xml:space="preserve">Mid-point </t>
  </si>
  <si>
    <t>Primary analyst</t>
  </si>
  <si>
    <t>Leaf Liu, Leaf.Liu@gs.com, +852-3966-4169, Goldman Sachs (Asia) L.L.C.</t>
  </si>
  <si>
    <t>Associated analyst</t>
  </si>
  <si>
    <t>Christina Liu, Christina.Liu@gs.com, +852-2978-6983, Goldman Sachs (Asia) L.L.C.</t>
  </si>
  <si>
    <t>Selling expense ratio</t>
  </si>
  <si>
    <t>YoY Growth %</t>
  </si>
  <si>
    <t>NPAT</t>
  </si>
  <si>
    <t>Lin Muqin</t>
  </si>
  <si>
    <t>Check Gse</t>
  </si>
  <si>
    <t>Check actual</t>
  </si>
  <si>
    <t>Unit COGS/GP</t>
  </si>
  <si>
    <t>Others beverage sales ASP</t>
  </si>
  <si>
    <t xml:space="preserve">重客 </t>
  </si>
  <si>
    <t>Revenue by channel</t>
  </si>
  <si>
    <t>直营(重客及其他)</t>
  </si>
  <si>
    <t>KA</t>
  </si>
  <si>
    <t>经销 (Old)</t>
  </si>
  <si>
    <t>经销 (New)</t>
  </si>
  <si>
    <t>电解质饮料</t>
  </si>
  <si>
    <t>Electrolyte drinks</t>
  </si>
  <si>
    <t>FY24</t>
  </si>
  <si>
    <t>2H24</t>
  </si>
  <si>
    <t>COGS of Bushuila</t>
  </si>
  <si>
    <t>COGS of other beverages (ex. Bushuila)</t>
  </si>
  <si>
    <t>2024</t>
  </si>
  <si>
    <t>Other beverages</t>
  </si>
  <si>
    <t>Duoheduorun  + Sweetened tea</t>
  </si>
  <si>
    <t>1H25</t>
  </si>
  <si>
    <t>Transportation expense per unit (Rmb/ton)</t>
  </si>
  <si>
    <t>Logistic costs</t>
  </si>
  <si>
    <t>Logistic costs per ton (Rmb)</t>
  </si>
  <si>
    <t>End-2023</t>
  </si>
  <si>
    <t>Estimated 2027E</t>
  </si>
  <si>
    <t>Factory</t>
  </si>
  <si>
    <t>1Q25</t>
  </si>
  <si>
    <t>Customer advance</t>
  </si>
  <si>
    <t>Cash received from sales</t>
  </si>
  <si>
    <t>2Q25</t>
  </si>
  <si>
    <t>Number of POS for Tea</t>
  </si>
  <si>
    <t>Tea sales per POS (Rmb)</t>
  </si>
  <si>
    <t>Total employees</t>
  </si>
  <si>
    <t>Sales per sales staff (Rmb '000)</t>
  </si>
  <si>
    <t>H-share prospectus:</t>
  </si>
  <si>
    <t>Eastroc H-share A1</t>
  </si>
  <si>
    <t>Beverage production line capacity expansion</t>
  </si>
  <si>
    <t>Production base</t>
  </si>
  <si>
    <t>Designed annual capacity upon completion (k tons)</t>
  </si>
  <si>
    <t>Estimated earliest start of production year</t>
  </si>
  <si>
    <t>Expansion</t>
  </si>
  <si>
    <t>New factory</t>
  </si>
  <si>
    <t>Hainan</t>
  </si>
  <si>
    <t>Implied capex per ton (Rmb)</t>
  </si>
  <si>
    <t>Sweetened tea (incl. Guozhicha)</t>
  </si>
  <si>
    <t>Guozhicha (Fruity Tea)</t>
  </si>
  <si>
    <t>Monthly sales (Rmb mn)</t>
  </si>
  <si>
    <t>Monthly sales per POS (Rmb)</t>
  </si>
  <si>
    <t>POS coverage ('000; RHS)</t>
  </si>
  <si>
    <t>Feb</t>
  </si>
  <si>
    <t>1H26E</t>
  </si>
  <si>
    <t>9M26E</t>
  </si>
  <si>
    <t>2Q26E</t>
  </si>
  <si>
    <t>3Q26E</t>
  </si>
  <si>
    <t>4Q26E</t>
  </si>
  <si>
    <t>1Q26E</t>
  </si>
  <si>
    <t>2H26E</t>
  </si>
  <si>
    <t>COGS (Half year)</t>
  </si>
  <si>
    <t>GPM (Half year)</t>
  </si>
  <si>
    <t>Recurring net income</t>
  </si>
  <si>
    <t>Sales /Capacity</t>
  </si>
  <si>
    <t>Total sales volume (k tons)</t>
  </si>
  <si>
    <t>per unit ton capex</t>
  </si>
  <si>
    <t>Updated post HK listing</t>
  </si>
  <si>
    <t>expansion</t>
  </si>
  <si>
    <t>Chonqing</t>
  </si>
  <si>
    <t>24-27</t>
  </si>
  <si>
    <t>25-27</t>
  </si>
  <si>
    <t>2024 EBIT margin</t>
  </si>
  <si>
    <t>GPM - GSE</t>
  </si>
  <si>
    <t xml:space="preserve"> GPM%</t>
  </si>
  <si>
    <t>TOTAL</t>
  </si>
  <si>
    <t>3Q25</t>
  </si>
  <si>
    <t>9M25</t>
  </si>
  <si>
    <t>归属于上市公司股东的扣除非经常性损益的净利润</t>
  </si>
  <si>
    <t>rebased</t>
  </si>
  <si>
    <t>Core op</t>
  </si>
  <si>
    <t>非经常性损益</t>
  </si>
  <si>
    <t>8-Oct-2025</t>
  </si>
  <si>
    <t>Error: RTD method of WorksheetFunction class failed</t>
  </si>
  <si>
    <t>16-Oct-2025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</si>
</sst>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9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_(* #,##0_);* \(#,##0\);_(* &quot;-&quot;_)"/>
    <numFmt numFmtId="165" formatCode="_(#,##0%_);\(#,##0%\);_(&quot;-&quot;?_)"/>
    <numFmt numFmtId="166" formatCode="_(#,##0.0%_);\(#,##0.0%\);_(&quot;-&quot;?_)"/>
    <numFmt numFmtId="167" formatCode="_(* #,##0.00_);* \(#,##0.00\);_(* &quot;-&quot;_)"/>
    <numFmt numFmtId="168" formatCode="0.0%"/>
    <numFmt numFmtId="169" formatCode="&quot;C&quot;\ &quot;´&quot;&quot;´&quot;&quot;´&quot;&quot;´&quot;\ &quot;≫&quot;&quot;≫&quot;&quot;≫&quot;&quot;≫&quot;"/>
    <numFmt numFmtId="170" formatCode="&quot;Ç&quot;\ &quot;´&quot;&quot;´&quot;&quot;´&quot;&quot;´&quot;\ &quot;»&quot;&quot;»&quot;&quot;»&quot;&quot;»&quot;"/>
    <numFmt numFmtId="171" formatCode="#,##0.0_);[Red]\(#,##0.0\)"/>
    <numFmt numFmtId="172" formatCode="#,##0;[Red]\(#,##0\)"/>
    <numFmt numFmtId="173" formatCode="_ * #,##0.00_ ;_ * \-#,##0.00_ ;_ * &quot;-&quot;??_ ;_ @_ "/>
    <numFmt numFmtId="174" formatCode="0_ "/>
    <numFmt numFmtId="175" formatCode="General&quot;A&quot;"/>
    <numFmt numFmtId="176" formatCode="0.00_);[Red]\(0.00\)"/>
    <numFmt numFmtId="177" formatCode="0.0"/>
    <numFmt numFmtId="178" formatCode="#,##0_ ;[Red]\-#,##0\ "/>
    <numFmt numFmtId="179" formatCode="0_);\(0\)"/>
    <numFmt numFmtId="180" formatCode="0.0\x"/>
    <numFmt numFmtId="181" formatCode="#,##0.00_ ;[Red]\-#,##0.00\ "/>
    <numFmt numFmtId="182" formatCode="#,##0.0_ ;[Red]\-#,##0.0\ "/>
    <numFmt numFmtId="183" formatCode="_ &quot;￥&quot;* #,##0.00_ ;_ &quot;￥&quot;* \-#,##0.00_ ;_ &quot;￥&quot;* &quot;-&quot;??_ ;_ @_ "/>
    <numFmt numFmtId="184" formatCode="_(* #,##0.000_);* \(#,##0.000\);_(* &quot;-&quot;_)"/>
    <numFmt numFmtId="185" formatCode="_(#,##0.00%_);\(#,##0.00%\);_(&quot;-&quot;?_)"/>
    <numFmt numFmtId="186" formatCode="_(* #,##0.0_);* \(#,##0.0\);_(* &quot;-&quot;_)"/>
    <numFmt numFmtId="187" formatCode="0.00_);\(0.00\)"/>
    <numFmt numFmtId="188" formatCode="0.0_);\(0.0\)"/>
    <numFmt numFmtId="189" formatCode="____@"/>
    <numFmt numFmtId="190" formatCode="______@"/>
    <numFmt numFmtId="191" formatCode="_(#,##0%_);_(\(#,##0%\);_(&quot;-&quot;?_)"/>
    <numFmt numFmtId="192" formatCode="###,###,##0.00"/>
    <numFmt numFmtId="193" formatCode="###,###,##0"/>
    <numFmt numFmtId="194" formatCode="yyyy/mm/dd"/>
    <numFmt numFmtId="195" formatCode="_(* #,##0.0_);_(* \(#,##0.0\);_(* &quot;-&quot;??_);_(@_)"/>
    <numFmt numFmtId="196" formatCode="_(#,##0%_);[Red]_(\(#,##0%\)"/>
    <numFmt numFmtId="197" formatCode="_(#,##0.0%_);[Red]_(\(#,##0.0%\)"/>
    <numFmt numFmtId="198" formatCode="_(* #,##0.00_);[Red]_(* \(#,##0.00\)"/>
    <numFmt numFmtId="199" formatCode="#,##0_);\(#,##0\);;____@"/>
    <numFmt numFmtId="200" formatCode="_-* #,##0_-;\-* #,##0_-;_-* &quot;-&quot;_-;_-@_-"/>
    <numFmt numFmtId="201" formatCode="#,##0.0_);\(#,##0.0\)"/>
    <numFmt numFmtId="202" formatCode="#,##0.0"/>
    <numFmt numFmtId="203" formatCode="#,##0;\(#,##0\)"/>
    <numFmt numFmtId="204" formatCode="_(* #,##0_);_(* \(#,##0\);_(* &quot;-&quot;_)"/>
    <numFmt numFmtId="205" formatCode="0.0&quot;x&quot;"/>
    <numFmt numFmtId="206" formatCode="0.0_)\%;\(0.0\)\%;0.0_)\%;@_)_%"/>
    <numFmt numFmtId="207" formatCode="#,##0.0_)_%;\(#,##0.0\)_%;0.0_)_%;@_)_%"/>
    <numFmt numFmtId="208" formatCode="#,##0.0_);\(#,##0.0\);#,##0.0_);@_)"/>
    <numFmt numFmtId="209" formatCode="&quot;$&quot;_(#,##0.00_);&quot;$&quot;\(#,##0.00\)"/>
    <numFmt numFmtId="210" formatCode="&quot;$&quot;_(#,##0.00_);&quot;$&quot;\(#,##0.00\);&quot;$&quot;_(0.00_);@_)"/>
    <numFmt numFmtId="211" formatCode="#,##0.00_);\(#,##0.00\);0.00_);@_)"/>
    <numFmt numFmtId="212" formatCode="\€_(#,##0.00_);\€\(#,##0.00\);\€_(0.00_);@_)"/>
    <numFmt numFmtId="213" formatCode="#,##0.0_)\x;\(#,##0.0\)\x"/>
    <numFmt numFmtId="214" formatCode="#,##0_)\x;\(#,##0\)\x;0_)\x;@_)_x"/>
    <numFmt numFmtId="215" formatCode="#,##0.0_)\x;\(#,##0.0\)\x;0.0_)\x;@_)_x"/>
    <numFmt numFmtId="216" formatCode="#,##0.0_)_x;\(#,##0.0\)_x"/>
    <numFmt numFmtId="217" formatCode="#,##0_)_x;\(#,##0\)_x;0_)_x;@_)_x"/>
    <numFmt numFmtId="218" formatCode="#,##0.0_)_x;\(#,##0.0\)_x;0.0_)_x;@_)_x"/>
    <numFmt numFmtId="219" formatCode="0.0_)\%;\(0.0\)\%"/>
    <numFmt numFmtId="220" formatCode="#,##0.0_)_%;\(#,##0.0\)_%"/>
    <numFmt numFmtId="221" formatCode="0\A"/>
    <numFmt numFmtId="222" formatCode="0.00_)"/>
    <numFmt numFmtId="223" formatCode="0\p"/>
    <numFmt numFmtId="224" formatCode="\$0.00;\(\$0.00\)"/>
    <numFmt numFmtId="225" formatCode="0.0&quot;  &quot;"/>
    <numFmt numFmtId="226" formatCode="_-* #,##0_-;\(#,##0\);_-* &quot;–&quot;_-;_-@_-"/>
    <numFmt numFmtId="227" formatCode="#,##0.00;;;[White]General"/>
    <numFmt numFmtId="228" formatCode="_(* #,##0.00000_);_(* \(#,##0.00000\);_(* &quot;-&quot;??_);_(@_)"/>
    <numFmt numFmtId="229" formatCode="#,##0.000_);[Red]\(#,##0.000\)"/>
    <numFmt numFmtId="230" formatCode="&quot;$&quot;0.0"/>
    <numFmt numFmtId="231" formatCode="#,##0;\(#,##0\);\–;@"/>
    <numFmt numFmtId="232" formatCode="_(&quot;CHF&quot;* #,##0.0_);_(&quot;CHF&quot;* \(#,##0.0\);_(&quot;CHF&quot;* &quot;-&quot;??_);_(@_)"/>
    <numFmt numFmtId="233" formatCode="&quot;$&quot;#,##0.00"/>
    <numFmt numFmtId="235" formatCode="_(* #,##0_);_(* \(#,##0\);_(* &quot;-&quot;??_);_(@_)"/>
    <numFmt numFmtId="236" formatCode="General&quot;E&quot;"/>
    <numFmt numFmtId="237" formatCode="_(* #,##0.000000_);* \(#,##0.000000\);_(* &quot;-&quot;_)"/>
    <numFmt numFmtId="238" formatCode="_ * #,##0_ ;_ * \-#,##0_ ;_ * &quot;-&quot;??_ ;_ @_ "/>
    <numFmt numFmtId="239" formatCode="_ * #,##0_ ;_ * \-#,##0_ ;_ * &quot;-&quot;_ ;_ @_ "/>
    <numFmt numFmtId="240" formatCode="_ * #,##0.0_ ;_ * \-#,##0.0_ ;_ * &quot;-&quot;??_ ;_ @_ "/>
    <numFmt numFmtId="241" formatCode="&quot;C&quot;\ &quot;´&quot;&quot;´&quot;&quot;´&quot;&quot;´&quot;\ &quot;?&quot;&quot;?&quot;&quot;?&quot;&quot;?&quot;"/>
    <numFmt numFmtId="242" formatCode="_ &quot;￥&quot;* #,##0_ ;_ &quot;￥&quot;* \-#,##0_ ;_ &quot;￥&quot;* &quot;-&quot;_ ;_ @_ "/>
    <numFmt numFmtId="243" formatCode="_ &quot;\&quot;* #,##0_ ;_ &quot;\&quot;* \-#,##0_ ;_ &quot;\&quot;* &quot;-&quot;_ ;_ @_ "/>
    <numFmt numFmtId="244" formatCode="&quot;s&quot;#,##0.00_);[Red]\(&quot;s&quot;#,##0.00\)"/>
    <numFmt numFmtId="245" formatCode="_(* #,##0.0_);_(* \(#,##0.0\);_(* &quot;-&quot;_);_(@_)"/>
    <numFmt numFmtId="246" formatCode="_(* #,##0.00%_);_(* \(#,##0.00%\);_(* &quot;-&quot;_);_(@_)"/>
    <numFmt numFmtId="247" formatCode="_(* #,##0.00_);_(* \(#,##0.00\);_(* &quot;-&quot;_);_(@_)"/>
    <numFmt numFmtId="248" formatCode="&quot;MR&quot;#,##0.00_);\(&quot;￥&quot;#,##0.00\)"/>
    <numFmt numFmtId="249" formatCode="#,###&quot;—&quot;_);\(#,###&quot;—&quot;\)"/>
    <numFmt numFmtId="250" formatCode="\+#,##0.0;\-0.0"/>
    <numFmt numFmtId="251" formatCode="#,##0.0;[Red]\(#,##0.0\)"/>
    <numFmt numFmtId="252" formatCode="&quot;MR&quot;#,##0.00_);\(&quot;$&quot;#,##0.00\)"/>
    <numFmt numFmtId="253" formatCode="#,###\—_);\(#,###\—\)"/>
    <numFmt numFmtId="254" formatCode="&quot;￥&quot;_(#,##0.00_);&quot;￥&quot;\(#,##0.00\)"/>
    <numFmt numFmtId="255" formatCode="&quot;\&quot;_(#,##0.00_);&quot;\&quot;\(#,##0.00\);&quot;\&quot;_(0.00_);@_)"/>
    <numFmt numFmtId="256" formatCode="#,##0.000000000000"/>
    <numFmt numFmtId="257" formatCode="#,##0_ ;\-#,##0\ "/>
    <numFmt numFmtId="258" formatCode="0.000%"/>
    <numFmt numFmtId="259" formatCode="_-* #,##0.00_-;\-* #,##0.00_-;_-* &quot;-&quot;??_-;_-@_-"/>
    <numFmt numFmtId="260" formatCode="&quot;£&quot;#,##0;[Red]\-&quot;£&quot;#,##0"/>
    <numFmt numFmtId="261" formatCode="&quot;\&quot;_(#,##0.00_);&quot;\&quot;\(#,##0.00\)"/>
    <numFmt numFmtId="262" formatCode=";;;"/>
    <numFmt numFmtId="263" formatCode="#,##0.00000000000"/>
    <numFmt numFmtId="264" formatCode="0.000000%"/>
    <numFmt numFmtId="265" formatCode="0.0%;\(0.0%\)"/>
    <numFmt numFmtId="266" formatCode="&quot;ß&quot;#,##0.00_);[Red]\(&quot;ß&quot;#,##0.00\)"/>
    <numFmt numFmtId="267" formatCode="&quot;US$&quot;&quot;￥&quot;#,##0.00_);\(&quot;￥&quot;#,##0.00\)"/>
    <numFmt numFmtId="268" formatCode="&quot;US$&quot;&quot;$&quot;#,##0.00_);\(&quot;$&quot;#,##0.00\)"/>
    <numFmt numFmtId="269" formatCode="_(&quot;ß&quot;* \t#,##0_);_(&quot;ß&quot;* \(\t#,##0\);_(&quot;ß&quot;* &quot;-&quot;_);_(@_)"/>
    <numFmt numFmtId="270" formatCode="#,##0_);\(#,##0\);0_._0_)"/>
    <numFmt numFmtId="271" formatCode="0.0%;[Red]\(0.0\)%"/>
    <numFmt numFmtId="272" formatCode="\+#,##0;\-#,##0"/>
    <numFmt numFmtId="273" formatCode="\+#,##0.00;\-#,##0.00"/>
    <numFmt numFmtId="274" formatCode="&quot;$&quot;#,##0.000_);[Red]\(&quot;$&quot;#,##0.000\)"/>
    <numFmt numFmtId="275" formatCode="#,##0.0&quot;x&quot;\ ;\(#,##0.0\)&quot;x&quot;"/>
    <numFmt numFmtId="276" formatCode="General_)"/>
    <numFmt numFmtId="277" formatCode="&quot;£m&quot;\ 0"/>
    <numFmt numFmtId="278" formatCode="&quot;?m&quot;\ 0"/>
    <numFmt numFmtId="279" formatCode="&quot;￡m&quot;\ 0"/>
    <numFmt numFmtId="280" formatCode="#,##0.000"/>
    <numFmt numFmtId="281" formatCode="0.0000%"/>
    <numFmt numFmtId="282" formatCode="0.0%;\(0.0\)%"/>
    <numFmt numFmtId="283" formatCode="dd\-mm\-yy"/>
    <numFmt numFmtId="284" formatCode="0.00000"/>
    <numFmt numFmtId="285" formatCode="#,##0.000_);\(#,##0.000\)"/>
    <numFmt numFmtId="286" formatCode="&quot;￥&quot;#,##0;[Red]&quot;￥&quot;\-#,##0"/>
    <numFmt numFmtId="287" formatCode="_(* #,##0.00_);_(* \(#,##0.00\);\-??_);_(* @_)_)"/>
    <numFmt numFmtId="288" formatCode="_(* #,##0.0_);_(* \(#,##0.0\);_(* &quot;--- &quot;_)"/>
    <numFmt numFmtId="289" formatCode="#,##0.0;\(#,##0.0\)"/>
    <numFmt numFmtId="290" formatCode="#,##0.000000000000000\ "/>
    <numFmt numFmtId="291" formatCode="#,##0_);[Red]\(#,##0\);&quot;-&quot;_)"/>
    <numFmt numFmtId="292" formatCode="0.00_);[Red]\(0.00\);&quot;-&quot;_)"/>
    <numFmt numFmtId="293" formatCode="#,##0.00000000"/>
    <numFmt numFmtId="294" formatCode="#,##0_%_);\(#,##0\)_%"/>
    <numFmt numFmtId="295" formatCode="&quot;$&quot;#,##0.0_);[Red]\(&quot;$&quot;#,##0.0\)"/>
    <numFmt numFmtId="296" formatCode="mmm\-yyyy"/>
    <numFmt numFmtId="297" formatCode="&quot;￥&quot;#,##0;&quot;￥&quot;\-#,##0"/>
    <numFmt numFmtId="298" formatCode="0_%_);\(0\)_%;0_%_);@_%_)"/>
    <numFmt numFmtId="299" formatCode="0.0\%_);\(0.0\%\);0.0\%_);@_%_)"/>
    <numFmt numFmtId="300" formatCode="#,##0.00_);\(&quot;￥&quot;#,##0.00\)"/>
    <numFmt numFmtId="301" formatCode="#,##0.00_%_);\(#,##0.00\)_%"/>
    <numFmt numFmtId="302" formatCode="0.00%_);\(0.00%\);0.00%_);@_%_)"/>
    <numFmt numFmtId="303" formatCode="&quot;￥&quot;#,##0_);&quot;\&quot;&quot;\&quot;&quot;\&quot;&quot;\&quot;\(&quot;￥&quot;#,##0&quot;\&quot;&quot;\&quot;&quot;\&quot;&quot;\&quot;\)"/>
    <numFmt numFmtId="304" formatCode="_ * #,##0_ ;_ * &quot;\&quot;\-#,##0_ ;_ * &quot;-&quot;_ ;_ @_ "/>
    <numFmt numFmtId="305" formatCode="0.0%_);\(0.0%\);;@_)"/>
    <numFmt numFmtId="306" formatCode="0%_);\(0%\);;@_)"/>
    <numFmt numFmtId="307" formatCode="_(&quot;RMB&quot;\ * #,##0_);_(&quot;RMB&quot;\ * \(#,##0\);_(* &quot;-&quot;_);_(@_)"/>
    <numFmt numFmtId="308" formatCode="##0.00000"/>
    <numFmt numFmtId="309" formatCode="\(0.0%\)"/>
    <numFmt numFmtId="310" formatCode="_(&quot;US$&quot;\ * #,##0_);_(&quot;US$&quot;\ * \(#,##0\);_(* &quot;-&quot;_);_(@_)"/>
    <numFmt numFmtId="311" formatCode="0%_);\(0%\);0%_);@_%_)"/>
    <numFmt numFmtId="312" formatCode="yyyy"/>
    <numFmt numFmtId="313" formatCode="#,##0_);[Red]\(#,##0\);&quot;-    &quot;"/>
    <numFmt numFmtId="314" formatCode="&quot;￥&quot;#,##0_);[Red]&quot;￥&quot;\(#,##0\);&quot;$ -    &quot;"/>
    <numFmt numFmtId="315" formatCode="&quot;￥&quot;#,##0.00_);[Red]&quot;￥&quot;\(#,##0.00\);&quot;$ -    &quot;"/>
    <numFmt numFmtId="316" formatCode="_-&quot;￥&quot;* #,##0_-;\-&quot;￥&quot;* #,##0_-;_-&quot;￥&quot;* &quot;-&quot;_-;_-@_-"/>
    <numFmt numFmtId="317" formatCode="0000&quot;E&quot;"/>
    <numFmt numFmtId="318" formatCode="[$-409]d\-mmm\-yy;@"/>
    <numFmt numFmtId="319" formatCode="_(* #,##0.000_);_(* \(#,##0.000\);_(* &quot;-&quot;??_);_(@_)"/>
    <numFmt numFmtId="320" formatCode="[Blue]#,##0.00;[Red]\-#,##0.00"/>
    <numFmt numFmtId="321" formatCode="0.0000"/>
    <numFmt numFmtId="322" formatCode="_(* #,##0.000_);_(* \(#,##0.000\);_(* &quot;-&quot;_);_(@_)"/>
    <numFmt numFmtId="323" formatCode="0.00\x"/>
    <numFmt numFmtId="325" formatCode="_(* #,##0.0\x_);_(* \(#,##0.0\x\);_(* &quot;-&quot;??_);_(@_)"/>
    <numFmt numFmtId="327" formatCode="#,##0.0\p\p_);\(#,##0.0\p\p\)"/>
    <numFmt numFmtId="328" formatCode="0.0\p\p\t"/>
    <numFmt numFmtId="329" formatCode="_(* #,##0.0000_);_(* \(#,##0.0000\);_(* &quot;-&quot;??_);_(@_)"/>
    <numFmt numFmtId="330" formatCode="#,##0&quot;x&quot;\ ;\(#,##0\)&quot;x&quot;"/>
  </numFmts>
  <fonts count="344">
    <font>
      <sz val="11"/>
      <color theme="1"/>
      <name val="Univers LT Std 55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Univers LT Std 55"/>
      <family val="2"/>
      <scheme val="minor"/>
    </font>
    <font>
      <sz val="10"/>
      <name val="Helvetica"/>
      <family val="2"/>
    </font>
    <font>
      <sz val="8"/>
      <name val="Univers LT Std 55"/>
      <family val="2"/>
    </font>
    <font>
      <sz val="8"/>
      <name val="Helvetica"/>
      <family val="2"/>
    </font>
    <font>
      <sz val="10"/>
      <name val="Arial"/>
      <family val="2"/>
    </font>
    <font>
      <sz val="8"/>
      <name val="Univers 55"/>
      <family val="2"/>
    </font>
    <font>
      <i/>
      <sz val="8"/>
      <name val="Univers 55"/>
      <family val="2"/>
    </font>
    <font>
      <b/>
      <sz val="8"/>
      <name val="Univers 55"/>
      <family val="2"/>
    </font>
    <font>
      <b/>
      <sz val="8"/>
      <name val="Univers LT Std 55"/>
      <family val="2"/>
    </font>
    <font>
      <b/>
      <sz val="8"/>
      <color theme="0"/>
      <name val="Univers 55"/>
      <family val="2"/>
    </font>
    <font>
      <b/>
      <sz val="10"/>
      <color indexed="12"/>
      <name val="Helvetica"/>
      <family val="2"/>
    </font>
    <font>
      <b/>
      <sz val="10"/>
      <name val="Helvetica"/>
      <family val="2"/>
    </font>
    <font>
      <sz val="8"/>
      <color indexed="8"/>
      <name val="Arial"/>
      <family val="2"/>
    </font>
    <font>
      <u/>
      <sz val="10"/>
      <color indexed="12"/>
      <name val="Arial"/>
      <family val="2"/>
    </font>
    <font>
      <sz val="7"/>
      <name val="Arial"/>
      <family val="2"/>
    </font>
    <font>
      <sz val="11"/>
      <color theme="1"/>
      <name val="Univers LT Std 55"/>
      <family val="2"/>
      <charset val="134"/>
      <scheme val="minor"/>
    </font>
    <font>
      <sz val="11"/>
      <name val="Times New Roman"/>
      <family val="1"/>
    </font>
    <font>
      <sz val="12"/>
      <name val="新細明體"/>
      <family val="1"/>
      <charset val="136"/>
    </font>
    <font>
      <sz val="9"/>
      <name val="Arial"/>
      <family val="2"/>
    </font>
    <font>
      <sz val="11"/>
      <color indexed="8"/>
      <name val="宋体"/>
      <charset val="134"/>
    </font>
    <font>
      <sz val="12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0"/>
      <name val="Tahoma"/>
      <family val="2"/>
    </font>
    <font>
      <sz val="12"/>
      <name val="宋体"/>
      <family val="3"/>
      <charset val="134"/>
    </font>
    <font>
      <sz val="10"/>
      <name val="Helv"/>
      <family val="2"/>
    </font>
    <font>
      <sz val="12"/>
      <name val="Arial Unicode MS"/>
      <family val="2"/>
      <charset val="134"/>
    </font>
    <font>
      <sz val="11"/>
      <color theme="1"/>
      <name val="Univers LT Std 55"/>
      <family val="3"/>
      <charset val="134"/>
      <scheme val="minor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b/>
      <i/>
      <sz val="8"/>
      <color theme="0"/>
      <name val="Arial"/>
      <family val="2"/>
    </font>
    <font>
      <b/>
      <sz val="9"/>
      <name val="Arial"/>
      <family val="2"/>
    </font>
    <font>
      <b/>
      <i/>
      <sz val="11"/>
      <color theme="0"/>
      <name val="Arial"/>
      <family val="2"/>
    </font>
    <font>
      <sz val="8"/>
      <color rgb="FF00B050"/>
      <name val="Arial"/>
      <family val="2"/>
    </font>
    <font>
      <sz val="10"/>
      <color indexed="9"/>
      <name val="Helvetica"/>
      <family val="2"/>
    </font>
    <font>
      <sz val="10"/>
      <color indexed="52"/>
      <name val="Arial"/>
      <family val="2"/>
    </font>
    <font>
      <sz val="10"/>
      <color indexed="9"/>
      <name val="Arial"/>
      <family val="2"/>
    </font>
    <font>
      <sz val="10"/>
      <color rgb="FF0070C0"/>
      <name val="Arial"/>
      <family val="2"/>
    </font>
    <font>
      <b/>
      <u/>
      <sz val="10"/>
      <name val="Arial"/>
      <family val="2"/>
    </font>
    <font>
      <b/>
      <sz val="10"/>
      <color indexed="12"/>
      <name val="Arial"/>
      <family val="2"/>
    </font>
    <font>
      <sz val="10"/>
      <color indexed="17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b/>
      <sz val="10"/>
      <color indexed="17"/>
      <name val="Arial"/>
      <family val="2"/>
    </font>
    <font>
      <b/>
      <sz val="10"/>
      <color indexed="9"/>
      <name val="Arial"/>
      <family val="2"/>
    </font>
    <font>
      <sz val="10"/>
      <color indexed="12"/>
      <name val="Arial"/>
      <family val="2"/>
    </font>
    <font>
      <b/>
      <sz val="11"/>
      <name val="Arial"/>
      <family val="2"/>
    </font>
    <font>
      <sz val="10"/>
      <color rgb="FFFFC000"/>
      <name val="Arial"/>
      <family val="2"/>
    </font>
    <font>
      <sz val="11"/>
      <name val="Helvetica"/>
      <family val="2"/>
    </font>
    <font>
      <sz val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宋体"/>
      <charset val="134"/>
    </font>
    <font>
      <b/>
      <sz val="9"/>
      <color indexed="8"/>
      <name val="Arial"/>
      <family val="2"/>
    </font>
    <font>
      <b/>
      <sz val="9"/>
      <name val="FZShuTi"/>
      <family val="3"/>
      <charset val="134"/>
    </font>
    <font>
      <b/>
      <sz val="9"/>
      <color rgb="FF000000"/>
      <name val="Arial"/>
      <family val="2"/>
    </font>
    <font>
      <sz val="10"/>
      <color indexed="55"/>
      <name val="Tahoma"/>
      <family val="2"/>
    </font>
    <font>
      <sz val="9"/>
      <color indexed="55"/>
      <name val="Arial"/>
      <family val="2"/>
    </font>
    <font>
      <b/>
      <sz val="9"/>
      <color indexed="12"/>
      <name val="Arial"/>
      <family val="2"/>
    </font>
    <font>
      <b/>
      <sz val="9"/>
      <color indexed="9"/>
      <name val="Arial"/>
      <family val="2"/>
    </font>
    <font>
      <b/>
      <sz val="10"/>
      <color indexed="8"/>
      <name val="Arial"/>
      <family val="2"/>
    </font>
    <font>
      <b/>
      <u/>
      <sz val="9"/>
      <name val="Arial"/>
      <family val="2"/>
    </font>
    <font>
      <sz val="10"/>
      <color indexed="8"/>
      <name val="Arial"/>
      <family val="2"/>
    </font>
    <font>
      <sz val="10"/>
      <color theme="0"/>
      <name val="Arial"/>
      <family val="2"/>
    </font>
    <font>
      <sz val="10"/>
      <name val="Univers 45 Light"/>
      <family val="2"/>
    </font>
    <font>
      <b/>
      <sz val="10"/>
      <name val="Univers 45 Light"/>
      <family val="2"/>
    </font>
    <font>
      <b/>
      <sz val="14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b/>
      <sz val="14"/>
      <color indexed="9"/>
      <name val="Arial"/>
      <family val="2"/>
    </font>
    <font>
      <i/>
      <sz val="10"/>
      <name val="Arial"/>
      <family val="2"/>
    </font>
    <font>
      <sz val="10"/>
      <color theme="0"/>
      <name val="Helvetica"/>
      <family val="2"/>
    </font>
    <font>
      <sz val="10"/>
      <color indexed="52"/>
      <name val="Helvetica"/>
      <family val="2"/>
    </font>
    <font>
      <sz val="10"/>
      <color indexed="12"/>
      <name val="Helvetica"/>
      <family val="2"/>
    </font>
    <font>
      <b/>
      <sz val="10"/>
      <color indexed="63"/>
      <name val="Helvetica"/>
      <family val="2"/>
    </font>
    <font>
      <sz val="10"/>
      <color indexed="10"/>
      <name val="Helvetica"/>
      <family val="2"/>
    </font>
    <font>
      <b/>
      <sz val="10"/>
      <color indexed="10"/>
      <name val="Helvetica"/>
      <family val="2"/>
    </font>
    <font>
      <u/>
      <sz val="9"/>
      <color indexed="12"/>
      <name val="Arial"/>
      <family val="2"/>
    </font>
    <font>
      <b/>
      <sz val="10"/>
      <color indexed="18"/>
      <name val="Arial"/>
      <family val="2"/>
    </font>
    <font>
      <i/>
      <sz val="10"/>
      <color indexed="10"/>
      <name val="Helvetica"/>
      <family val="2"/>
    </font>
    <font>
      <b/>
      <sz val="10"/>
      <color rgb="FF00823B"/>
      <name val="Helvetica"/>
      <family val="2"/>
    </font>
    <font>
      <sz val="10"/>
      <color rgb="FF00823B"/>
      <name val="Helvetica"/>
      <family val="2"/>
    </font>
    <font>
      <sz val="10"/>
      <color rgb="FF00B050"/>
      <name val="Helvetica"/>
      <family val="2"/>
    </font>
    <font>
      <b/>
      <i/>
      <sz val="10"/>
      <name val="Helvetica"/>
      <family val="2"/>
    </font>
    <font>
      <i/>
      <sz val="10"/>
      <name val="Helvetica"/>
      <family val="2"/>
    </font>
    <font>
      <b/>
      <i/>
      <sz val="10"/>
      <color indexed="10"/>
      <name val="Helvetica"/>
      <family val="2"/>
    </font>
    <font>
      <sz val="10"/>
      <color rgb="FF008000"/>
      <name val="Helvetica"/>
      <family val="2"/>
    </font>
    <font>
      <b/>
      <sz val="10"/>
      <color rgb="FF00B050"/>
      <name val="Helvetica"/>
      <family val="2"/>
    </font>
    <font>
      <sz val="10"/>
      <name val="GS TheSans"/>
      <family val="2"/>
    </font>
    <font>
      <sz val="8"/>
      <name val="Tahoma"/>
      <family val="2"/>
    </font>
    <font>
      <b/>
      <sz val="10"/>
      <name val="MS Sans Serif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u val="singleAccounting"/>
      <sz val="10"/>
      <color indexed="18"/>
      <name val="Arial"/>
      <family val="2"/>
    </font>
    <font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name val="Times"/>
      <family val="1"/>
    </font>
    <font>
      <b/>
      <sz val="12"/>
      <name val="Tms Rmn"/>
    </font>
    <font>
      <sz val="9"/>
      <color indexed="9"/>
      <name val="Times New Roman"/>
      <family val="1"/>
    </font>
    <font>
      <sz val="8"/>
      <color indexed="12"/>
      <name val="Tms Rmn"/>
    </font>
    <font>
      <b/>
      <sz val="10"/>
      <name val="Bookman"/>
      <family val="1"/>
    </font>
    <font>
      <b/>
      <sz val="24"/>
      <name val="Times New Roman"/>
      <family val="1"/>
    </font>
    <font>
      <b/>
      <sz val="14"/>
      <name val="Book Antiqua"/>
      <family val="1"/>
    </font>
    <font>
      <sz val="11"/>
      <color indexed="12"/>
      <name val="Book Antiqua"/>
      <family val="1"/>
    </font>
    <font>
      <b/>
      <u/>
      <sz val="7"/>
      <name val="Helvetica"/>
      <family val="2"/>
    </font>
    <font>
      <sz val="9"/>
      <name val="Times New Roman"/>
      <family val="1"/>
    </font>
    <font>
      <sz val="10"/>
      <name val="Book Antiqua"/>
      <family val="1"/>
    </font>
    <font>
      <b/>
      <sz val="8.5"/>
      <color indexed="17"/>
      <name val="Arial"/>
      <family val="2"/>
    </font>
    <font>
      <b/>
      <sz val="7"/>
      <color indexed="17"/>
      <name val="Arial"/>
      <family val="2"/>
    </font>
    <font>
      <sz val="8.5"/>
      <color indexed="8"/>
      <name val="Arial"/>
      <family val="2"/>
    </font>
    <font>
      <b/>
      <sz val="8"/>
      <name val="Book Antiqua"/>
      <family val="1"/>
    </font>
    <font>
      <sz val="10"/>
      <name val="MS Sans Serif"/>
      <family val="2"/>
    </font>
    <font>
      <b/>
      <sz val="10"/>
      <name val="Palatino"/>
      <family val="1"/>
    </font>
    <font>
      <sz val="8"/>
      <name val="Book Antiqua"/>
      <family val="1"/>
    </font>
    <font>
      <i/>
      <sz val="7"/>
      <name val="Book Antiqua"/>
      <family val="1"/>
    </font>
    <font>
      <sz val="8"/>
      <color indexed="9"/>
      <name val="Arial"/>
      <family val="2"/>
    </font>
    <font>
      <b/>
      <i/>
      <sz val="16"/>
      <name val="Helv"/>
    </font>
    <font>
      <sz val="10"/>
      <color indexed="72"/>
      <name val="System"/>
      <family val="2"/>
    </font>
    <font>
      <b/>
      <sz val="14"/>
      <name val="Times New Roman"/>
      <family val="1"/>
    </font>
    <font>
      <sz val="10"/>
      <name val="Palatino"/>
      <family val="1"/>
    </font>
    <font>
      <sz val="8"/>
      <name val="Helv"/>
      <family val="2"/>
    </font>
    <font>
      <sz val="10"/>
      <name val="Times New Roman"/>
      <family val="1"/>
    </font>
    <font>
      <sz val="8"/>
      <name val="Helv"/>
    </font>
    <font>
      <sz val="12"/>
      <name val="Helvetica"/>
      <family val="2"/>
    </font>
    <font>
      <b/>
      <sz val="14"/>
      <name val="Bookman"/>
      <family val="1"/>
    </font>
    <font>
      <b/>
      <sz val="8"/>
      <name val="HelveticaNeue Condensed"/>
    </font>
    <font>
      <sz val="8"/>
      <name val="HelveticaNeue LightCond"/>
      <family val="2"/>
    </font>
    <font>
      <b/>
      <sz val="7"/>
      <name val="HelveticaNeue Condensed"/>
      <family val="2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8.5"/>
      <color indexed="8"/>
      <name val="Arial"/>
      <family val="2"/>
    </font>
    <font>
      <b/>
      <sz val="12"/>
      <color indexed="16"/>
      <name val="Arial"/>
      <family val="2"/>
    </font>
    <font>
      <sz val="7"/>
      <name val="Times New Roman"/>
      <family val="1"/>
    </font>
    <font>
      <b/>
      <u/>
      <sz val="14"/>
      <name val="Book Antiqua"/>
      <family val="1"/>
    </font>
    <font>
      <b/>
      <sz val="10"/>
      <name val="Book Antiqua"/>
      <family val="1"/>
    </font>
    <font>
      <b/>
      <sz val="7"/>
      <name val="Arial"/>
      <family val="2"/>
    </font>
    <font>
      <b/>
      <sz val="10"/>
      <name val="Times New Roman"/>
      <family val="1"/>
    </font>
    <font>
      <b/>
      <sz val="8"/>
      <color theme="0"/>
      <name val="Arial"/>
      <family val="2"/>
    </font>
    <font>
      <b/>
      <sz val="8"/>
      <color rgb="FF0000FF"/>
      <name val="Arial"/>
      <family val="2"/>
    </font>
    <font>
      <sz val="8"/>
      <color rgb="FF0000FF"/>
      <name val="Arial"/>
      <family val="2"/>
    </font>
    <font>
      <i/>
      <sz val="8"/>
      <color rgb="FF0000FF"/>
      <name val="Arial"/>
      <family val="2"/>
    </font>
    <font>
      <i/>
      <sz val="8"/>
      <color rgb="FFFF0000"/>
      <name val="Arial"/>
      <family val="2"/>
    </font>
    <font>
      <sz val="8"/>
      <color rgb="FFFF0000"/>
      <name val="Arial"/>
      <family val="2"/>
    </font>
    <font>
      <sz val="9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0"/>
      <color rgb="FFFF0000"/>
      <name val="Helvetica"/>
      <family val="2"/>
    </font>
    <font>
      <sz val="8"/>
      <color indexed="12"/>
      <name val="Arial"/>
      <family val="2"/>
    </font>
    <font>
      <sz val="10"/>
      <color indexed="8"/>
      <name val="MS Sans Serif"/>
      <family val="2"/>
    </font>
    <font>
      <sz val="12"/>
      <name val="Times New Roman"/>
      <family val="1"/>
    </font>
    <font>
      <sz val="10"/>
      <name val="?? ?????"/>
      <family val="2"/>
      <charset val="128"/>
    </font>
    <font>
      <sz val="12"/>
      <name val="???"/>
      <family val="1"/>
      <charset val="136"/>
    </font>
    <font>
      <sz val="12"/>
      <name val="!Ps2OcuAe"/>
      <family val="1"/>
    </font>
    <font>
      <sz val="9"/>
      <name val="Lucida Sans"/>
      <family val="2"/>
    </font>
    <font>
      <sz val="12"/>
      <name val="????"/>
      <family val="1"/>
      <charset val="136"/>
    </font>
    <font>
      <sz val="11"/>
      <color indexed="10"/>
      <name val="Arial"/>
      <family val="2"/>
    </font>
    <font>
      <sz val="11"/>
      <name val="?? ?????"/>
      <family val="3"/>
      <charset val="128"/>
    </font>
    <font>
      <sz val="10"/>
      <name val="Courier"/>
      <family val="3"/>
    </font>
    <font>
      <sz val="12"/>
      <name val="Courier"/>
      <family val="3"/>
    </font>
    <font>
      <sz val="12"/>
      <name val="Arial MT"/>
      <family val="2"/>
    </font>
    <font>
      <sz val="8"/>
      <color indexed="12"/>
      <name val="Times New Roman"/>
      <family val="1"/>
    </font>
    <font>
      <sz val="9"/>
      <color indexed="12"/>
      <name val="Times New Roman"/>
      <family val="1"/>
    </font>
    <font>
      <sz val="9"/>
      <name val="Helvetica"/>
      <family val="2"/>
    </font>
    <font>
      <sz val="7"/>
      <color indexed="8"/>
      <name val="Arial"/>
      <family val="2"/>
    </font>
    <font>
      <sz val="8"/>
      <name val="Times New Roman"/>
      <family val="1"/>
    </font>
    <font>
      <sz val="10"/>
      <color indexed="18"/>
      <name val="GS TheSans"/>
      <family val="2"/>
    </font>
    <font>
      <b/>
      <sz val="8"/>
      <color indexed="9"/>
      <name val="Times New Roman"/>
      <family val="1"/>
    </font>
    <font>
      <sz val="8"/>
      <name val="Palatino"/>
      <family val="1"/>
    </font>
    <font>
      <sz val="8"/>
      <color indexed="12"/>
      <name val="Tms Rmn"/>
      <family val="1"/>
    </font>
    <font>
      <sz val="12"/>
      <name val="Tms Rmn"/>
      <family val="1"/>
    </font>
    <font>
      <sz val="8"/>
      <name val="Univers"/>
      <family val="2"/>
    </font>
    <font>
      <b/>
      <sz val="8"/>
      <name val="TimesNewRomanPS"/>
      <family val="1"/>
    </font>
    <font>
      <sz val="9"/>
      <name val="Helv"/>
    </font>
    <font>
      <b/>
      <sz val="8"/>
      <color indexed="8"/>
      <name val="Arial"/>
      <family val="2"/>
    </font>
    <font>
      <b/>
      <sz val="8"/>
      <color indexed="32"/>
      <name val="Arial"/>
      <family val="2"/>
    </font>
    <font>
      <sz val="8"/>
      <name val="Tms Rmn"/>
      <family val="1"/>
    </font>
    <font>
      <sz val="10"/>
      <color indexed="18"/>
      <name val="Times New Roman"/>
      <family val="1"/>
    </font>
    <font>
      <sz val="10"/>
      <name val="*FounSung*-Mapping"/>
      <family val="2"/>
    </font>
    <font>
      <b/>
      <sz val="8"/>
      <color indexed="12"/>
      <name val="Arial"/>
      <family val="2"/>
    </font>
    <font>
      <sz val="10"/>
      <name val="Geneva"/>
      <family val="2"/>
    </font>
    <font>
      <sz val="24"/>
      <name val="Arial"/>
      <family val="2"/>
    </font>
    <font>
      <sz val="24"/>
      <name val="MS Sans Serif"/>
      <family val="2"/>
    </font>
    <font>
      <u/>
      <sz val="8"/>
      <name val="Helv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  <family val="2"/>
    </font>
    <font>
      <sz val="8"/>
      <color indexed="8"/>
      <name val="Times New Roman"/>
      <family val="1"/>
    </font>
    <font>
      <sz val="10"/>
      <color indexed="2"/>
      <name val="Tahoma"/>
      <family val="2"/>
    </font>
    <font>
      <b/>
      <sz val="10"/>
      <color indexed="0"/>
      <name val="Tahoma"/>
      <family val="2"/>
    </font>
    <font>
      <sz val="6"/>
      <color indexed="23"/>
      <name val="Helvetica-Black"/>
      <family val="2"/>
    </font>
    <font>
      <sz val="9.5"/>
      <color indexed="23"/>
      <name val="Helvetica-Black"/>
      <family val="2"/>
    </font>
    <font>
      <sz val="7"/>
      <name val="Palatino"/>
      <family val="1"/>
    </font>
    <font>
      <sz val="9"/>
      <name val="Tms Rmn"/>
      <family val="1"/>
    </font>
    <font>
      <sz val="10"/>
      <name val="Univers LT Std 55"/>
      <family val="2"/>
    </font>
    <font>
      <sz val="9"/>
      <name val="Futura UBS Bk"/>
      <family val="2"/>
    </font>
    <font>
      <sz val="12"/>
      <name val="Helv"/>
      <family val="2"/>
    </font>
    <font>
      <sz val="6"/>
      <name val="Palatino"/>
      <family val="1"/>
    </font>
    <font>
      <sz val="6"/>
      <color indexed="12"/>
      <name val="Palatino"/>
      <family val="1"/>
    </font>
    <font>
      <sz val="28"/>
      <name val="Helvetica-Black"/>
      <family val="2"/>
    </font>
    <font>
      <sz val="10"/>
      <name val="Helvetica-Black"/>
      <family val="2"/>
    </font>
    <font>
      <sz val="18"/>
      <name val="Helvetica-Black"/>
      <family val="2"/>
    </font>
    <font>
      <sz val="18"/>
      <name val="Palatino"/>
      <family val="1"/>
    </font>
    <font>
      <i/>
      <sz val="14"/>
      <name val="Palatino"/>
      <family val="1"/>
    </font>
    <font>
      <b/>
      <sz val="9"/>
      <name val="Helv"/>
      <family val="2"/>
    </font>
    <font>
      <sz val="8"/>
      <color indexed="16"/>
      <name val="Palatino"/>
      <family val="1"/>
    </font>
    <font>
      <sz val="10"/>
      <color indexed="10"/>
      <name val="Times New Roman"/>
      <family val="1"/>
    </font>
    <font>
      <sz val="10"/>
      <color indexed="10"/>
      <name val="Helv"/>
      <family val="2"/>
    </font>
    <font>
      <b/>
      <i/>
      <sz val="8"/>
      <name val="Helvetica"/>
      <family val="2"/>
    </font>
    <font>
      <sz val="10"/>
      <name val="Tms Rmn"/>
      <family val="1"/>
    </font>
    <font>
      <b/>
      <sz val="12"/>
      <color indexed="17"/>
      <name val="Wingdings"/>
      <charset val="2"/>
    </font>
    <font>
      <sz val="8"/>
      <name val="Frutiger 45"/>
      <family val="2"/>
    </font>
    <font>
      <sz val="7.5"/>
      <name val="Frutiger 45"/>
      <family val="2"/>
    </font>
    <font>
      <b/>
      <i/>
      <sz val="10"/>
      <color indexed="4"/>
      <name val="Tahoma"/>
      <family val="2"/>
    </font>
    <font>
      <sz val="10"/>
      <color indexed="4"/>
      <name val="Tahoma"/>
      <family val="2"/>
    </font>
    <font>
      <b/>
      <sz val="8"/>
      <color indexed="8"/>
      <name val="Times New Roman"/>
      <family val="1"/>
    </font>
    <font>
      <sz val="12"/>
      <color theme="1"/>
      <name val="Univers LT Std 55"/>
      <family val="2"/>
      <scheme val="minor"/>
    </font>
    <font>
      <b/>
      <u/>
      <sz val="11"/>
      <name val="Times New Roman"/>
      <family val="1"/>
    </font>
    <font>
      <sz val="10"/>
      <name val="Arial CE"/>
      <family val="2"/>
      <charset val="238"/>
    </font>
    <font>
      <i/>
      <sz val="10"/>
      <name val="Helv"/>
      <family val="2"/>
    </font>
    <font>
      <sz val="10"/>
      <name val="Garamond"/>
      <family val="1"/>
    </font>
    <font>
      <sz val="8"/>
      <color indexed="12"/>
      <name val="Helv"/>
      <family val="2"/>
    </font>
    <font>
      <b/>
      <sz val="13.5"/>
      <name val="MS Sans Serif"/>
      <family val="2"/>
    </font>
    <font>
      <sz val="10"/>
      <color indexed="16"/>
      <name val="Helvetica-Black"/>
      <family val="2"/>
    </font>
    <font>
      <b/>
      <sz val="8"/>
      <name val="Palatino"/>
      <family val="1"/>
    </font>
    <font>
      <sz val="10"/>
      <name val="Frutiger 45 Light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10"/>
      <color indexed="23"/>
      <name val="Arial"/>
      <family val="2"/>
    </font>
    <font>
      <sz val="10"/>
      <color indexed="12"/>
      <name val="MS Sans Serif"/>
      <family val="2"/>
    </font>
    <font>
      <b/>
      <sz val="8.25"/>
      <name val="Helv"/>
      <family val="2"/>
    </font>
    <font>
      <b/>
      <sz val="10"/>
      <name val="Helv"/>
      <family val="2"/>
    </font>
    <font>
      <b/>
      <sz val="9"/>
      <name val="Palatino"/>
      <family val="1"/>
    </font>
    <font>
      <sz val="9"/>
      <color indexed="21"/>
      <name val="Helvetica-Black"/>
      <family val="2"/>
    </font>
    <font>
      <sz val="9"/>
      <name val="Palatino"/>
      <family val="1"/>
    </font>
    <font>
      <sz val="8"/>
      <name val="Helvetica-Narrow"/>
      <family val="2"/>
    </font>
    <font>
      <b/>
      <sz val="7"/>
      <name val="Helvetica-Narrow"/>
      <family val="2"/>
    </font>
    <font>
      <sz val="12"/>
      <color indexed="8"/>
      <name val="Palatino"/>
      <family val="1"/>
    </font>
    <font>
      <sz val="12"/>
      <name val="Palatino"/>
      <family val="1"/>
    </font>
    <font>
      <sz val="11"/>
      <name val="Helvetica-Black"/>
      <family val="2"/>
    </font>
    <font>
      <sz val="11"/>
      <color indexed="8"/>
      <name val="Helvetica-Black"/>
      <family val="2"/>
    </font>
    <font>
      <sz val="16"/>
      <name val="Univers"/>
      <family val="2"/>
    </font>
    <font>
      <sz val="10"/>
      <color indexed="8"/>
      <name val="Palatino"/>
      <family val="1"/>
    </font>
    <font>
      <b/>
      <sz val="16"/>
      <color indexed="62"/>
      <name val="Arial"/>
      <family val="2"/>
    </font>
    <font>
      <b/>
      <sz val="9"/>
      <color indexed="8"/>
      <name val="Helv"/>
      <family val="2"/>
    </font>
    <font>
      <u val="double"/>
      <sz val="8"/>
      <color indexed="8"/>
      <name val="Arial"/>
      <family val="2"/>
    </font>
    <font>
      <b/>
      <sz val="8"/>
      <name val="Times New Roman"/>
      <family val="1"/>
    </font>
    <font>
      <sz val="11"/>
      <name val="絡遺"/>
      <family val="1"/>
      <charset val="136"/>
    </font>
    <font>
      <sz val="10"/>
      <name val="굴림체"/>
      <family val="3"/>
      <charset val="129"/>
    </font>
    <font>
      <sz val="12"/>
      <name val="*ZenKai-Medium*-Mapping"/>
      <family val="1"/>
    </font>
    <font>
      <sz val="12"/>
      <name val="夥鰻羹"/>
      <family val="1"/>
      <charset val="136"/>
    </font>
    <font>
      <b/>
      <sz val="12"/>
      <name val="Times"/>
      <family val="1"/>
    </font>
    <font>
      <sz val="10"/>
      <name val="ＭＳ Ｐゴシック"/>
      <family val="2"/>
      <charset val="128"/>
    </font>
    <font>
      <b/>
      <sz val="12"/>
      <color indexed="9"/>
      <name val="Times New Roman"/>
      <family val="1"/>
    </font>
    <font>
      <u/>
      <sz val="10"/>
      <color indexed="36"/>
      <name val="Arial"/>
      <family val="2"/>
    </font>
    <font>
      <sz val="10"/>
      <color theme="1"/>
      <name val="Univers LT Std 55"/>
      <family val="2"/>
      <scheme val="minor"/>
    </font>
    <font>
      <u/>
      <sz val="11"/>
      <color theme="10"/>
      <name val="Univers LT Std 55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0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sz val="10"/>
      <color rgb="FF00823B"/>
      <name val="Arial"/>
      <family val="2"/>
    </font>
    <font>
      <b/>
      <sz val="10"/>
      <color rgb="FF00823B"/>
      <name val="Arial"/>
      <family val="2"/>
    </font>
    <font>
      <b/>
      <sz val="10"/>
      <color rgb="FFFF0000"/>
      <name val="Helvetica"/>
      <family val="2"/>
    </font>
    <font>
      <sz val="10"/>
      <color rgb="FFFF0000"/>
      <name val="Arial"/>
      <family val="2"/>
    </font>
    <font>
      <b/>
      <i/>
      <sz val="8"/>
      <color rgb="FFFF0000"/>
      <name val="Arial"/>
      <family val="2"/>
    </font>
    <font>
      <b/>
      <i/>
      <sz val="8"/>
      <color rgb="FF0000FF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sz val="8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9"/>
      <color theme="0"/>
      <name val="Arial"/>
      <family val="2"/>
    </font>
    <font>
      <b/>
      <sz val="10"/>
      <color rgb="FFA5A5A5"/>
      <name val="Arial"/>
      <family val="2"/>
    </font>
    <font>
      <b/>
      <sz val="16"/>
      <color theme="0"/>
      <name val="Arial"/>
      <family val="2"/>
    </font>
    <font>
      <sz val="9"/>
      <color theme="0"/>
      <name val="Arial"/>
      <family val="2"/>
    </font>
    <font>
      <sz val="11"/>
      <color theme="0"/>
      <name val="Arial"/>
      <family val="2"/>
    </font>
    <font>
      <b/>
      <sz val="8"/>
      <color theme="0"/>
      <name val="Univers LT Std 55"/>
      <family val="2"/>
    </font>
    <font>
      <sz val="8"/>
      <color theme="0"/>
      <name val="Univers LT Std 55"/>
      <family val="2"/>
    </font>
    <font>
      <b/>
      <sz val="8"/>
      <name val="Helvetica"/>
      <family val="2"/>
    </font>
    <font>
      <i/>
      <sz val="8"/>
      <name val="Univers LT Std 55"/>
      <family val="2"/>
    </font>
    <font>
      <b/>
      <sz val="10"/>
      <color rgb="FFFF0000"/>
      <name val="Arial"/>
      <family val="2"/>
    </font>
    <font>
      <b/>
      <sz val="8"/>
      <color rgb="FF008000"/>
      <name val="Arial"/>
      <family val="2"/>
    </font>
    <font>
      <sz val="8"/>
      <color rgb="FF008000"/>
      <name val="Arial"/>
      <family val="2"/>
    </font>
    <font>
      <b/>
      <sz val="8"/>
      <color rgb="FF006600"/>
      <name val="Arial"/>
      <family val="2"/>
    </font>
    <font>
      <sz val="10"/>
      <color rgb="FF006600"/>
      <name val="Arial"/>
      <family val="2"/>
    </font>
    <font>
      <b/>
      <sz val="10"/>
      <color rgb="FF006600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i/>
      <sz val="10"/>
      <color rgb="FFFF0000"/>
      <name val="Arial"/>
      <family val="2"/>
    </font>
    <font>
      <b/>
      <sz val="10"/>
      <color rgb="FF006600"/>
      <name val="Helvetica"/>
      <family val="2"/>
    </font>
    <font>
      <sz val="10"/>
      <color rgb="FF006600"/>
      <name val="Helvetica"/>
      <family val="2"/>
    </font>
    <font>
      <i/>
      <sz val="8"/>
      <color rgb="FF006600"/>
      <name val="Arial"/>
      <family val="2"/>
    </font>
    <font>
      <i/>
      <sz val="8"/>
      <color theme="0"/>
      <name val="Arial"/>
      <family val="2"/>
    </font>
    <font>
      <b/>
      <sz val="8"/>
      <color rgb="FF078549"/>
      <name val="Arial"/>
      <family val="2"/>
    </font>
    <font>
      <sz val="8"/>
      <color rgb="FF078549"/>
      <name val="Arial"/>
      <family val="2"/>
    </font>
    <font>
      <b/>
      <sz val="10"/>
      <name val="Helvetica"/>
    </font>
    <font>
      <b/>
      <sz val="9"/>
      <name val="Helvetica"/>
    </font>
    <font>
      <i/>
      <sz val="8"/>
      <color rgb="FF078549"/>
      <name val="Arial"/>
      <family val="2"/>
    </font>
    <font>
      <b/>
      <u/>
      <sz val="8"/>
      <name val="Arial"/>
      <family val="2"/>
    </font>
    <font>
      <sz val="10"/>
      <color rgb="FF078549"/>
      <name val="Helvetica"/>
      <family val="2"/>
    </font>
    <font>
      <b/>
      <sz val="8"/>
      <color rgb="FFFF0000"/>
      <name val="Arial"/>
      <family val="2"/>
    </font>
    <font>
      <sz val="9"/>
      <color rgb="FFFF0000"/>
      <name val="Arial"/>
      <family val="2"/>
    </font>
    <font>
      <b/>
      <sz val="10"/>
      <color indexed="9"/>
      <name val="Helvetica"/>
    </font>
    <font>
      <b/>
      <i/>
      <sz val="10"/>
      <name val="Arial"/>
      <family val="2"/>
    </font>
    <font>
      <i/>
      <sz val="11"/>
      <name val="Arial"/>
      <family val="2"/>
    </font>
    <font>
      <u/>
      <sz val="10"/>
      <color theme="10"/>
      <name val="Arial"/>
      <family val="2"/>
    </font>
    <font>
      <sz val="10"/>
      <color rgb="FF078549"/>
      <name val="Arial"/>
      <family val="2"/>
    </font>
    <font>
      <b/>
      <sz val="11"/>
      <color theme="1"/>
      <name val="Univers LT Std 55"/>
      <family val="2"/>
      <scheme val="minor"/>
    </font>
    <font>
      <sz val="8"/>
      <color rgb="FF2F3034"/>
      <name val="Tahoma"/>
      <family val="2"/>
    </font>
    <font>
      <u/>
      <sz val="8"/>
      <name val="Arial"/>
      <family val="2"/>
    </font>
    <font>
      <sz val="8"/>
      <name val="Univers LT Std 55"/>
      <family val="2"/>
      <scheme val="minor"/>
    </font>
    <font>
      <b/>
      <i/>
      <u/>
      <sz val="10"/>
      <color rgb="FF078549"/>
      <name val="Arial"/>
      <family val="2"/>
    </font>
    <font>
      <b/>
      <i/>
      <u/>
      <sz val="10"/>
      <color rgb="FFFF0000"/>
      <name val="Arial"/>
      <family val="2"/>
    </font>
    <font>
      <sz val="10"/>
      <color rgb="FF0000FF"/>
      <name val="Helvetica"/>
      <family val="2"/>
    </font>
    <font>
      <sz val="10"/>
      <color theme="0" tint="-4.9989318521683403E-2"/>
      <name val="Arial"/>
      <family val="2"/>
    </font>
    <font>
      <i/>
      <sz val="10"/>
      <color indexed="9"/>
      <name val="Helvetica"/>
      <family val="2"/>
    </font>
    <font>
      <b/>
      <i/>
      <sz val="10"/>
      <color indexed="17"/>
      <name val="Arial"/>
      <family val="2"/>
    </font>
    <font>
      <i/>
      <sz val="10"/>
      <color indexed="9"/>
      <name val="Helvetica"/>
    </font>
    <font>
      <i/>
      <sz val="10"/>
      <name val="Helvetica"/>
    </font>
    <font>
      <sz val="10"/>
      <name val="Helvetica"/>
    </font>
    <font>
      <i/>
      <sz val="8"/>
      <name val="Univers 55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b/>
      <i/>
      <sz val="8"/>
      <color theme="1"/>
      <name val="Arial"/>
      <family val="2"/>
    </font>
    <font>
      <sz val="6"/>
      <color rgb="FF000000"/>
      <name val="宋体"/>
    </font>
    <font>
      <sz val="10"/>
      <color rgb="FF0000FF"/>
      <name val="Univers 45 Light"/>
      <family val="2"/>
    </font>
  </fonts>
  <fills count="8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</patternFill>
    </fill>
    <fill>
      <patternFill patternType="gray0625">
        <fgColor indexed="10"/>
        <bgColor indexed="9"/>
      </patternFill>
    </fill>
    <fill>
      <patternFill patternType="solid">
        <fgColor indexed="18"/>
        <bgColor indexed="64"/>
      </patternFill>
    </fill>
    <fill>
      <patternFill patternType="lightGray">
        <fgColor indexed="14"/>
        <bgColor indexed="9"/>
      </patternFill>
    </fill>
    <fill>
      <patternFill patternType="lightGray">
        <fgColor indexed="15"/>
      </patternFill>
    </fill>
    <fill>
      <patternFill patternType="lightGray">
        <fgColor indexed="12"/>
        <bgColor indexed="9"/>
      </patternFill>
    </fill>
    <fill>
      <patternFill patternType="solid">
        <fgColor indexed="11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10"/>
      </patternFill>
    </fill>
    <fill>
      <patternFill patternType="lightGray">
        <fgColor indexed="22"/>
        <bgColor indexed="9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1"/>
        <bgColor indexed="64"/>
      </patternFill>
    </fill>
    <fill>
      <patternFill patternType="lightGray">
        <fgColor indexed="12"/>
      </patternFill>
    </fill>
    <fill>
      <patternFill patternType="gray0625"/>
    </fill>
    <fill>
      <patternFill patternType="solid">
        <fgColor indexed="17"/>
      </patternFill>
    </fill>
    <fill>
      <patternFill patternType="solid">
        <fgColor indexed="11"/>
        <bgColor indexed="64"/>
      </patternFill>
    </fill>
    <fill>
      <patternFill patternType="solid">
        <fgColor indexed="48"/>
      </patternFill>
    </fill>
    <fill>
      <patternFill patternType="solid">
        <fgColor indexed="12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15"/>
      </patternFill>
    </fill>
    <fill>
      <patternFill patternType="darkGray">
        <fgColor indexed="15"/>
      </patternFill>
    </fill>
    <fill>
      <patternFill patternType="solid">
        <fgColor indexed="16"/>
        <bgColor indexed="64"/>
      </patternFill>
    </fill>
    <fill>
      <patternFill patternType="solid">
        <fgColor indexed="8"/>
      </patternFill>
    </fill>
    <fill>
      <patternFill patternType="solid">
        <fgColor indexed="22"/>
      </patternFill>
    </fill>
    <fill>
      <patternFill patternType="solid">
        <fgColor indexed="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8999908444471571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355F"/>
        <bgColor indexed="64"/>
      </patternFill>
    </fill>
    <fill>
      <patternFill patternType="solid">
        <fgColor rgb="FFACD4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078549"/>
        <bgColor indexed="64"/>
      </patternFill>
    </fill>
    <fill>
      <patternFill patternType="solid">
        <fgColor rgb="FF00355F"/>
        <bgColor rgb="FF000000"/>
      </patternFill>
    </fill>
    <fill>
      <patternFill patternType="solid">
        <fgColor rgb="FFACD4F1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9.9978637043366805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1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9"/>
      </left>
      <right style="thick">
        <color indexed="9"/>
      </right>
      <top/>
      <bottom style="double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rgb="FFFAC090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hair">
        <color indexed="64"/>
      </top>
      <bottom/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/>
      <bottom style="double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Dashed">
        <color theme="3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hair">
        <color indexed="64"/>
      </top>
      <bottom style="hair">
        <color indexed="64"/>
      </bottom>
      <diagonal/>
    </border>
    <border>
      <left/>
      <right style="medium">
        <color theme="1"/>
      </right>
      <top style="hair">
        <color indexed="64"/>
      </top>
      <bottom style="hair">
        <color indexed="64"/>
      </bottom>
      <diagonal/>
    </border>
    <border>
      <left style="medium">
        <color theme="1"/>
      </left>
      <right/>
      <top style="hair">
        <color indexed="64"/>
      </top>
      <bottom style="medium">
        <color theme="1"/>
      </bottom>
      <diagonal/>
    </border>
    <border>
      <left/>
      <right style="medium">
        <color theme="1"/>
      </right>
      <top style="hair">
        <color indexed="64"/>
      </top>
      <bottom style="medium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Dashed">
        <color rgb="FFFF0000"/>
      </right>
      <top/>
      <bottom/>
      <diagonal/>
    </border>
    <border>
      <left style="thin">
        <color indexed="64"/>
      </left>
      <right style="mediumDashed">
        <color rgb="FFFF0000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5308">
    <xf numFmtId="0" fontId="0" fillId="0" borderId="0"/>
    <xf numFmtId="0" fontId="4" fillId="0" borderId="0"/>
    <xf numFmtId="0" fontId="7" fillId="0" borderId="0"/>
    <xf numFmtId="9" fontId="7" fillId="0" borderId="0" applyFont="0" applyFill="0" applyBorder="0" applyAlignment="0" applyProtection="0"/>
    <xf numFmtId="169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172" fontId="17" fillId="0" borderId="0" applyBorder="0" applyAlignment="0"/>
    <xf numFmtId="0" fontId="7" fillId="0" borderId="0"/>
    <xf numFmtId="0" fontId="18" fillId="0" borderId="0">
      <alignment vertical="center"/>
    </xf>
    <xf numFmtId="0" fontId="18" fillId="0" borderId="0">
      <alignment vertical="center"/>
    </xf>
    <xf numFmtId="0" fontId="7" fillId="0" borderId="0"/>
    <xf numFmtId="0" fontId="19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3" fontId="21" fillId="0" borderId="0"/>
    <xf numFmtId="173" fontId="22" fillId="0" borderId="0" applyFont="0" applyFill="0" applyBorder="0" applyAlignment="0" applyProtection="0">
      <alignment vertical="center"/>
    </xf>
    <xf numFmtId="173" fontId="22" fillId="0" borderId="0" applyFont="0" applyFill="0" applyBorder="0" applyAlignment="0" applyProtection="0">
      <alignment vertical="center"/>
    </xf>
    <xf numFmtId="173" fontId="22" fillId="0" borderId="0" applyFont="0" applyFill="0" applyBorder="0" applyAlignment="0" applyProtection="0">
      <alignment vertical="center"/>
    </xf>
    <xf numFmtId="173" fontId="22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4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2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/>
    <xf numFmtId="0" fontId="27" fillId="0" borderId="0">
      <alignment vertical="center"/>
    </xf>
    <xf numFmtId="0" fontId="28" fillId="0" borderId="0"/>
    <xf numFmtId="0" fontId="28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0" fontId="24" fillId="0" borderId="0">
      <alignment vertical="center"/>
    </xf>
    <xf numFmtId="206" fontId="94" fillId="0" borderId="0" applyFont="0" applyFill="0" applyBorder="0" applyAlignment="0" applyProtection="0"/>
    <xf numFmtId="207" fontId="94" fillId="0" borderId="0" applyFont="0" applyFill="0" applyBorder="0" applyAlignment="0" applyProtection="0"/>
    <xf numFmtId="208" fontId="94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94" fillId="0" borderId="0" applyFont="0" applyFill="0" applyBorder="0" applyAlignment="0" applyProtection="0"/>
    <xf numFmtId="208" fontId="94" fillId="0" borderId="0" applyFont="0" applyFill="0" applyBorder="0" applyAlignment="0" applyProtection="0"/>
    <xf numFmtId="208" fontId="94" fillId="0" borderId="0" applyFont="0" applyFill="0" applyBorder="0" applyAlignment="0" applyProtection="0"/>
    <xf numFmtId="208" fontId="95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96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94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8" fontId="94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94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8" fontId="94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10" fontId="95" fillId="0" borderId="0" applyFont="0" applyFill="0" applyBorder="0" applyAlignment="0" applyProtection="0"/>
    <xf numFmtId="209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96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10" fontId="94" fillId="0" borderId="0" applyFont="0" applyFill="0" applyBorder="0" applyAlignment="0" applyProtection="0"/>
    <xf numFmtId="209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10" fontId="94" fillId="0" borderId="0" applyFont="0" applyFill="0" applyBorder="0" applyAlignment="0" applyProtection="0"/>
    <xf numFmtId="209" fontId="7" fillId="0" borderId="0" applyFont="0" applyFill="0" applyBorder="0" applyAlignment="0" applyProtection="0"/>
    <xf numFmtId="210" fontId="94" fillId="0" borderId="0" applyFont="0" applyFill="0" applyBorder="0" applyAlignment="0" applyProtection="0"/>
    <xf numFmtId="209" fontId="7" fillId="0" borderId="0" applyFont="0" applyFill="0" applyBorder="0" applyAlignment="0" applyProtection="0"/>
    <xf numFmtId="210" fontId="94" fillId="0" borderId="0" applyFont="0" applyFill="0" applyBorder="0" applyAlignment="0" applyProtection="0"/>
    <xf numFmtId="209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11" fontId="95" fillId="0" borderId="0" applyFont="0" applyFill="0" applyBorder="0" applyAlignment="0" applyProtection="0"/>
    <xf numFmtId="39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211" fontId="96" fillId="0" borderId="0" applyFont="0" applyFill="0" applyBorder="0" applyAlignment="0" applyProtection="0"/>
    <xf numFmtId="211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11" fontId="94" fillId="0" borderId="0" applyFont="0" applyFill="0" applyBorder="0" applyAlignment="0" applyProtection="0"/>
    <xf numFmtId="39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211" fontId="94" fillId="0" borderId="0" applyFont="0" applyFill="0" applyBorder="0" applyAlignment="0" applyProtection="0"/>
    <xf numFmtId="211" fontId="94" fillId="0" borderId="0" applyFont="0" applyFill="0" applyBorder="0" applyAlignment="0" applyProtection="0"/>
    <xf numFmtId="211" fontId="94" fillId="0" borderId="0" applyFont="0" applyFill="0" applyBorder="0" applyAlignment="0" applyProtection="0"/>
    <xf numFmtId="39" fontId="7" fillId="0" borderId="0" applyFont="0" applyFill="0" applyBorder="0" applyAlignment="0" applyProtection="0"/>
    <xf numFmtId="211" fontId="94" fillId="0" borderId="0" applyFont="0" applyFill="0" applyBorder="0" applyAlignment="0" applyProtection="0"/>
    <xf numFmtId="39" fontId="7" fillId="0" borderId="0" applyFont="0" applyFill="0" applyBorder="0" applyAlignment="0" applyProtection="0"/>
    <xf numFmtId="211" fontId="94" fillId="0" borderId="0" applyFont="0" applyFill="0" applyBorder="0" applyAlignment="0" applyProtection="0"/>
    <xf numFmtId="39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209" fontId="7" fillId="0" borderId="0" applyFont="0" applyFill="0" applyBorder="0" applyAlignment="0" applyProtection="0"/>
    <xf numFmtId="212" fontId="94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4" fillId="17" borderId="0" applyNumberFormat="0" applyFont="0" applyAlignment="0" applyProtection="0"/>
    <xf numFmtId="213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4" fontId="95" fillId="0" borderId="0" applyFont="0" applyFill="0" applyBorder="0" applyAlignment="0" applyProtection="0"/>
    <xf numFmtId="213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96" fillId="0" borderId="0" applyFont="0" applyFill="0" applyBorder="0" applyAlignment="0" applyProtection="0"/>
    <xf numFmtId="215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4" fontId="94" fillId="0" borderId="0" applyFont="0" applyFill="0" applyBorder="0" applyAlignment="0" applyProtection="0"/>
    <xf numFmtId="213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94" fillId="0" borderId="0" applyFont="0" applyFill="0" applyBorder="0" applyAlignment="0" applyProtection="0"/>
    <xf numFmtId="214" fontId="94" fillId="0" borderId="0" applyFont="0" applyFill="0" applyBorder="0" applyAlignment="0" applyProtection="0"/>
    <xf numFmtId="214" fontId="94" fillId="0" borderId="0" applyFont="0" applyFill="0" applyBorder="0" applyAlignment="0" applyProtection="0"/>
    <xf numFmtId="213" fontId="7" fillId="0" borderId="0" applyFont="0" applyFill="0" applyBorder="0" applyAlignment="0" applyProtection="0"/>
    <xf numFmtId="214" fontId="94" fillId="0" borderId="0" applyFont="0" applyFill="0" applyBorder="0" applyAlignment="0" applyProtection="0"/>
    <xf numFmtId="213" fontId="7" fillId="0" borderId="0" applyFont="0" applyFill="0" applyBorder="0" applyAlignment="0" applyProtection="0"/>
    <xf numFmtId="214" fontId="94" fillId="0" borderId="0" applyFont="0" applyFill="0" applyBorder="0" applyAlignment="0" applyProtection="0"/>
    <xf numFmtId="213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7" fontId="7" fillId="0" borderId="0" applyFont="0" applyFill="0" applyBorder="0" applyProtection="0">
      <alignment horizontal="right"/>
    </xf>
    <xf numFmtId="217" fontId="7" fillId="0" borderId="0" applyFont="0" applyFill="0" applyBorder="0" applyProtection="0">
      <alignment horizontal="right"/>
    </xf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7" fontId="95" fillId="0" borderId="0" applyFont="0" applyFill="0" applyBorder="0" applyProtection="0">
      <alignment horizontal="right"/>
    </xf>
    <xf numFmtId="216" fontId="7" fillId="0" borderId="0" applyFont="0" applyFill="0" applyBorder="0" applyAlignment="0" applyProtection="0"/>
    <xf numFmtId="217" fontId="7" fillId="0" borderId="0" applyFont="0" applyFill="0" applyBorder="0" applyProtection="0">
      <alignment horizontal="right"/>
    </xf>
    <xf numFmtId="216" fontId="7" fillId="0" borderId="0" applyFont="0" applyFill="0" applyBorder="0" applyAlignment="0" applyProtection="0"/>
    <xf numFmtId="217" fontId="7" fillId="0" borderId="0" applyFont="0" applyFill="0" applyBorder="0" applyProtection="0">
      <alignment horizontal="right"/>
    </xf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7" fontId="7" fillId="0" borderId="0" applyFont="0" applyFill="0" applyBorder="0" applyProtection="0">
      <alignment horizontal="right"/>
    </xf>
    <xf numFmtId="217" fontId="96" fillId="0" borderId="0" applyFont="0" applyFill="0" applyBorder="0" applyProtection="0">
      <alignment horizontal="right"/>
    </xf>
    <xf numFmtId="218" fontId="7" fillId="0" borderId="0" applyFont="0" applyFill="0" applyBorder="0" applyAlignment="0" applyProtection="0"/>
    <xf numFmtId="218" fontId="7" fillId="0" borderId="0" applyFont="0" applyFill="0" applyBorder="0" applyAlignment="0" applyProtection="0"/>
    <xf numFmtId="218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7" fontId="94" fillId="0" borderId="0" applyFont="0" applyFill="0" applyBorder="0" applyProtection="0">
      <alignment horizontal="right"/>
    </xf>
    <xf numFmtId="216" fontId="7" fillId="0" borderId="0" applyFont="0" applyFill="0" applyBorder="0" applyAlignment="0" applyProtection="0"/>
    <xf numFmtId="217" fontId="7" fillId="0" borderId="0" applyFont="0" applyFill="0" applyBorder="0" applyProtection="0">
      <alignment horizontal="right"/>
    </xf>
    <xf numFmtId="217" fontId="7" fillId="0" borderId="0" applyFont="0" applyFill="0" applyBorder="0" applyProtection="0">
      <alignment horizontal="right"/>
    </xf>
    <xf numFmtId="217" fontId="94" fillId="0" borderId="0" applyFont="0" applyFill="0" applyBorder="0" applyProtection="0">
      <alignment horizontal="right"/>
    </xf>
    <xf numFmtId="217" fontId="94" fillId="0" borderId="0" applyFont="0" applyFill="0" applyBorder="0" applyProtection="0">
      <alignment horizontal="right"/>
    </xf>
    <xf numFmtId="217" fontId="94" fillId="0" borderId="0" applyFont="0" applyFill="0" applyBorder="0" applyProtection="0">
      <alignment horizontal="right"/>
    </xf>
    <xf numFmtId="216" fontId="7" fillId="0" borderId="0" applyFont="0" applyFill="0" applyBorder="0" applyAlignment="0" applyProtection="0"/>
    <xf numFmtId="217" fontId="94" fillId="0" borderId="0" applyFont="0" applyFill="0" applyBorder="0" applyProtection="0">
      <alignment horizontal="right"/>
    </xf>
    <xf numFmtId="216" fontId="7" fillId="0" borderId="0" applyFont="0" applyFill="0" applyBorder="0" applyAlignment="0" applyProtection="0"/>
    <xf numFmtId="217" fontId="94" fillId="0" borderId="0" applyFont="0" applyFill="0" applyBorder="0" applyProtection="0">
      <alignment horizontal="right"/>
    </xf>
    <xf numFmtId="216" fontId="7" fillId="0" borderId="0" applyFont="0" applyFill="0" applyBorder="0" applyAlignment="0" applyProtection="0"/>
    <xf numFmtId="217" fontId="7" fillId="0" borderId="0" applyFont="0" applyFill="0" applyBorder="0" applyProtection="0">
      <alignment horizontal="right"/>
    </xf>
    <xf numFmtId="217" fontId="7" fillId="0" borderId="0" applyFont="0" applyFill="0" applyBorder="0" applyProtection="0">
      <alignment horizontal="right"/>
    </xf>
    <xf numFmtId="217" fontId="7" fillId="0" borderId="0" applyFont="0" applyFill="0" applyBorder="0" applyProtection="0">
      <alignment horizontal="right"/>
    </xf>
    <xf numFmtId="219" fontId="7" fillId="0" borderId="0" applyFont="0" applyFill="0" applyBorder="0" applyAlignment="0" applyProtection="0"/>
    <xf numFmtId="206" fontId="7" fillId="0" borderId="0" applyFont="0" applyFill="0" applyBorder="0" applyProtection="0">
      <alignment horizontal="right"/>
    </xf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Protection="0">
      <alignment horizontal="right"/>
    </xf>
    <xf numFmtId="207" fontId="7" fillId="0" borderId="0" applyFont="0" applyFill="0" applyBorder="0" applyAlignment="0" applyProtection="0"/>
    <xf numFmtId="207" fontId="7" fillId="0" borderId="0" applyFont="0" applyFill="0" applyBorder="0" applyAlignment="0" applyProtection="0"/>
    <xf numFmtId="207" fontId="7" fillId="0" borderId="0" applyFont="0" applyFill="0" applyBorder="0" applyAlignment="0" applyProtection="0"/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Alignment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9" fillId="0" borderId="32" applyNumberFormat="0" applyFill="0" applyAlignment="0" applyProtection="0"/>
    <xf numFmtId="0" fontId="99" fillId="0" borderId="32" applyNumberFormat="0" applyFill="0" applyAlignment="0" applyProtection="0"/>
    <xf numFmtId="0" fontId="99" fillId="0" borderId="33" applyNumberFormat="0" applyFill="0" applyAlignment="0" applyProtection="0"/>
    <xf numFmtId="0" fontId="99" fillId="0" borderId="32" applyNumberFormat="0" applyFill="0" applyAlignment="0" applyProtection="0"/>
    <xf numFmtId="0" fontId="99" fillId="0" borderId="32" applyNumberFormat="0" applyFill="0" applyAlignment="0" applyProtection="0"/>
    <xf numFmtId="0" fontId="84" fillId="0" borderId="34" applyNumberFormat="0" applyFill="0" applyProtection="0">
      <alignment horizontal="center"/>
    </xf>
    <xf numFmtId="0" fontId="84" fillId="0" borderId="0" applyNumberFormat="0" applyFill="0" applyBorder="0" applyProtection="0">
      <alignment horizontal="left"/>
    </xf>
    <xf numFmtId="0" fontId="100" fillId="0" borderId="0" applyNumberFormat="0" applyFill="0" applyBorder="0" applyProtection="0">
      <alignment horizontal="centerContinuous"/>
    </xf>
    <xf numFmtId="0" fontId="100" fillId="0" borderId="0" applyNumberFormat="0" applyFill="0" applyBorder="0" applyProtection="0">
      <alignment horizontal="centerContinuous"/>
    </xf>
    <xf numFmtId="0" fontId="100" fillId="0" borderId="0" applyNumberFormat="0" applyFill="0" applyProtection="0">
      <alignment horizontal="centerContinuous"/>
    </xf>
    <xf numFmtId="0" fontId="100" fillId="0" borderId="0" applyNumberFormat="0" applyFill="0" applyBorder="0" applyProtection="0">
      <alignment horizontal="centerContinuous"/>
    </xf>
    <xf numFmtId="0" fontId="100" fillId="0" borderId="0" applyNumberFormat="0" applyFill="0" applyBorder="0" applyProtection="0">
      <alignment horizontal="centerContinuous"/>
    </xf>
    <xf numFmtId="203" fontId="101" fillId="18" borderId="0" applyNumberFormat="0" applyFont="0" applyBorder="0" applyAlignment="0">
      <alignment horizontal="right"/>
    </xf>
    <xf numFmtId="221" fontId="102" fillId="18" borderId="9" applyFont="0">
      <alignment horizontal="right"/>
    </xf>
    <xf numFmtId="0" fontId="31" fillId="0" borderId="0" applyNumberFormat="0" applyFill="0" applyBorder="0" applyAlignment="0" applyProtection="0"/>
    <xf numFmtId="0" fontId="103" fillId="0" borderId="0"/>
    <xf numFmtId="2" fontId="6" fillId="0" borderId="0" applyNumberFormat="0" applyBorder="0" applyAlignment="0"/>
    <xf numFmtId="202" fontId="104" fillId="0" borderId="0"/>
    <xf numFmtId="0" fontId="105" fillId="0" borderId="0" applyNumberFormat="0" applyFill="0" applyBorder="0" applyAlignment="0"/>
    <xf numFmtId="0" fontId="106" fillId="0" borderId="0" applyNumberFormat="0" applyFill="0" applyBorder="0" applyAlignment="0" applyProtection="0"/>
    <xf numFmtId="0" fontId="50" fillId="19" borderId="35">
      <alignment horizontal="center"/>
    </xf>
    <xf numFmtId="2" fontId="31" fillId="20" borderId="0" applyNumberFormat="0" applyFont="0" applyBorder="0" applyAlignment="0" applyProtection="0"/>
    <xf numFmtId="222" fontId="31" fillId="21" borderId="0" applyNumberFormat="0" applyFont="0" applyBorder="0" applyAlignment="0">
      <protection locked="0"/>
    </xf>
    <xf numFmtId="0" fontId="31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222" fontId="107" fillId="0" borderId="0" applyNumberFormat="0" applyFill="0" applyBorder="0" applyProtection="0">
      <alignment horizontal="right"/>
    </xf>
    <xf numFmtId="223" fontId="7" fillId="0" borderId="0">
      <protection locked="0"/>
    </xf>
    <xf numFmtId="0" fontId="108" fillId="0" borderId="0" applyNumberFormat="0" applyFill="0" applyBorder="0">
      <alignment horizontal="right"/>
    </xf>
    <xf numFmtId="38" fontId="109" fillId="0" borderId="0" applyNumberFormat="0" applyFill="0" applyBorder="0">
      <alignment vertical="center"/>
    </xf>
    <xf numFmtId="8" fontId="110" fillId="0" borderId="36">
      <protection locked="0"/>
    </xf>
    <xf numFmtId="223" fontId="7" fillId="0" borderId="0">
      <protection locked="0"/>
    </xf>
    <xf numFmtId="14" fontId="111" fillId="0" borderId="0">
      <alignment horizontal="right"/>
    </xf>
    <xf numFmtId="0" fontId="21" fillId="0" borderId="0"/>
    <xf numFmtId="224" fontId="112" fillId="0" borderId="0" applyFont="0" applyFill="0" applyBorder="0" applyAlignment="0" applyProtection="0">
      <alignment horizontal="right"/>
    </xf>
    <xf numFmtId="0" fontId="6" fillId="0" borderId="0" applyNumberFormat="0" applyAlignment="0"/>
    <xf numFmtId="225" fontId="31" fillId="22" borderId="18" applyNumberFormat="0" applyFont="0" applyBorder="0" applyAlignment="0" applyProtection="0">
      <alignment horizontal="right"/>
    </xf>
    <xf numFmtId="168" fontId="113" fillId="0" borderId="0" applyNumberFormat="0" applyFont="0" applyAlignment="0">
      <alignment vertical="center"/>
    </xf>
    <xf numFmtId="223" fontId="7" fillId="0" borderId="0">
      <protection locked="0"/>
    </xf>
    <xf numFmtId="0" fontId="17" fillId="0" borderId="0" applyNumberFormat="0" applyFill="0" applyBorder="0" applyAlignment="0" applyProtection="0"/>
    <xf numFmtId="1" fontId="31" fillId="0" borderId="0" applyNumberFormat="0" applyBorder="0" applyAlignment="0" applyProtection="0"/>
    <xf numFmtId="226" fontId="114" fillId="0" borderId="0">
      <alignment vertical="center"/>
    </xf>
    <xf numFmtId="49" fontId="17" fillId="0" borderId="0">
      <alignment horizontal="right"/>
    </xf>
    <xf numFmtId="49" fontId="115" fillId="0" borderId="0">
      <alignment horizontal="right"/>
    </xf>
    <xf numFmtId="226" fontId="116" fillId="0" borderId="0">
      <alignment vertical="center"/>
    </xf>
    <xf numFmtId="168" fontId="117" fillId="0" borderId="0" applyNumberFormat="0" applyFill="0" applyBorder="0">
      <alignment horizontal="left" vertical="center"/>
    </xf>
    <xf numFmtId="0" fontId="47" fillId="0" borderId="0"/>
    <xf numFmtId="0" fontId="118" fillId="23" borderId="0" applyNumberFormat="0" applyFont="0" applyBorder="0" applyAlignment="0" applyProtection="0"/>
    <xf numFmtId="227" fontId="7" fillId="0" borderId="0" applyNumberFormat="0" applyFill="0" applyBorder="0" applyAlignment="0" applyProtection="0"/>
    <xf numFmtId="0" fontId="119" fillId="0" borderId="0"/>
    <xf numFmtId="0" fontId="72" fillId="0" borderId="0"/>
    <xf numFmtId="38" fontId="120" fillId="0" borderId="0" applyNumberFormat="0" applyFill="0" applyBorder="0">
      <alignment horizontal="left" vertical="center"/>
    </xf>
    <xf numFmtId="168" fontId="121" fillId="0" borderId="0" applyFill="0" applyBorder="0">
      <alignment vertical="center"/>
    </xf>
    <xf numFmtId="0" fontId="122" fillId="24" borderId="0"/>
    <xf numFmtId="228" fontId="7" fillId="0" borderId="0" applyFont="0" applyFill="0" applyBorder="0" applyAlignment="0" applyProtection="0"/>
    <xf numFmtId="222" fontId="123" fillId="0" borderId="0"/>
    <xf numFmtId="2" fontId="118" fillId="0" borderId="0" applyBorder="0" applyProtection="0"/>
    <xf numFmtId="0" fontId="7" fillId="0" borderId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227" fontId="7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24" fillId="0" borderId="0">
      <alignment horizontal="left" vertical="top"/>
      <protection locked="0"/>
    </xf>
    <xf numFmtId="229" fontId="7" fillId="0" borderId="0" applyFill="0">
      <alignment horizontal="center" vertical="center"/>
    </xf>
    <xf numFmtId="0" fontId="125" fillId="0" borderId="0" applyNumberFormat="0" applyFill="0" applyBorder="0">
      <alignment horizontal="left"/>
    </xf>
    <xf numFmtId="230" fontId="7" fillId="0" borderId="0"/>
    <xf numFmtId="7" fontId="126" fillId="0" borderId="0" applyFont="0" applyFill="0" applyBorder="0" applyAlignment="0" applyProtection="0"/>
    <xf numFmtId="0" fontId="127" fillId="0" borderId="0" applyNumberFormat="0" applyAlignment="0"/>
    <xf numFmtId="202" fontId="7" fillId="0" borderId="0" applyFill="0" applyBorder="0" applyAlignment="0" applyProtection="0"/>
    <xf numFmtId="201" fontId="128" fillId="0" borderId="0">
      <alignment vertical="top"/>
    </xf>
    <xf numFmtId="177" fontId="118" fillId="25" borderId="37" applyNumberFormat="0" applyFont="0" applyBorder="0" applyAlignment="0" applyProtection="0">
      <alignment horizontal="center"/>
    </xf>
    <xf numFmtId="37" fontId="129" fillId="1" borderId="0">
      <alignment horizontal="right"/>
    </xf>
    <xf numFmtId="1" fontId="130" fillId="26" borderId="0" applyNumberFormat="0" applyFont="0" applyBorder="0" applyAlignment="0">
      <alignment horizontal="left"/>
    </xf>
    <xf numFmtId="2" fontId="131" fillId="0" borderId="0"/>
    <xf numFmtId="1" fontId="7" fillId="0" borderId="0"/>
    <xf numFmtId="231" fontId="132" fillId="0" borderId="0" applyNumberFormat="0" applyFill="0" applyBorder="0" applyAlignment="0" applyProtection="0">
      <alignment horizontal="right" vertical="center" wrapText="1"/>
    </xf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>
      <protection locked="0"/>
    </xf>
    <xf numFmtId="0" fontId="135" fillId="0" borderId="18" applyNumberFormat="0" applyFill="0" applyProtection="0">
      <alignment horizontal="right"/>
    </xf>
    <xf numFmtId="6" fontId="120" fillId="0" borderId="38" applyFill="0">
      <alignment vertical="center"/>
    </xf>
    <xf numFmtId="232" fontId="31" fillId="0" borderId="0"/>
    <xf numFmtId="39" fontId="46" fillId="0" borderId="9" applyNumberFormat="0" applyBorder="0">
      <alignment horizontal="right"/>
    </xf>
    <xf numFmtId="0" fontId="135" fillId="0" borderId="31" applyNumberFormat="0" applyProtection="0">
      <alignment horizontal="right"/>
    </xf>
    <xf numFmtId="0" fontId="136" fillId="0" borderId="16" applyNumberFormat="0" applyFill="0" applyProtection="0"/>
    <xf numFmtId="0" fontId="137" fillId="0" borderId="0">
      <alignment vertical="center"/>
    </xf>
    <xf numFmtId="0" fontId="114" fillId="0" borderId="0">
      <alignment vertical="center"/>
    </xf>
    <xf numFmtId="0" fontId="116" fillId="0" borderId="0">
      <alignment vertical="center"/>
    </xf>
    <xf numFmtId="0" fontId="138" fillId="0" borderId="0" applyNumberFormat="0">
      <alignment horizontal="left"/>
    </xf>
    <xf numFmtId="0" fontId="139" fillId="0" borderId="0" applyFill="0" applyBorder="0" applyProtection="0">
      <alignment horizontal="left" vertical="top"/>
    </xf>
    <xf numFmtId="14" fontId="7" fillId="0" borderId="0" applyFill="0" applyBorder="0">
      <alignment vertical="center"/>
    </xf>
    <xf numFmtId="0" fontId="4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38" fontId="140" fillId="0" borderId="0" applyNumberFormat="0" applyFill="0" applyBorder="0">
      <alignment horizontal="left" vertical="center"/>
    </xf>
    <xf numFmtId="38" fontId="141" fillId="0" borderId="0" applyNumberFormat="0" applyFill="0" applyBorder="0">
      <alignment horizontal="centerContinuous" vertical="center"/>
    </xf>
    <xf numFmtId="0" fontId="142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77" fontId="6" fillId="0" borderId="0" applyNumberFormat="0" applyBorder="0" applyAlignment="0"/>
    <xf numFmtId="1" fontId="143" fillId="0" borderId="9" applyFill="0" applyProtection="0">
      <alignment horizontal="right"/>
    </xf>
    <xf numFmtId="233" fontId="7" fillId="0" borderId="0" applyFill="0" applyBorder="0">
      <alignment vertical="center"/>
    </xf>
    <xf numFmtId="9" fontId="3" fillId="0" borderId="0" applyFont="0" applyFill="0" applyBorder="0" applyAlignment="0" applyProtection="0"/>
    <xf numFmtId="173" fontId="18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9" fontId="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/>
    <xf numFmtId="0" fontId="7" fillId="0" borderId="0"/>
    <xf numFmtId="173" fontId="23" fillId="0" borderId="0" applyFont="0" applyFill="0" applyBorder="0" applyAlignment="0" applyProtection="0">
      <alignment vertical="center"/>
    </xf>
    <xf numFmtId="0" fontId="7" fillId="0" borderId="0"/>
    <xf numFmtId="173" fontId="7" fillId="0" borderId="0" applyFont="0" applyFill="0" applyBorder="0" applyAlignment="0" applyProtection="0"/>
    <xf numFmtId="9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9" fontId="156" fillId="0" borderId="0">
      <alignment horizontal="right"/>
    </xf>
    <xf numFmtId="0" fontId="4" fillId="0" borderId="0"/>
    <xf numFmtId="0" fontId="96" fillId="0" borderId="0" applyNumberFormat="0" applyFill="0" applyBorder="0" applyAlignment="0" applyProtection="0"/>
    <xf numFmtId="168" fontId="7" fillId="0" borderId="0" applyFill="0" applyBorder="0" applyProtection="0"/>
    <xf numFmtId="37" fontId="4" fillId="0" borderId="0"/>
    <xf numFmtId="0" fontId="4" fillId="0" borderId="0"/>
    <xf numFmtId="0" fontId="157" fillId="0" borderId="0" applyNumberFormat="0" applyFont="0" applyFill="0" applyBorder="0" applyAlignment="0" applyProtection="0"/>
    <xf numFmtId="241" fontId="4" fillId="0" borderId="0"/>
    <xf numFmtId="242" fontId="158" fillId="0" borderId="0" applyFont="0" applyFill="0" applyBorder="0" applyAlignment="0" applyProtection="0"/>
    <xf numFmtId="239" fontId="159" fillId="0" borderId="0" applyFont="0" applyFill="0" applyBorder="0" applyAlignment="0" applyProtection="0"/>
    <xf numFmtId="239" fontId="158" fillId="0" borderId="0" applyFont="0" applyFill="0" applyBorder="0" applyAlignment="0" applyProtection="0"/>
    <xf numFmtId="173" fontId="158" fillId="0" borderId="0" applyFont="0" applyFill="0" applyBorder="0" applyAlignment="0" applyProtection="0"/>
    <xf numFmtId="243" fontId="160" fillId="0" borderId="0" applyFont="0" applyFill="0" applyBorder="0" applyAlignment="0" applyProtection="0"/>
    <xf numFmtId="183" fontId="158" fillId="0" borderId="0" applyFont="0" applyFill="0" applyBorder="0" applyAlignment="0" applyProtection="0"/>
    <xf numFmtId="169" fontId="4" fillId="0" borderId="0"/>
    <xf numFmtId="241" fontId="4" fillId="0" borderId="0"/>
    <xf numFmtId="169" fontId="4" fillId="0" borderId="0"/>
    <xf numFmtId="169" fontId="4" fillId="0" borderId="0"/>
    <xf numFmtId="241" fontId="4" fillId="0" borderId="0"/>
    <xf numFmtId="244" fontId="4" fillId="0" borderId="0"/>
    <xf numFmtId="0" fontId="21" fillId="0" borderId="0"/>
    <xf numFmtId="0" fontId="4" fillId="0" borderId="0"/>
    <xf numFmtId="0" fontId="21" fillId="0" borderId="0"/>
    <xf numFmtId="244" fontId="4" fillId="0" borderId="0"/>
    <xf numFmtId="241" fontId="4" fillId="0" borderId="0"/>
    <xf numFmtId="241" fontId="4" fillId="0" borderId="0"/>
    <xf numFmtId="169" fontId="4" fillId="0" borderId="0"/>
    <xf numFmtId="241" fontId="4" fillId="0" borderId="0"/>
    <xf numFmtId="169" fontId="4" fillId="0" borderId="0"/>
    <xf numFmtId="169" fontId="4" fillId="0" borderId="0"/>
    <xf numFmtId="241" fontId="4" fillId="0" borderId="0"/>
    <xf numFmtId="0" fontId="4" fillId="0" borderId="0"/>
    <xf numFmtId="241" fontId="4" fillId="0" borderId="0"/>
    <xf numFmtId="241" fontId="4" fillId="0" borderId="0"/>
    <xf numFmtId="169" fontId="4" fillId="0" borderId="0"/>
    <xf numFmtId="169" fontId="4" fillId="0" borderId="0"/>
    <xf numFmtId="169" fontId="4" fillId="0" borderId="0"/>
    <xf numFmtId="241" fontId="4" fillId="0" borderId="0"/>
    <xf numFmtId="169" fontId="4" fillId="0" borderId="0"/>
    <xf numFmtId="241" fontId="4" fillId="0" borderId="0"/>
    <xf numFmtId="169" fontId="4" fillId="0" borderId="0"/>
    <xf numFmtId="169" fontId="4" fillId="0" borderId="0"/>
    <xf numFmtId="241" fontId="4" fillId="0" borderId="0"/>
    <xf numFmtId="0" fontId="4" fillId="0" borderId="0"/>
    <xf numFmtId="241" fontId="4" fillId="0" borderId="0"/>
    <xf numFmtId="241" fontId="4" fillId="0" borderId="0"/>
    <xf numFmtId="169" fontId="4" fillId="0" borderId="0"/>
    <xf numFmtId="169" fontId="4" fillId="0" borderId="0"/>
    <xf numFmtId="169" fontId="4" fillId="0" borderId="0"/>
    <xf numFmtId="241" fontId="4" fillId="0" borderId="0"/>
    <xf numFmtId="169" fontId="4" fillId="0" borderId="0"/>
    <xf numFmtId="241" fontId="4" fillId="0" borderId="0"/>
    <xf numFmtId="169" fontId="4" fillId="0" borderId="0"/>
    <xf numFmtId="169" fontId="4" fillId="0" borderId="0"/>
    <xf numFmtId="241" fontId="4" fillId="0" borderId="0"/>
    <xf numFmtId="0" fontId="4" fillId="0" borderId="0"/>
    <xf numFmtId="241" fontId="4" fillId="0" borderId="0"/>
    <xf numFmtId="241" fontId="4" fillId="0" borderId="0"/>
    <xf numFmtId="169" fontId="4" fillId="0" borderId="0"/>
    <xf numFmtId="169" fontId="4" fillId="0" borderId="0"/>
    <xf numFmtId="169" fontId="4" fillId="0" borderId="0"/>
    <xf numFmtId="241" fontId="4" fillId="0" borderId="0"/>
    <xf numFmtId="169" fontId="4" fillId="0" borderId="0"/>
    <xf numFmtId="241" fontId="4" fillId="0" borderId="0"/>
    <xf numFmtId="169" fontId="4" fillId="0" borderId="0"/>
    <xf numFmtId="169" fontId="4" fillId="0" borderId="0"/>
    <xf numFmtId="241" fontId="4" fillId="0" borderId="0"/>
    <xf numFmtId="0" fontId="4" fillId="0" borderId="0"/>
    <xf numFmtId="241" fontId="4" fillId="0" borderId="0"/>
    <xf numFmtId="241" fontId="4" fillId="0" borderId="0"/>
    <xf numFmtId="169" fontId="4" fillId="0" borderId="0"/>
    <xf numFmtId="169" fontId="4" fillId="0" borderId="0"/>
    <xf numFmtId="169" fontId="4" fillId="0" borderId="0"/>
    <xf numFmtId="241" fontId="4" fillId="0" borderId="0"/>
    <xf numFmtId="169" fontId="4" fillId="0" borderId="0"/>
    <xf numFmtId="241" fontId="4" fillId="0" borderId="0"/>
    <xf numFmtId="169" fontId="4" fillId="0" borderId="0"/>
    <xf numFmtId="169" fontId="4" fillId="0" borderId="0"/>
    <xf numFmtId="241" fontId="4" fillId="0" borderId="0"/>
    <xf numFmtId="0" fontId="4" fillId="0" borderId="0"/>
    <xf numFmtId="241" fontId="4" fillId="0" borderId="0"/>
    <xf numFmtId="241" fontId="4" fillId="0" borderId="0"/>
    <xf numFmtId="169" fontId="4" fillId="0" borderId="0"/>
    <xf numFmtId="169" fontId="4" fillId="0" borderId="0"/>
    <xf numFmtId="169" fontId="4" fillId="0" borderId="0"/>
    <xf numFmtId="241" fontId="4" fillId="0" borderId="0"/>
    <xf numFmtId="169" fontId="4" fillId="0" borderId="0"/>
    <xf numFmtId="241" fontId="4" fillId="0" borderId="0"/>
    <xf numFmtId="169" fontId="4" fillId="0" borderId="0"/>
    <xf numFmtId="169" fontId="4" fillId="0" borderId="0"/>
    <xf numFmtId="241" fontId="4" fillId="0" borderId="0"/>
    <xf numFmtId="0" fontId="4" fillId="0" borderId="0"/>
    <xf numFmtId="241" fontId="4" fillId="0" borderId="0"/>
    <xf numFmtId="241" fontId="4" fillId="0" borderId="0"/>
    <xf numFmtId="169" fontId="4" fillId="0" borderId="0"/>
    <xf numFmtId="169" fontId="4" fillId="0" borderId="0"/>
    <xf numFmtId="169" fontId="4" fillId="0" borderId="0"/>
    <xf numFmtId="241" fontId="4" fillId="0" borderId="0"/>
    <xf numFmtId="169" fontId="4" fillId="0" borderId="0"/>
    <xf numFmtId="169" fontId="4" fillId="0" borderId="0"/>
    <xf numFmtId="169" fontId="4" fillId="0" borderId="0"/>
    <xf numFmtId="200" fontId="161" fillId="0" borderId="0" applyFont="0" applyFill="0" applyBorder="0" applyAlignment="0" applyProtection="0"/>
    <xf numFmtId="0" fontId="21" fillId="0" borderId="0"/>
    <xf numFmtId="0" fontId="21" fillId="0" borderId="0"/>
    <xf numFmtId="245" fontId="162" fillId="0" borderId="46" applyFont="0" applyFill="0" applyBorder="0" applyAlignment="0" applyProtection="0">
      <alignment vertical="center"/>
    </xf>
    <xf numFmtId="246" fontId="162" fillId="0" borderId="46" applyFont="0" applyFill="0" applyBorder="0" applyAlignment="0" applyProtection="0">
      <alignment vertical="center"/>
    </xf>
    <xf numFmtId="247" fontId="162" fillId="0" borderId="46" applyFont="0" applyFill="0" applyBorder="0" applyAlignment="0" applyProtection="0">
      <alignment vertical="center"/>
    </xf>
    <xf numFmtId="239" fontId="163" fillId="0" borderId="0" applyFont="0" applyFill="0" applyBorder="0" applyAlignment="0" applyProtection="0">
      <alignment vertical="center"/>
    </xf>
    <xf numFmtId="248" fontId="21" fillId="0" borderId="0"/>
    <xf numFmtId="248" fontId="21" fillId="0" borderId="0"/>
    <xf numFmtId="0" fontId="4" fillId="0" borderId="0"/>
    <xf numFmtId="0" fontId="4" fillId="0" borderId="0"/>
    <xf numFmtId="3" fontId="21" fillId="0" borderId="0"/>
    <xf numFmtId="3" fontId="21" fillId="0" borderId="0"/>
    <xf numFmtId="37" fontId="164" fillId="8" borderId="6">
      <alignment horizontal="right"/>
    </xf>
    <xf numFmtId="249" fontId="4" fillId="0" borderId="0"/>
    <xf numFmtId="249" fontId="4" fillId="0" borderId="0"/>
    <xf numFmtId="249" fontId="4" fillId="0" borderId="0"/>
    <xf numFmtId="249" fontId="4" fillId="0" borderId="0"/>
    <xf numFmtId="249" fontId="4" fillId="0" borderId="0"/>
    <xf numFmtId="249" fontId="4" fillId="0" borderId="0"/>
    <xf numFmtId="249" fontId="4" fillId="0" borderId="0"/>
    <xf numFmtId="0" fontId="7" fillId="0" borderId="0" applyNumberFormat="0" applyFill="0" applyBorder="0" applyAlignment="0" applyProtection="0"/>
    <xf numFmtId="0" fontId="7" fillId="0" borderId="0"/>
    <xf numFmtId="0" fontId="7" fillId="0" borderId="0" applyNumberFormat="0" applyFill="0" applyBorder="0" applyAlignment="0" applyProtection="0"/>
    <xf numFmtId="3" fontId="21" fillId="0" borderId="0"/>
    <xf numFmtId="0" fontId="7" fillId="0" borderId="0"/>
    <xf numFmtId="248" fontId="21" fillId="0" borderId="0"/>
    <xf numFmtId="248" fontId="21" fillId="0" borderId="0"/>
    <xf numFmtId="0" fontId="7" fillId="0" borderId="0"/>
    <xf numFmtId="248" fontId="21" fillId="0" borderId="0"/>
    <xf numFmtId="0" fontId="7" fillId="0" borderId="0"/>
    <xf numFmtId="0" fontId="7" fillId="0" borderId="0"/>
    <xf numFmtId="0" fontId="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0" fontId="4" fillId="0" borderId="0"/>
    <xf numFmtId="251" fontId="7" fillId="0" borderId="0"/>
    <xf numFmtId="251" fontId="7" fillId="0" borderId="0"/>
    <xf numFmtId="250" fontId="4" fillId="0" borderId="0"/>
    <xf numFmtId="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233" fontId="94" fillId="0" borderId="0"/>
    <xf numFmtId="233" fontId="94" fillId="0" borderId="0"/>
    <xf numFmtId="233" fontId="94" fillId="0" borderId="0"/>
    <xf numFmtId="233" fontId="94" fillId="0" borderId="0"/>
    <xf numFmtId="233" fontId="9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233" fontId="94" fillId="0" borderId="0"/>
    <xf numFmtId="233" fontId="94" fillId="0" borderId="0"/>
    <xf numFmtId="233" fontId="94" fillId="0" borderId="0"/>
    <xf numFmtId="233" fontId="94" fillId="0" borderId="0"/>
    <xf numFmtId="233" fontId="94" fillId="0" borderId="0"/>
    <xf numFmtId="0" fontId="7" fillId="0" borderId="0"/>
    <xf numFmtId="0" fontId="4" fillId="0" borderId="0"/>
    <xf numFmtId="251" fontId="7" fillId="0" borderId="0"/>
    <xf numFmtId="251" fontId="7" fillId="0" borderId="0"/>
    <xf numFmtId="251" fontId="7" fillId="0" borderId="0"/>
    <xf numFmtId="0" fontId="7" fillId="0" borderId="0"/>
    <xf numFmtId="0" fontId="7" fillId="0" borderId="0"/>
    <xf numFmtId="251" fontId="7" fillId="0" borderId="0"/>
    <xf numFmtId="251" fontId="7" fillId="0" borderId="0"/>
    <xf numFmtId="251" fontId="7" fillId="0" borderId="0"/>
    <xf numFmtId="0" fontId="4" fillId="0" borderId="0"/>
    <xf numFmtId="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0" fontId="7" fillId="0" borderId="0"/>
    <xf numFmtId="0" fontId="4" fillId="0" borderId="0"/>
    <xf numFmtId="0" fontId="4" fillId="0" borderId="0"/>
    <xf numFmtId="0" fontId="7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25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Font="0" applyFill="0" applyBorder="0" applyAlignment="0" applyProtection="0"/>
    <xf numFmtId="252" fontId="21" fillId="0" borderId="0"/>
    <xf numFmtId="249" fontId="4" fillId="0" borderId="0"/>
    <xf numFmtId="249" fontId="4" fillId="0" borderId="0"/>
    <xf numFmtId="253" fontId="4" fillId="0" borderId="0"/>
    <xf numFmtId="0" fontId="4" fillId="0" borderId="0"/>
    <xf numFmtId="170" fontId="4" fillId="0" borderId="0"/>
    <xf numFmtId="253" fontId="4" fillId="0" borderId="0"/>
    <xf numFmtId="249" fontId="4" fillId="0" borderId="0"/>
    <xf numFmtId="170" fontId="4" fillId="0" borderId="0"/>
    <xf numFmtId="0" fontId="4" fillId="0" borderId="0"/>
    <xf numFmtId="0" fontId="4" fillId="0" borderId="0"/>
    <xf numFmtId="249" fontId="4" fillId="0" borderId="0"/>
    <xf numFmtId="253" fontId="4" fillId="0" borderId="0"/>
    <xf numFmtId="0" fontId="4" fillId="0" borderId="0"/>
    <xf numFmtId="0" fontId="4" fillId="0" borderId="0"/>
    <xf numFmtId="0" fontId="4" fillId="0" borderId="0"/>
    <xf numFmtId="249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7" fillId="0" borderId="0"/>
    <xf numFmtId="170" fontId="4" fillId="0" borderId="0"/>
    <xf numFmtId="0" fontId="7" fillId="0" borderId="0"/>
    <xf numFmtId="249" fontId="4" fillId="0" borderId="0"/>
    <xf numFmtId="249" fontId="4" fillId="0" borderId="0"/>
    <xf numFmtId="253" fontId="4" fillId="0" borderId="0"/>
    <xf numFmtId="253" fontId="4" fillId="0" borderId="0"/>
    <xf numFmtId="249" fontId="4" fillId="0" borderId="0"/>
    <xf numFmtId="249" fontId="4" fillId="0" borderId="0"/>
    <xf numFmtId="253" fontId="4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208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/>
    <xf numFmtId="0" fontId="158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54" fontId="7" fillId="0" borderId="0" applyFont="0" applyFill="0" applyBorder="0" applyAlignment="0" applyProtection="0"/>
    <xf numFmtId="254" fontId="7" fillId="0" borderId="0" applyFont="0" applyFill="0" applyBorder="0" applyAlignment="0" applyProtection="0"/>
    <xf numFmtId="255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256" fontId="7" fillId="0" borderId="0" applyFont="0" applyFill="0" applyBorder="0" applyAlignment="0" applyProtection="0"/>
    <xf numFmtId="257" fontId="7" fillId="0" borderId="0" applyFont="0" applyFill="0" applyBorder="0" applyAlignment="0" applyProtection="0"/>
    <xf numFmtId="258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259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256" fontId="7" fillId="0" borderId="0" applyFont="0" applyFill="0" applyBorder="0" applyAlignment="0" applyProtection="0"/>
    <xf numFmtId="257" fontId="7" fillId="0" borderId="0" applyFont="0" applyFill="0" applyBorder="0" applyAlignment="0" applyProtection="0"/>
    <xf numFmtId="258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25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54" fontId="7" fillId="0" borderId="0" applyFont="0" applyFill="0" applyBorder="0" applyAlignment="0" applyProtection="0"/>
    <xf numFmtId="254" fontId="7" fillId="0" borderId="0" applyFont="0" applyFill="0" applyBorder="0" applyAlignment="0" applyProtection="0"/>
    <xf numFmtId="260" fontId="21" fillId="0" borderId="0" applyFont="0" applyFill="0" applyBorder="0" applyAlignment="0" applyProtection="0"/>
    <xf numFmtId="261" fontId="165" fillId="0" borderId="0" applyFont="0" applyFill="0" applyBorder="0" applyAlignment="0" applyProtection="0"/>
    <xf numFmtId="209" fontId="7" fillId="0" borderId="0" applyFont="0" applyFill="0" applyBorder="0" applyAlignment="0" applyProtection="0"/>
    <xf numFmtId="26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09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256" fontId="7" fillId="0" borderId="0" applyFont="0" applyFill="0" applyBorder="0" applyAlignment="0" applyProtection="0"/>
    <xf numFmtId="257" fontId="7" fillId="0" borderId="0" applyFont="0" applyFill="0" applyBorder="0" applyAlignment="0" applyProtection="0"/>
    <xf numFmtId="256" fontId="7" fillId="0" borderId="0" applyFont="0" applyFill="0" applyBorder="0" applyAlignment="0" applyProtection="0"/>
    <xf numFmtId="257" fontId="7" fillId="0" borderId="0" applyFont="0" applyFill="0" applyBorder="0" applyAlignment="0" applyProtection="0"/>
    <xf numFmtId="258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259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256" fontId="7" fillId="0" borderId="0" applyFont="0" applyFill="0" applyBorder="0" applyAlignment="0" applyProtection="0"/>
    <xf numFmtId="257" fontId="7" fillId="0" borderId="0" applyFont="0" applyFill="0" applyBorder="0" applyAlignment="0" applyProtection="0"/>
    <xf numFmtId="258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259" fontId="7" fillId="0" borderId="0" applyFont="0" applyFill="0" applyBorder="0" applyAlignment="0" applyProtection="0"/>
    <xf numFmtId="26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54" fontId="7" fillId="0" borderId="0" applyFont="0" applyFill="0" applyBorder="0" applyAlignment="0" applyProtection="0"/>
    <xf numFmtId="254" fontId="7" fillId="0" borderId="0" applyFont="0" applyFill="0" applyBorder="0" applyAlignment="0" applyProtection="0"/>
    <xf numFmtId="254" fontId="7" fillId="0" borderId="0" applyFont="0" applyFill="0" applyBorder="0" applyAlignment="0" applyProtection="0"/>
    <xf numFmtId="260" fontId="21" fillId="0" borderId="0" applyFont="0" applyFill="0" applyBorder="0" applyAlignment="0" applyProtection="0"/>
    <xf numFmtId="211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262" fontId="7" fillId="0" borderId="0" applyFont="0" applyFill="0" applyBorder="0" applyAlignment="0" applyProtection="0"/>
    <xf numFmtId="263" fontId="7" fillId="0" borderId="0" applyFont="0" applyFill="0" applyBorder="0" applyAlignment="0" applyProtection="0"/>
    <xf numFmtId="264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25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252" fontId="21" fillId="0" borderId="0"/>
    <xf numFmtId="249" fontId="4" fillId="0" borderId="0"/>
    <xf numFmtId="249" fontId="4" fillId="0" borderId="0"/>
    <xf numFmtId="253" fontId="4" fillId="0" borderId="0"/>
    <xf numFmtId="253" fontId="4" fillId="0" borderId="0"/>
    <xf numFmtId="249" fontId="4" fillId="0" borderId="0"/>
    <xf numFmtId="249" fontId="4" fillId="0" borderId="0"/>
    <xf numFmtId="253" fontId="4" fillId="0" borderId="0"/>
    <xf numFmtId="3" fontId="21" fillId="0" borderId="0"/>
    <xf numFmtId="0" fontId="4" fillId="0" borderId="0"/>
    <xf numFmtId="0" fontId="4" fillId="0" borderId="0"/>
    <xf numFmtId="0" fontId="4" fillId="0" borderId="0"/>
    <xf numFmtId="249" fontId="4" fillId="0" borderId="0"/>
    <xf numFmtId="249" fontId="4" fillId="0" borderId="0"/>
    <xf numFmtId="253" fontId="4" fillId="0" borderId="0"/>
    <xf numFmtId="253" fontId="4" fillId="0" borderId="0"/>
    <xf numFmtId="249" fontId="4" fillId="0" borderId="0"/>
    <xf numFmtId="249" fontId="4" fillId="0" borderId="0"/>
    <xf numFmtId="253" fontId="4" fillId="0" borderId="0"/>
    <xf numFmtId="0" fontId="4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48" fontId="21" fillId="0" borderId="0"/>
    <xf numFmtId="248" fontId="21" fillId="0" borderId="0"/>
    <xf numFmtId="248" fontId="21" fillId="0" borderId="0"/>
    <xf numFmtId="248" fontId="21" fillId="0" borderId="0"/>
    <xf numFmtId="248" fontId="21" fillId="0" borderId="0"/>
    <xf numFmtId="252" fontId="21" fillId="0" borderId="0"/>
    <xf numFmtId="252" fontId="21" fillId="0" borderId="0"/>
    <xf numFmtId="248" fontId="21" fillId="0" borderId="0"/>
    <xf numFmtId="252" fontId="21" fillId="0" borderId="0"/>
    <xf numFmtId="252" fontId="21" fillId="0" borderId="0"/>
    <xf numFmtId="248" fontId="2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265" fontId="4" fillId="0" borderId="0"/>
    <xf numFmtId="265" fontId="4" fillId="0" borderId="0"/>
    <xf numFmtId="265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66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267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0" fontId="21" fillId="0" borderId="0"/>
    <xf numFmtId="0" fontId="21" fillId="0" borderId="0"/>
    <xf numFmtId="0" fontId="4" fillId="0" borderId="0"/>
    <xf numFmtId="0" fontId="21" fillId="0" borderId="0"/>
    <xf numFmtId="0" fontId="21" fillId="0" borderId="0"/>
    <xf numFmtId="266" fontId="4" fillId="0" borderId="0"/>
    <xf numFmtId="266" fontId="4" fillId="0" borderId="0"/>
    <xf numFmtId="0" fontId="4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66" fontId="4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26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49" fontId="4" fillId="0" borderId="0"/>
    <xf numFmtId="249" fontId="4" fillId="0" borderId="0"/>
    <xf numFmtId="253" fontId="4" fillId="0" borderId="0"/>
    <xf numFmtId="253" fontId="4" fillId="0" borderId="0"/>
    <xf numFmtId="249" fontId="4" fillId="0" borderId="0"/>
    <xf numFmtId="249" fontId="4" fillId="0" borderId="0"/>
    <xf numFmtId="25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170" fontId="4" fillId="0" borderId="0"/>
    <xf numFmtId="17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248" fontId="21" fillId="0" borderId="0"/>
    <xf numFmtId="248" fontId="21" fillId="0" borderId="0"/>
    <xf numFmtId="0" fontId="21" fillId="0" borderId="0"/>
    <xf numFmtId="248" fontId="21" fillId="0" borderId="0"/>
    <xf numFmtId="248" fontId="21" fillId="0" borderId="0"/>
    <xf numFmtId="248" fontId="21" fillId="0" borderId="0"/>
    <xf numFmtId="252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252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48" fontId="21" fillId="0" borderId="0"/>
    <xf numFmtId="248" fontId="21" fillId="0" borderId="0"/>
    <xf numFmtId="248" fontId="21" fillId="0" borderId="0"/>
    <xf numFmtId="248" fontId="21" fillId="0" borderId="0"/>
    <xf numFmtId="248" fontId="21" fillId="0" borderId="0"/>
    <xf numFmtId="252" fontId="21" fillId="0" borderId="0"/>
    <xf numFmtId="252" fontId="21" fillId="0" borderId="0"/>
    <xf numFmtId="248" fontId="21" fillId="0" borderId="0"/>
    <xf numFmtId="252" fontId="21" fillId="0" borderId="0"/>
    <xf numFmtId="252" fontId="21" fillId="0" borderId="0"/>
    <xf numFmtId="248" fontId="2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265" fontId="4" fillId="0" borderId="0"/>
    <xf numFmtId="265" fontId="4" fillId="0" borderId="0"/>
    <xf numFmtId="265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66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267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268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0" fontId="21" fillId="0" borderId="0"/>
    <xf numFmtId="0" fontId="21" fillId="0" borderId="0"/>
    <xf numFmtId="0" fontId="4" fillId="0" borderId="0"/>
    <xf numFmtId="0" fontId="21" fillId="0" borderId="0"/>
    <xf numFmtId="0" fontId="21" fillId="0" borderId="0"/>
    <xf numFmtId="266" fontId="4" fillId="0" borderId="0"/>
    <xf numFmtId="266" fontId="4" fillId="0" borderId="0"/>
    <xf numFmtId="0" fontId="4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66" fontId="4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0" fontId="21" fillId="0" borderId="0"/>
    <xf numFmtId="0" fontId="4" fillId="0" borderId="0"/>
    <xf numFmtId="0" fontId="21" fillId="0" borderId="0"/>
    <xf numFmtId="26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21" fillId="0" borderId="0"/>
    <xf numFmtId="252" fontId="21" fillId="0" borderId="0"/>
    <xf numFmtId="252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52" fontId="21" fillId="0" borderId="0"/>
    <xf numFmtId="248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252" fontId="21" fillId="0" borderId="0"/>
    <xf numFmtId="252" fontId="21" fillId="0" borderId="0"/>
    <xf numFmtId="248" fontId="21" fillId="0" borderId="0"/>
    <xf numFmtId="248" fontId="21" fillId="0" borderId="0"/>
    <xf numFmtId="248" fontId="21" fillId="0" borderId="0"/>
    <xf numFmtId="252" fontId="21" fillId="0" borderId="0"/>
    <xf numFmtId="0" fontId="7" fillId="0" borderId="0"/>
    <xf numFmtId="252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252" fontId="21" fillId="0" borderId="0"/>
    <xf numFmtId="0" fontId="21" fillId="0" borderId="0"/>
    <xf numFmtId="252" fontId="21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7" fillId="0" borderId="0"/>
    <xf numFmtId="269" fontId="94" fillId="0" borderId="0"/>
    <xf numFmtId="269" fontId="94" fillId="0" borderId="0"/>
    <xf numFmtId="269" fontId="94" fillId="0" borderId="0"/>
    <xf numFmtId="269" fontId="94" fillId="0" borderId="0"/>
    <xf numFmtId="269" fontId="9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0" fontId="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170" fontId="4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170" fontId="4" fillId="0" borderId="0"/>
    <xf numFmtId="170" fontId="4" fillId="0" borderId="0"/>
    <xf numFmtId="170" fontId="4" fillId="0" borderId="0"/>
    <xf numFmtId="270" fontId="94" fillId="0" borderId="0"/>
    <xf numFmtId="270" fontId="94" fillId="0" borderId="0"/>
    <xf numFmtId="270" fontId="94" fillId="0" borderId="0"/>
    <xf numFmtId="270" fontId="94" fillId="0" borderId="0"/>
    <xf numFmtId="270" fontId="94" fillId="0" borderId="0"/>
    <xf numFmtId="0" fontId="7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0" fontId="7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7" fillId="0" borderId="0"/>
    <xf numFmtId="17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71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170" fontId="4" fillId="0" borderId="0"/>
    <xf numFmtId="170" fontId="4" fillId="0" borderId="0"/>
    <xf numFmtId="170" fontId="4" fillId="0" borderId="0"/>
    <xf numFmtId="270" fontId="94" fillId="0" borderId="0"/>
    <xf numFmtId="270" fontId="94" fillId="0" borderId="0"/>
    <xf numFmtId="270" fontId="94" fillId="0" borderId="0"/>
    <xf numFmtId="270" fontId="94" fillId="0" borderId="0"/>
    <xf numFmtId="270" fontId="94" fillId="0" borderId="0"/>
    <xf numFmtId="0" fontId="7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0" fontId="7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7" fillId="0" borderId="0"/>
    <xf numFmtId="17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71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170" fontId="4" fillId="0" borderId="0"/>
    <xf numFmtId="170" fontId="4" fillId="0" borderId="0"/>
    <xf numFmtId="170" fontId="4" fillId="0" borderId="0"/>
    <xf numFmtId="270" fontId="94" fillId="0" borderId="0"/>
    <xf numFmtId="270" fontId="94" fillId="0" borderId="0"/>
    <xf numFmtId="270" fontId="94" fillId="0" borderId="0"/>
    <xf numFmtId="270" fontId="94" fillId="0" borderId="0"/>
    <xf numFmtId="270" fontId="94" fillId="0" borderId="0"/>
    <xf numFmtId="0" fontId="7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0" fontId="7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7" fillId="0" borderId="0"/>
    <xf numFmtId="17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71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170" fontId="4" fillId="0" borderId="0"/>
    <xf numFmtId="170" fontId="4" fillId="0" borderId="0"/>
    <xf numFmtId="170" fontId="4" fillId="0" borderId="0"/>
    <xf numFmtId="270" fontId="94" fillId="0" borderId="0"/>
    <xf numFmtId="270" fontId="94" fillId="0" borderId="0"/>
    <xf numFmtId="270" fontId="94" fillId="0" borderId="0"/>
    <xf numFmtId="270" fontId="94" fillId="0" borderId="0"/>
    <xf numFmtId="270" fontId="94" fillId="0" borderId="0"/>
    <xf numFmtId="0" fontId="7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0" fontId="7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7" fillId="0" borderId="0"/>
    <xf numFmtId="17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71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170" fontId="4" fillId="0" borderId="0"/>
    <xf numFmtId="170" fontId="4" fillId="0" borderId="0"/>
    <xf numFmtId="170" fontId="4" fillId="0" borderId="0"/>
    <xf numFmtId="270" fontId="94" fillId="0" borderId="0"/>
    <xf numFmtId="270" fontId="94" fillId="0" borderId="0"/>
    <xf numFmtId="270" fontId="94" fillId="0" borderId="0"/>
    <xf numFmtId="270" fontId="94" fillId="0" borderId="0"/>
    <xf numFmtId="270" fontId="94" fillId="0" borderId="0"/>
    <xf numFmtId="0" fontId="7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0" fontId="7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7" fillId="0" borderId="0"/>
    <xf numFmtId="17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71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170" fontId="4" fillId="0" borderId="0"/>
    <xf numFmtId="170" fontId="4" fillId="0" borderId="0"/>
    <xf numFmtId="170" fontId="4" fillId="0" borderId="0"/>
    <xf numFmtId="270" fontId="94" fillId="0" borderId="0"/>
    <xf numFmtId="270" fontId="94" fillId="0" borderId="0"/>
    <xf numFmtId="270" fontId="94" fillId="0" borderId="0"/>
    <xf numFmtId="270" fontId="94" fillId="0" borderId="0"/>
    <xf numFmtId="270" fontId="94" fillId="0" borderId="0"/>
    <xf numFmtId="0" fontId="7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0" fontId="7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7" fillId="0" borderId="0"/>
    <xf numFmtId="17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71" fontId="4" fillId="0" borderId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253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233" fontId="94" fillId="0" borderId="0"/>
    <xf numFmtId="233" fontId="94" fillId="0" borderId="0"/>
    <xf numFmtId="233" fontId="94" fillId="0" borderId="0"/>
    <xf numFmtId="233" fontId="94" fillId="0" borderId="0"/>
    <xf numFmtId="233" fontId="9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233" fontId="94" fillId="0" borderId="0"/>
    <xf numFmtId="233" fontId="94" fillId="0" borderId="0"/>
    <xf numFmtId="233" fontId="94" fillId="0" borderId="0"/>
    <xf numFmtId="233" fontId="94" fillId="0" borderId="0"/>
    <xf numFmtId="233" fontId="9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252" fontId="21" fillId="0" borderId="0"/>
    <xf numFmtId="252" fontId="21" fillId="0" borderId="0"/>
    <xf numFmtId="3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252" fontId="21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0" fontId="7" fillId="0" borderId="0"/>
    <xf numFmtId="0" fontId="7" fillId="0" borderId="0"/>
    <xf numFmtId="0" fontId="7" fillId="0" borderId="0"/>
    <xf numFmtId="273" fontId="7" fillId="0" borderId="0"/>
    <xf numFmtId="273" fontId="7" fillId="0" borderId="0"/>
    <xf numFmtId="0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0" fontId="7" fillId="0" borderId="0"/>
    <xf numFmtId="0" fontId="7" fillId="0" borderId="0"/>
    <xf numFmtId="0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273" fontId="7" fillId="0" borderId="0"/>
    <xf numFmtId="0" fontId="7" fillId="0" borderId="0"/>
    <xf numFmtId="0" fontId="7" fillId="0" borderId="0"/>
    <xf numFmtId="272" fontId="4" fillId="0" borderId="0"/>
    <xf numFmtId="0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274" fontId="94" fillId="0" borderId="0"/>
    <xf numFmtId="274" fontId="94" fillId="0" borderId="0"/>
    <xf numFmtId="274" fontId="94" fillId="0" borderId="0"/>
    <xf numFmtId="274" fontId="94" fillId="0" borderId="0"/>
    <xf numFmtId="274" fontId="9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274" fontId="94" fillId="0" borderId="0"/>
    <xf numFmtId="274" fontId="94" fillId="0" borderId="0"/>
    <xf numFmtId="274" fontId="94" fillId="0" borderId="0"/>
    <xf numFmtId="274" fontId="94" fillId="0" borderId="0"/>
    <xf numFmtId="274" fontId="94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0" fontId="7" fillId="0" borderId="0"/>
    <xf numFmtId="0" fontId="7" fillId="0" borderId="0"/>
    <xf numFmtId="233" fontId="94" fillId="0" borderId="0"/>
    <xf numFmtId="233" fontId="94" fillId="0" borderId="0"/>
    <xf numFmtId="233" fontId="94" fillId="0" borderId="0"/>
    <xf numFmtId="233" fontId="94" fillId="0" borderId="0"/>
    <xf numFmtId="233" fontId="9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272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48" fontId="21" fillId="0" borderId="0"/>
    <xf numFmtId="0" fontId="7" fillId="0" borderId="0"/>
    <xf numFmtId="249" fontId="4" fillId="0" borderId="0"/>
    <xf numFmtId="0" fontId="7" fillId="0" borderId="0"/>
    <xf numFmtId="0" fontId="7" fillId="0" borderId="0"/>
    <xf numFmtId="170" fontId="4" fillId="0" borderId="0"/>
    <xf numFmtId="170" fontId="4" fillId="0" borderId="0"/>
    <xf numFmtId="0" fontId="7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252" fontId="21" fillId="0" borderId="0"/>
    <xf numFmtId="252" fontId="21" fillId="0" borderId="0"/>
    <xf numFmtId="248" fontId="21" fillId="0" borderId="0"/>
    <xf numFmtId="214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75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75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75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1" fillId="0" borderId="0" applyFont="0" applyFill="0" applyBorder="0" applyAlignment="0" applyProtection="0"/>
    <xf numFmtId="214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75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1" fillId="0" borderId="0" applyFont="0" applyFill="0" applyBorder="0" applyAlignment="0" applyProtection="0"/>
    <xf numFmtId="213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1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75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75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1" fillId="0" borderId="0" applyFont="0" applyFill="0" applyBorder="0" applyAlignment="0" applyProtection="0"/>
    <xf numFmtId="276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76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214" fontId="7" fillId="0" borderId="0" applyFont="0" applyFill="0" applyBorder="0" applyAlignment="0" applyProtection="0"/>
    <xf numFmtId="276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217" fontId="7" fillId="0" borderId="0" applyFont="0" applyFill="0" applyBorder="0" applyProtection="0">
      <alignment horizontal="right"/>
    </xf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25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77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5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77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5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77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5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77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5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5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77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5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77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9" fontId="7" fillId="0" borderId="0" applyFont="0" applyFill="0" applyBorder="0" applyAlignment="0" applyProtection="0"/>
    <xf numFmtId="27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64" fontId="7" fillId="0" borderId="0" applyFont="0" applyFill="0" applyBorder="0" applyAlignment="0" applyProtection="0"/>
    <xf numFmtId="264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217" fontId="7" fillId="0" borderId="0" applyFont="0" applyFill="0" applyBorder="0" applyProtection="0">
      <alignment horizontal="right"/>
    </xf>
    <xf numFmtId="217" fontId="7" fillId="0" borderId="0" applyFont="0" applyFill="0" applyBorder="0" applyProtection="0">
      <alignment horizontal="right"/>
    </xf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64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7" fontId="7" fillId="0" borderId="0" applyFont="0" applyFill="0" applyBorder="0" applyProtection="0">
      <alignment horizontal="right"/>
    </xf>
    <xf numFmtId="216" fontId="7" fillId="0" borderId="0" applyFont="0" applyFill="0" applyBorder="0" applyAlignment="0" applyProtection="0"/>
    <xf numFmtId="217" fontId="7" fillId="0" borderId="0" applyFont="0" applyFill="0" applyBorder="0" applyProtection="0">
      <alignment horizontal="right"/>
    </xf>
    <xf numFmtId="217" fontId="7" fillId="0" borderId="0" applyFont="0" applyFill="0" applyBorder="0" applyProtection="0">
      <alignment horizontal="right"/>
    </xf>
    <xf numFmtId="217" fontId="7" fillId="0" borderId="0" applyFont="0" applyFill="0" applyBorder="0" applyProtection="0">
      <alignment horizontal="right"/>
    </xf>
    <xf numFmtId="217" fontId="7" fillId="0" borderId="0" applyFont="0" applyFill="0" applyBorder="0" applyProtection="0">
      <alignment horizontal="right"/>
    </xf>
    <xf numFmtId="216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NumberFormat="0" applyFill="0" applyBorder="0" applyAlignment="0" applyProtection="0"/>
    <xf numFmtId="248" fontId="21" fillId="0" borderId="0"/>
    <xf numFmtId="248" fontId="21" fillId="0" borderId="0"/>
    <xf numFmtId="170" fontId="4" fillId="0" borderId="0"/>
    <xf numFmtId="0" fontId="4" fillId="0" borderId="0"/>
    <xf numFmtId="252" fontId="21" fillId="0" borderId="0"/>
    <xf numFmtId="242" fontId="4" fillId="0" borderId="0"/>
    <xf numFmtId="249" fontId="4" fillId="0" borderId="0"/>
    <xf numFmtId="249" fontId="4" fillId="0" borderId="0"/>
    <xf numFmtId="253" fontId="4" fillId="0" borderId="0"/>
    <xf numFmtId="253" fontId="4" fillId="0" borderId="0"/>
    <xf numFmtId="249" fontId="4" fillId="0" borderId="0"/>
    <xf numFmtId="249" fontId="4" fillId="0" borderId="0"/>
    <xf numFmtId="253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 applyFont="0" applyFill="0" applyBorder="0" applyAlignment="0" applyProtection="0"/>
    <xf numFmtId="23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42" fontId="7" fillId="0" borderId="0" applyFont="0" applyFill="0" applyBorder="0" applyAlignment="0" applyProtection="0"/>
    <xf numFmtId="242" fontId="7" fillId="0" borderId="0" applyFont="0" applyFill="0" applyBorder="0" applyAlignment="0" applyProtection="0"/>
    <xf numFmtId="280" fontId="7" fillId="0" borderId="0" applyFont="0" applyFill="0" applyBorder="0" applyAlignment="0" applyProtection="0"/>
    <xf numFmtId="23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3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42" fontId="7" fillId="0" borderId="0" applyFont="0" applyFill="0" applyBorder="0" applyAlignment="0" applyProtection="0"/>
    <xf numFmtId="242" fontId="7" fillId="0" borderId="0" applyFont="0" applyFill="0" applyBorder="0" applyAlignment="0" applyProtection="0"/>
    <xf numFmtId="280" fontId="7" fillId="0" borderId="0" applyFont="0" applyFill="0" applyBorder="0" applyAlignment="0" applyProtection="0"/>
    <xf numFmtId="23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3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42" fontId="7" fillId="0" borderId="0" applyFont="0" applyFill="0" applyBorder="0" applyAlignment="0" applyProtection="0"/>
    <xf numFmtId="242" fontId="7" fillId="0" borderId="0" applyFont="0" applyFill="0" applyBorder="0" applyAlignment="0" applyProtection="0"/>
    <xf numFmtId="280" fontId="7" fillId="0" borderId="0" applyFont="0" applyFill="0" applyBorder="0" applyAlignment="0" applyProtection="0"/>
    <xf numFmtId="23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23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42" fontId="7" fillId="0" borderId="0" applyFont="0" applyFill="0" applyBorder="0" applyAlignment="0" applyProtection="0"/>
    <xf numFmtId="242" fontId="7" fillId="0" borderId="0" applyFont="0" applyFill="0" applyBorder="0" applyAlignment="0" applyProtection="0"/>
    <xf numFmtId="280" fontId="7" fillId="0" borderId="0" applyFont="0" applyFill="0" applyBorder="0" applyAlignment="0" applyProtection="0"/>
    <xf numFmtId="23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23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42" fontId="7" fillId="0" borderId="0" applyFont="0" applyFill="0" applyBorder="0" applyAlignment="0" applyProtection="0"/>
    <xf numFmtId="242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42" fontId="7" fillId="0" borderId="0" applyFont="0" applyFill="0" applyBorder="0" applyAlignment="0" applyProtection="0"/>
    <xf numFmtId="242" fontId="7" fillId="0" borderId="0" applyFont="0" applyFill="0" applyBorder="0" applyAlignment="0" applyProtection="0"/>
    <xf numFmtId="280" fontId="7" fillId="0" borderId="0" applyFont="0" applyFill="0" applyBorder="0" applyAlignment="0" applyProtection="0"/>
    <xf numFmtId="23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3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42" fontId="7" fillId="0" borderId="0" applyFont="0" applyFill="0" applyBorder="0" applyAlignment="0" applyProtection="0"/>
    <xf numFmtId="242" fontId="7" fillId="0" borderId="0" applyFont="0" applyFill="0" applyBorder="0" applyAlignment="0" applyProtection="0"/>
    <xf numFmtId="280" fontId="7" fillId="0" borderId="0" applyFont="0" applyFill="0" applyBorder="0" applyAlignment="0" applyProtection="0"/>
    <xf numFmtId="239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81" fontId="7" fillId="0" borderId="0" applyFont="0" applyFill="0" applyBorder="0" applyAlignment="0" applyProtection="0"/>
    <xf numFmtId="281" fontId="7" fillId="0" borderId="0" applyFont="0" applyFill="0" applyBorder="0" applyAlignment="0" applyProtection="0"/>
    <xf numFmtId="281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83" fontId="7" fillId="0" borderId="0" applyFont="0" applyFill="0" applyBorder="0" applyAlignment="0" applyProtection="0"/>
    <xf numFmtId="282" fontId="7" fillId="0" borderId="0" applyFont="0" applyFill="0" applyBorder="0" applyAlignment="0" applyProtection="0"/>
    <xf numFmtId="283" fontId="7" fillId="0" borderId="0" applyFont="0" applyFill="0" applyBorder="0" applyAlignment="0" applyProtection="0"/>
    <xf numFmtId="2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282" fontId="7" fillId="0" borderId="0" applyFont="0" applyFill="0" applyBorder="0" applyAlignment="0" applyProtection="0"/>
    <xf numFmtId="283" fontId="7" fillId="0" borderId="0" applyFont="0" applyFill="0" applyBorder="0" applyAlignment="0" applyProtection="0"/>
    <xf numFmtId="2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282" fontId="7" fillId="0" borderId="0" applyFont="0" applyFill="0" applyBorder="0" applyAlignment="0" applyProtection="0"/>
    <xf numFmtId="283" fontId="7" fillId="0" borderId="0" applyFont="0" applyFill="0" applyBorder="0" applyAlignment="0" applyProtection="0"/>
    <xf numFmtId="2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200" fontId="21" fillId="0" borderId="0" applyFont="0" applyFill="0" applyBorder="0" applyAlignment="0" applyProtection="0"/>
    <xf numFmtId="200" fontId="21" fillId="0" borderId="0" applyFont="0" applyFill="0" applyBorder="0" applyAlignment="0" applyProtection="0"/>
    <xf numFmtId="183" fontId="7" fillId="0" borderId="0" applyFont="0" applyFill="0" applyBorder="0" applyAlignment="0" applyProtection="0"/>
    <xf numFmtId="282" fontId="7" fillId="0" borderId="0" applyFont="0" applyFill="0" applyBorder="0" applyAlignment="0" applyProtection="0"/>
    <xf numFmtId="283" fontId="7" fillId="0" borderId="0" applyFont="0" applyFill="0" applyBorder="0" applyAlignment="0" applyProtection="0"/>
    <xf numFmtId="2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282" fontId="7" fillId="0" borderId="0" applyFont="0" applyFill="0" applyBorder="0" applyAlignment="0" applyProtection="0"/>
    <xf numFmtId="283" fontId="7" fillId="0" borderId="0" applyFont="0" applyFill="0" applyBorder="0" applyAlignment="0" applyProtection="0"/>
    <xf numFmtId="282" fontId="7" fillId="0" borderId="0" applyFont="0" applyFill="0" applyBorder="0" applyAlignment="0" applyProtection="0"/>
    <xf numFmtId="283" fontId="7" fillId="0" borderId="0" applyFont="0" applyFill="0" applyBorder="0" applyAlignment="0" applyProtection="0"/>
    <xf numFmtId="2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282" fontId="7" fillId="0" borderId="0" applyFont="0" applyFill="0" applyBorder="0" applyAlignment="0" applyProtection="0"/>
    <xf numFmtId="283" fontId="7" fillId="0" borderId="0" applyFont="0" applyFill="0" applyBorder="0" applyAlignment="0" applyProtection="0"/>
    <xf numFmtId="2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258" fontId="7" fillId="0" borderId="0" applyFont="0" applyFill="0" applyBorder="0" applyAlignment="0" applyProtection="0"/>
    <xf numFmtId="258" fontId="7" fillId="0" borderId="0" applyFont="0" applyFill="0" applyBorder="0" applyAlignment="0" applyProtection="0"/>
    <xf numFmtId="258" fontId="7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7" fillId="0" borderId="0"/>
    <xf numFmtId="0" fontId="7" fillId="0" borderId="0"/>
    <xf numFmtId="270" fontId="94" fillId="0" borderId="0"/>
    <xf numFmtId="270" fontId="94" fillId="0" borderId="0"/>
    <xf numFmtId="270" fontId="94" fillId="0" borderId="0"/>
    <xf numFmtId="270" fontId="94" fillId="0" borderId="0"/>
    <xf numFmtId="270" fontId="9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258" fontId="4" fillId="0" borderId="0"/>
    <xf numFmtId="249" fontId="4" fillId="0" borderId="0"/>
    <xf numFmtId="249" fontId="4" fillId="0" borderId="0"/>
    <xf numFmtId="253" fontId="4" fillId="0" borderId="0"/>
    <xf numFmtId="253" fontId="4" fillId="0" borderId="0"/>
    <xf numFmtId="249" fontId="4" fillId="0" borderId="0"/>
    <xf numFmtId="249" fontId="4" fillId="0" borderId="0"/>
    <xf numFmtId="253" fontId="4" fillId="0" borderId="0"/>
    <xf numFmtId="258" fontId="4" fillId="0" borderId="0"/>
    <xf numFmtId="258" fontId="4" fillId="0" borderId="0"/>
    <xf numFmtId="0" fontId="7" fillId="0" borderId="0"/>
    <xf numFmtId="0" fontId="7" fillId="0" borderId="0" applyFont="0" applyFill="0" applyBorder="0" applyAlignment="0" applyProtection="0"/>
    <xf numFmtId="252" fontId="21" fillId="0" borderId="0"/>
    <xf numFmtId="0" fontId="7" fillId="0" borderId="0"/>
    <xf numFmtId="0" fontId="7" fillId="0" borderId="0"/>
    <xf numFmtId="0" fontId="7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0" fontId="4" fillId="0" borderId="0"/>
    <xf numFmtId="187" fontId="4" fillId="0" borderId="0"/>
    <xf numFmtId="187" fontId="4" fillId="0" borderId="0"/>
    <xf numFmtId="187" fontId="4" fillId="0" borderId="0"/>
    <xf numFmtId="0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7" fontId="4" fillId="0" borderId="0"/>
    <xf numFmtId="187" fontId="4" fillId="0" borderId="0"/>
    <xf numFmtId="0" fontId="4" fillId="0" borderId="0"/>
    <xf numFmtId="0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0" fontId="4" fillId="0" borderId="0"/>
    <xf numFmtId="0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0" fontId="4" fillId="0" borderId="0"/>
    <xf numFmtId="0" fontId="4" fillId="0" borderId="0"/>
    <xf numFmtId="0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0" fontId="4" fillId="0" borderId="0"/>
    <xf numFmtId="0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0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1" fontId="4" fillId="0" borderId="0"/>
    <xf numFmtId="0" fontId="4" fillId="0" borderId="0"/>
    <xf numFmtId="171" fontId="4" fillId="0" borderId="0"/>
    <xf numFmtId="171" fontId="4" fillId="0" borderId="0"/>
    <xf numFmtId="0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0" fontId="4" fillId="0" borderId="0"/>
    <xf numFmtId="0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171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0" fontId="4" fillId="0" borderId="0"/>
    <xf numFmtId="187" fontId="4" fillId="0" borderId="0"/>
    <xf numFmtId="187" fontId="4" fillId="0" borderId="0"/>
    <xf numFmtId="187" fontId="4" fillId="0" borderId="0"/>
    <xf numFmtId="0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7" fontId="4" fillId="0" borderId="0"/>
    <xf numFmtId="187" fontId="4" fillId="0" borderId="0"/>
    <xf numFmtId="0" fontId="4" fillId="0" borderId="0"/>
    <xf numFmtId="0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0" fontId="4" fillId="0" borderId="0"/>
    <xf numFmtId="0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187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4" fillId="0" borderId="0"/>
    <xf numFmtId="0" fontId="7" fillId="0" borderId="0"/>
    <xf numFmtId="252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70" fontId="94" fillId="0" borderId="0"/>
    <xf numFmtId="270" fontId="94" fillId="0" borderId="0"/>
    <xf numFmtId="270" fontId="94" fillId="0" borderId="0"/>
    <xf numFmtId="270" fontId="94" fillId="0" borderId="0"/>
    <xf numFmtId="270" fontId="9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7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4" fillId="0" borderId="0"/>
    <xf numFmtId="170" fontId="4" fillId="0" borderId="0"/>
    <xf numFmtId="170" fontId="4" fillId="0" borderId="0"/>
    <xf numFmtId="17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252" fontId="21" fillId="0" borderId="0"/>
    <xf numFmtId="17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249" fontId="4" fillId="0" borderId="0"/>
    <xf numFmtId="249" fontId="4" fillId="0" borderId="0"/>
    <xf numFmtId="253" fontId="4" fillId="0" borderId="0"/>
    <xf numFmtId="253" fontId="4" fillId="0" borderId="0"/>
    <xf numFmtId="249" fontId="4" fillId="0" borderId="0"/>
    <xf numFmtId="249" fontId="4" fillId="0" borderId="0"/>
    <xf numFmtId="253" fontId="4" fillId="0" borderId="0"/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98" fillId="0" borderId="0" applyNumberFormat="0" applyFill="0" applyBorder="0" applyProtection="0">
      <alignment vertical="top"/>
    </xf>
    <xf numFmtId="0" fontId="7" fillId="0" borderId="0"/>
    <xf numFmtId="3" fontId="21" fillId="0" borderId="0"/>
    <xf numFmtId="170" fontId="4" fillId="0" borderId="0"/>
    <xf numFmtId="0" fontId="99" fillId="0" borderId="32" applyNumberFormat="0" applyFill="0" applyAlignment="0" applyProtection="0"/>
    <xf numFmtId="0" fontId="99" fillId="0" borderId="32" applyNumberFormat="0" applyFill="0" applyAlignment="0" applyProtection="0"/>
    <xf numFmtId="0" fontId="99" fillId="0" borderId="32" applyNumberFormat="0" applyFill="0" applyAlignment="0" applyProtection="0"/>
    <xf numFmtId="0" fontId="99" fillId="0" borderId="32" applyNumberFormat="0" applyFill="0" applyAlignment="0" applyProtection="0"/>
    <xf numFmtId="0" fontId="99" fillId="0" borderId="32" applyNumberFormat="0" applyFill="0" applyAlignment="0" applyProtection="0"/>
    <xf numFmtId="0" fontId="99" fillId="0" borderId="32" applyNumberFormat="0" applyFill="0" applyAlignment="0" applyProtection="0"/>
    <xf numFmtId="0" fontId="99" fillId="0" borderId="32" applyNumberFormat="0" applyFill="0" applyAlignment="0" applyProtection="0"/>
    <xf numFmtId="0" fontId="99" fillId="0" borderId="32" applyNumberFormat="0" applyFill="0" applyAlignment="0" applyProtection="0"/>
    <xf numFmtId="0" fontId="99" fillId="0" borderId="32" applyNumberFormat="0" applyFill="0" applyAlignment="0" applyProtection="0"/>
    <xf numFmtId="0" fontId="99" fillId="0" borderId="32" applyNumberFormat="0" applyFill="0" applyAlignment="0" applyProtection="0"/>
    <xf numFmtId="0" fontId="99" fillId="0" borderId="32" applyNumberFormat="0" applyFill="0" applyAlignment="0" applyProtection="0"/>
    <xf numFmtId="0" fontId="84" fillId="0" borderId="34" applyNumberFormat="0" applyFill="0" applyProtection="0">
      <alignment horizontal="center"/>
    </xf>
    <xf numFmtId="0" fontId="84" fillId="0" borderId="34" applyNumberFormat="0" applyFill="0" applyProtection="0">
      <alignment horizontal="center"/>
    </xf>
    <xf numFmtId="0" fontId="84" fillId="0" borderId="34" applyNumberFormat="0" applyFill="0" applyProtection="0">
      <alignment horizontal="center"/>
    </xf>
    <xf numFmtId="0" fontId="84" fillId="0" borderId="34" applyNumberFormat="0" applyFill="0" applyProtection="0">
      <alignment horizontal="center"/>
    </xf>
    <xf numFmtId="0" fontId="84" fillId="0" borderId="34" applyNumberFormat="0" applyFill="0" applyProtection="0">
      <alignment horizontal="center"/>
    </xf>
    <xf numFmtId="0" fontId="84" fillId="0" borderId="34" applyNumberFormat="0" applyFill="0" applyProtection="0">
      <alignment horizontal="center"/>
    </xf>
    <xf numFmtId="0" fontId="84" fillId="0" borderId="34" applyNumberFormat="0" applyFill="0" applyProtection="0">
      <alignment horizontal="center"/>
    </xf>
    <xf numFmtId="0" fontId="84" fillId="0" borderId="34" applyNumberFormat="0" applyFill="0" applyProtection="0">
      <alignment horizontal="center"/>
    </xf>
    <xf numFmtId="0" fontId="84" fillId="0" borderId="34" applyNumberFormat="0" applyFill="0" applyProtection="0">
      <alignment horizontal="center"/>
    </xf>
    <xf numFmtId="0" fontId="84" fillId="0" borderId="34" applyNumberFormat="0" applyFill="0" applyProtection="0">
      <alignment horizontal="center"/>
    </xf>
    <xf numFmtId="0" fontId="84" fillId="0" borderId="34" applyNumberFormat="0" applyFill="0" applyProtection="0">
      <alignment horizontal="center"/>
    </xf>
    <xf numFmtId="0" fontId="84" fillId="0" borderId="0" applyNumberFormat="0" applyFill="0" applyBorder="0" applyProtection="0">
      <alignment horizontal="left"/>
    </xf>
    <xf numFmtId="0" fontId="84" fillId="0" borderId="0" applyNumberFormat="0" applyFill="0" applyBorder="0" applyProtection="0">
      <alignment horizontal="left"/>
    </xf>
    <xf numFmtId="0" fontId="84" fillId="0" borderId="0" applyNumberFormat="0" applyFill="0" applyBorder="0" applyProtection="0">
      <alignment horizontal="left"/>
    </xf>
    <xf numFmtId="0" fontId="84" fillId="0" borderId="0" applyNumberFormat="0" applyFill="0" applyBorder="0" applyProtection="0">
      <alignment horizontal="left"/>
    </xf>
    <xf numFmtId="0" fontId="84" fillId="0" borderId="0" applyNumberFormat="0" applyFill="0" applyBorder="0" applyProtection="0">
      <alignment horizontal="left"/>
    </xf>
    <xf numFmtId="0" fontId="84" fillId="0" borderId="0" applyNumberFormat="0" applyFill="0" applyBorder="0" applyProtection="0">
      <alignment horizontal="left"/>
    </xf>
    <xf numFmtId="0" fontId="84" fillId="0" borderId="0" applyNumberFormat="0" applyFill="0" applyBorder="0" applyProtection="0">
      <alignment horizontal="left"/>
    </xf>
    <xf numFmtId="0" fontId="84" fillId="0" borderId="0" applyNumberFormat="0" applyFill="0" applyBorder="0" applyProtection="0">
      <alignment horizontal="left"/>
    </xf>
    <xf numFmtId="0" fontId="84" fillId="0" borderId="0" applyNumberFormat="0" applyFill="0" applyBorder="0" applyProtection="0">
      <alignment horizontal="left"/>
    </xf>
    <xf numFmtId="0" fontId="84" fillId="0" borderId="0" applyNumberFormat="0" applyFill="0" applyBorder="0" applyProtection="0">
      <alignment horizontal="left"/>
    </xf>
    <xf numFmtId="0" fontId="84" fillId="0" borderId="0" applyNumberFormat="0" applyFill="0" applyBorder="0" applyProtection="0">
      <alignment horizontal="left"/>
    </xf>
    <xf numFmtId="0" fontId="4" fillId="0" borderId="0"/>
    <xf numFmtId="0" fontId="4" fillId="0" borderId="0"/>
    <xf numFmtId="229" fontId="4" fillId="0" borderId="0"/>
    <xf numFmtId="0" fontId="4" fillId="0" borderId="0"/>
    <xf numFmtId="0" fontId="100" fillId="0" borderId="0" applyNumberFormat="0" applyFill="0" applyBorder="0" applyProtection="0">
      <alignment horizontal="centerContinuous"/>
    </xf>
    <xf numFmtId="0" fontId="100" fillId="0" borderId="0" applyNumberFormat="0" applyFill="0" applyBorder="0" applyProtection="0">
      <alignment horizontal="centerContinuous"/>
    </xf>
    <xf numFmtId="0" fontId="100" fillId="0" borderId="0" applyNumberFormat="0" applyFill="0" applyBorder="0" applyProtection="0">
      <alignment horizontal="centerContinuous"/>
    </xf>
    <xf numFmtId="0" fontId="100" fillId="0" borderId="0" applyNumberFormat="0" applyFill="0" applyBorder="0" applyProtection="0">
      <alignment horizontal="centerContinuous"/>
    </xf>
    <xf numFmtId="0" fontId="100" fillId="0" borderId="0" applyNumberFormat="0" applyFill="0" applyBorder="0" applyProtection="0">
      <alignment horizontal="centerContinuous"/>
    </xf>
    <xf numFmtId="0" fontId="100" fillId="0" borderId="0" applyNumberFormat="0" applyFill="0" applyBorder="0" applyProtection="0">
      <alignment horizontal="centerContinuous"/>
    </xf>
    <xf numFmtId="0" fontId="100" fillId="0" borderId="0" applyNumberFormat="0" applyFill="0" applyBorder="0" applyProtection="0">
      <alignment horizontal="centerContinuous"/>
    </xf>
    <xf numFmtId="0" fontId="100" fillId="0" borderId="0" applyNumberFormat="0" applyFill="0" applyBorder="0" applyProtection="0">
      <alignment horizontal="centerContinuous"/>
    </xf>
    <xf numFmtId="0" fontId="100" fillId="0" borderId="0" applyNumberFormat="0" applyFill="0" applyBorder="0" applyProtection="0">
      <alignment horizontal="centerContinuous"/>
    </xf>
    <xf numFmtId="0" fontId="100" fillId="0" borderId="0" applyNumberFormat="0" applyFill="0" applyBorder="0" applyProtection="0">
      <alignment horizontal="centerContinuous"/>
    </xf>
    <xf numFmtId="0" fontId="100" fillId="0" borderId="0" applyNumberFormat="0" applyFill="0" applyBorder="0" applyProtection="0">
      <alignment horizontal="centerContinuous"/>
    </xf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3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3" fontId="21" fillId="0" borderId="0"/>
    <xf numFmtId="242" fontId="4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/>
    <xf numFmtId="0" fontId="7" fillId="0" borderId="0"/>
    <xf numFmtId="3" fontId="28" fillId="0" borderId="0" applyFont="0" applyFill="0" applyBorder="0" applyAlignment="0" applyProtection="0"/>
    <xf numFmtId="0" fontId="118" fillId="0" borderId="0"/>
    <xf numFmtId="9" fontId="127" fillId="0" borderId="0" applyFont="0" applyFill="0" applyBorder="0" applyAlignment="0" applyProtection="0"/>
    <xf numFmtId="0" fontId="127" fillId="0" borderId="10">
      <alignment horizontal="center"/>
    </xf>
    <xf numFmtId="0" fontId="118" fillId="0" borderId="0"/>
    <xf numFmtId="168" fontId="127" fillId="0" borderId="0" applyFont="0" applyFill="0" applyBorder="0" applyAlignment="0" applyProtection="0"/>
    <xf numFmtId="2" fontId="28" fillId="0" borderId="0" applyFont="0" applyFill="0" applyBorder="0" applyAlignment="0" applyProtection="0"/>
    <xf numFmtId="2" fontId="118" fillId="0" borderId="0"/>
    <xf numFmtId="10" fontId="127" fillId="0" borderId="0" applyFont="0" applyFill="0" applyBorder="0" applyAlignment="0" applyProtection="0"/>
    <xf numFmtId="0" fontId="127" fillId="0" borderId="0" applyFont="0" applyFill="0" applyBorder="0" applyAlignment="0" applyProtection="0"/>
    <xf numFmtId="3" fontId="4" fillId="0" borderId="0"/>
    <xf numFmtId="0" fontId="4" fillId="0" borderId="0" applyBorder="0"/>
    <xf numFmtId="201" fontId="31" fillId="0" borderId="0"/>
    <xf numFmtId="0" fontId="21" fillId="0" borderId="0" applyFont="0"/>
    <xf numFmtId="2" fontId="28" fillId="0" borderId="0"/>
    <xf numFmtId="39" fontId="166" fillId="0" borderId="0" applyFont="0" applyFill="0" applyBorder="0" applyAlignment="0" applyProtection="0"/>
    <xf numFmtId="285" fontId="166" fillId="0" borderId="0" applyFont="0" applyFill="0" applyBorder="0" applyAlignment="0" applyProtection="0"/>
    <xf numFmtId="0" fontId="161" fillId="0" borderId="0" applyFont="0" applyFill="0" applyBorder="0" applyAlignment="0" applyProtection="0"/>
    <xf numFmtId="286" fontId="167" fillId="0" borderId="0" applyFont="0" applyFill="0" applyBorder="0" applyAlignment="0" applyProtection="0"/>
    <xf numFmtId="37" fontId="168" fillId="0" borderId="0">
      <alignment horizontal="center"/>
    </xf>
    <xf numFmtId="260" fontId="7" fillId="0" borderId="0" applyFont="0" applyFill="0" applyBorder="0" applyAlignment="0" applyProtection="0">
      <protection hidden="1"/>
    </xf>
    <xf numFmtId="0" fontId="7" fillId="31" borderId="0" applyFont="0" applyFill="0" applyBorder="0" applyAlignment="0" applyProtection="0">
      <protection hidden="1"/>
    </xf>
    <xf numFmtId="287" fontId="31" fillId="0" borderId="0" applyFont="0" applyFill="0" applyBorder="0" applyAlignment="0" applyProtection="0">
      <protection hidden="1"/>
    </xf>
    <xf numFmtId="0" fontId="169" fillId="12" borderId="0" applyFont="0" applyFill="0" applyBorder="0" applyAlignment="0" applyProtection="0">
      <protection locked="0"/>
    </xf>
    <xf numFmtId="288" fontId="170" fillId="0" borderId="0" applyFont="0" applyFill="0" applyBorder="0" applyAlignment="0" applyProtection="0"/>
    <xf numFmtId="0" fontId="171" fillId="0" borderId="0" applyFont="0">
      <alignment horizontal="right"/>
    </xf>
    <xf numFmtId="168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39" fontId="172" fillId="0" borderId="0">
      <alignment horizontal="right" vertical="center"/>
    </xf>
    <xf numFmtId="0" fontId="14" fillId="0" borderId="0">
      <alignment horizontal="right"/>
    </xf>
    <xf numFmtId="0" fontId="173" fillId="0" borderId="0">
      <alignment horizontal="center" wrapText="1"/>
      <protection locked="0"/>
    </xf>
    <xf numFmtId="0" fontId="118" fillId="0" borderId="0"/>
    <xf numFmtId="0" fontId="31" fillId="0" borderId="47" applyNumberFormat="0" applyFill="0" applyAlignment="0" applyProtection="0"/>
    <xf numFmtId="171" fontId="7" fillId="0" borderId="0" applyFont="0" applyFill="0" applyBorder="0" applyAlignment="0" applyProtection="0"/>
    <xf numFmtId="289" fontId="7" fillId="0" borderId="0" applyFont="0" applyFill="0" applyBorder="0" applyAlignment="0" applyProtection="0"/>
    <xf numFmtId="0" fontId="112" fillId="0" borderId="0"/>
    <xf numFmtId="10" fontId="174" fillId="0" borderId="0" applyNumberFormat="0" applyFill="0" applyBorder="0" applyAlignment="0" applyProtection="0">
      <alignment horizontal="right"/>
    </xf>
    <xf numFmtId="200" fontId="7" fillId="0" borderId="0" applyFont="0" applyFill="0" applyBorder="0" applyAlignment="0" applyProtection="0">
      <protection hidden="1"/>
    </xf>
    <xf numFmtId="290" fontId="4" fillId="32" borderId="10" applyNumberFormat="0" applyBorder="0" applyAlignment="0">
      <alignment horizontal="centerContinuous" vertical="center"/>
      <protection hidden="1"/>
    </xf>
    <xf numFmtId="1" fontId="7" fillId="33" borderId="5" applyNumberFormat="0" applyBorder="0" applyAlignment="0">
      <alignment horizontal="center" vertical="top" wrapText="1"/>
      <protection hidden="1"/>
    </xf>
    <xf numFmtId="0" fontId="175" fillId="34" borderId="48" applyFont="0" applyFill="0" applyBorder="0" applyAlignment="0" applyProtection="0">
      <alignment horizontal="center"/>
    </xf>
    <xf numFmtId="2" fontId="176" fillId="0" borderId="0"/>
    <xf numFmtId="203" fontId="176" fillId="0" borderId="0">
      <alignment horizontal="right"/>
    </xf>
    <xf numFmtId="168" fontId="176" fillId="0" borderId="0">
      <alignment horizontal="right"/>
    </xf>
    <xf numFmtId="0" fontId="41" fillId="19" borderId="49"/>
    <xf numFmtId="0" fontId="177" fillId="0" borderId="0" applyNumberFormat="0" applyFill="0" applyBorder="0" applyAlignment="0" applyProtection="0"/>
    <xf numFmtId="291" fontId="31" fillId="10" borderId="50" applyFont="0" applyFill="0" applyBorder="0" applyProtection="0">
      <alignment horizontal="right"/>
      <protection locked="0"/>
    </xf>
    <xf numFmtId="292" fontId="31" fillId="6" borderId="50" applyFont="0" applyFill="0" applyBorder="0" applyProtection="0">
      <alignment horizontal="right"/>
      <protection locked="0"/>
    </xf>
    <xf numFmtId="0" fontId="31" fillId="10" borderId="50" applyFont="0" applyFill="0" applyBorder="0" applyProtection="0">
      <alignment horizontal="right"/>
      <protection locked="0"/>
    </xf>
    <xf numFmtId="0" fontId="178" fillId="0" borderId="0" applyNumberFormat="0" applyFill="0" applyBorder="0" applyAlignment="0" applyProtection="0"/>
    <xf numFmtId="276" fontId="179" fillId="0" borderId="16"/>
    <xf numFmtId="276" fontId="179" fillId="0" borderId="0" applyNumberFormat="0" applyAlignment="0">
      <alignment horizontal="left"/>
    </xf>
    <xf numFmtId="276" fontId="179" fillId="0" borderId="51"/>
    <xf numFmtId="276" fontId="179" fillId="0" borderId="0" applyNumberFormat="0" applyAlignment="0">
      <alignment horizontal="left"/>
    </xf>
    <xf numFmtId="0" fontId="31" fillId="0" borderId="0"/>
    <xf numFmtId="0" fontId="180" fillId="0" borderId="0"/>
    <xf numFmtId="0" fontId="55" fillId="0" borderId="0"/>
    <xf numFmtId="0" fontId="181" fillId="0" borderId="0" applyFill="0" applyBorder="0" applyAlignment="0"/>
    <xf numFmtId="0" fontId="181" fillId="0" borderId="0" applyFill="0" applyBorder="0" applyAlignment="0"/>
    <xf numFmtId="0" fontId="112" fillId="0" borderId="0" applyFill="0" applyBorder="0" applyAlignment="0"/>
    <xf numFmtId="0" fontId="181" fillId="0" borderId="0" applyFill="0" applyBorder="0" applyAlignment="0"/>
    <xf numFmtId="0" fontId="181" fillId="0" borderId="0" applyFill="0" applyBorder="0" applyAlignment="0"/>
    <xf numFmtId="0" fontId="181" fillId="0" borderId="0" applyFill="0" applyBorder="0" applyAlignment="0"/>
    <xf numFmtId="0" fontId="181" fillId="0" borderId="0" applyFill="0" applyBorder="0" applyAlignment="0"/>
    <xf numFmtId="0" fontId="181" fillId="0" borderId="0" applyFill="0" applyBorder="0" applyAlignment="0"/>
    <xf numFmtId="38" fontId="182" fillId="35" borderId="17">
      <alignment horizontal="right"/>
    </xf>
    <xf numFmtId="0" fontId="183" fillId="0" borderId="52"/>
    <xf numFmtId="0" fontId="184" fillId="0" borderId="0">
      <alignment horizontal="right"/>
    </xf>
    <xf numFmtId="1" fontId="185" fillId="0" borderId="0"/>
    <xf numFmtId="0" fontId="142" fillId="8" borderId="0" applyNumberFormat="0" applyFont="0" applyAlignment="0">
      <alignment vertical="center"/>
      <protection locked="0"/>
    </xf>
    <xf numFmtId="0" fontId="186" fillId="0" borderId="0"/>
    <xf numFmtId="0" fontId="187" fillId="35" borderId="0" applyNumberFormat="0" applyBorder="0" applyAlignment="0" applyProtection="0">
      <alignment horizontal="left"/>
      <protection locked="0"/>
    </xf>
    <xf numFmtId="0" fontId="7" fillId="0" borderId="0">
      <alignment horizontal="center" wrapText="1"/>
      <protection hidden="1"/>
    </xf>
    <xf numFmtId="0" fontId="118" fillId="0" borderId="0">
      <alignment horizontal="center" wrapText="1"/>
      <protection hidden="1"/>
    </xf>
    <xf numFmtId="177" fontId="32" fillId="0" borderId="0" applyBorder="0">
      <alignment horizontal="right"/>
    </xf>
    <xf numFmtId="177" fontId="32" fillId="0" borderId="19" applyAlignment="0">
      <alignment horizontal="right"/>
    </xf>
    <xf numFmtId="0" fontId="28" fillId="0" borderId="53"/>
    <xf numFmtId="0" fontId="181" fillId="0" borderId="0" applyFont="0" applyFill="0" applyBorder="0" applyAlignment="0" applyProtection="0"/>
    <xf numFmtId="38" fontId="4" fillId="0" borderId="0">
      <alignment horizontal="center"/>
      <protection locked="0"/>
    </xf>
    <xf numFmtId="0" fontId="176" fillId="0" borderId="0" applyFill="0" applyBorder="0" applyProtection="0">
      <alignment horizontal="right"/>
    </xf>
    <xf numFmtId="293" fontId="7" fillId="0" borderId="0" applyFont="0" applyFill="0" applyBorder="0" applyAlignment="0" applyProtection="0"/>
    <xf numFmtId="294" fontId="176" fillId="0" borderId="0" applyFill="0" applyBorder="0" applyProtection="0"/>
    <xf numFmtId="173" fontId="3" fillId="0" borderId="0" applyFont="0" applyFill="0" applyBorder="0" applyAlignment="0" applyProtection="0"/>
    <xf numFmtId="173" fontId="23" fillId="0" borderId="0" applyFont="0" applyFill="0" applyBorder="0" applyAlignment="0" applyProtection="0">
      <alignment vertical="center"/>
    </xf>
    <xf numFmtId="173" fontId="20" fillId="0" borderId="0" applyFont="0" applyFill="0" applyBorder="0" applyAlignment="0" applyProtection="0">
      <alignment vertical="center"/>
    </xf>
    <xf numFmtId="173" fontId="20" fillId="0" borderId="0" applyFont="0" applyFill="0" applyBorder="0" applyAlignment="0" applyProtection="0">
      <alignment vertical="center"/>
    </xf>
    <xf numFmtId="173" fontId="23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0" fontId="7" fillId="0" borderId="0"/>
    <xf numFmtId="202" fontId="173" fillId="0" borderId="0"/>
    <xf numFmtId="4" fontId="173" fillId="0" borderId="0"/>
    <xf numFmtId="229" fontId="173" fillId="0" borderId="0"/>
    <xf numFmtId="201" fontId="31" fillId="0" borderId="0"/>
    <xf numFmtId="0" fontId="7" fillId="0" borderId="0"/>
    <xf numFmtId="201" fontId="188" fillId="0" borderId="0" applyFont="0" applyFill="0" applyBorder="0" applyAlignment="0" applyProtection="0"/>
    <xf numFmtId="39" fontId="188" fillId="0" borderId="0" applyFont="0" applyFill="0" applyBorder="0" applyAlignment="0" applyProtection="0"/>
    <xf numFmtId="0" fontId="189" fillId="36" borderId="0">
      <alignment horizontal="center" vertical="center" wrapText="1"/>
    </xf>
    <xf numFmtId="0" fontId="190" fillId="36" borderId="0">
      <alignment horizontal="center" vertical="center" wrapText="1"/>
    </xf>
    <xf numFmtId="0" fontId="136" fillId="0" borderId="0" applyFill="0" applyBorder="0">
      <alignment horizontal="left"/>
    </xf>
    <xf numFmtId="3" fontId="191" fillId="37" borderId="0" applyNumberFormat="0" applyFill="0" applyBorder="0" applyAlignment="0" applyProtection="0"/>
    <xf numFmtId="0" fontId="4" fillId="8" borderId="0" applyFont="0" applyBorder="0">
      <alignment horizontal="right" vertical="center"/>
    </xf>
    <xf numFmtId="0" fontId="192" fillId="0" borderId="0">
      <alignment horizontal="left"/>
    </xf>
    <xf numFmtId="0" fontId="193" fillId="0" borderId="0"/>
    <xf numFmtId="0" fontId="194" fillId="0" borderId="0">
      <alignment horizontal="left"/>
    </xf>
    <xf numFmtId="0" fontId="118" fillId="0" borderId="0" applyFill="0" applyBorder="0">
      <alignment horizontal="right"/>
      <protection locked="0"/>
    </xf>
    <xf numFmtId="0" fontId="118" fillId="0" borderId="0" applyFill="0" applyBorder="0">
      <alignment horizontal="right"/>
      <protection locked="0"/>
    </xf>
    <xf numFmtId="0" fontId="28" fillId="0" borderId="53"/>
    <xf numFmtId="0" fontId="181" fillId="0" borderId="0" applyFont="0" applyFill="0" applyBorder="0" applyAlignment="0" applyProtection="0"/>
    <xf numFmtId="0" fontId="176" fillId="0" borderId="0" applyFill="0" applyBorder="0" applyProtection="0">
      <alignment horizontal="right"/>
    </xf>
    <xf numFmtId="0" fontId="176" fillId="0" borderId="0" applyFill="0" applyBorder="0" applyProtection="0">
      <alignment horizontal="right"/>
    </xf>
    <xf numFmtId="295" fontId="173" fillId="0" borderId="0"/>
    <xf numFmtId="229" fontId="7" fillId="0" borderId="0"/>
    <xf numFmtId="0" fontId="7" fillId="0" borderId="0" applyFill="0" applyBorder="0" applyProtection="0">
      <alignment vertical="center"/>
    </xf>
    <xf numFmtId="0" fontId="118" fillId="0" borderId="0" applyFont="0" applyFill="0" applyBorder="0" applyAlignment="0">
      <protection locked="0"/>
    </xf>
    <xf numFmtId="0" fontId="7" fillId="12" borderId="0" applyFont="0" applyBorder="0"/>
    <xf numFmtId="3" fontId="129" fillId="38" borderId="54" applyNumberFormat="0" applyFont="0" applyBorder="0" applyAlignment="0" applyProtection="0"/>
    <xf numFmtId="0" fontId="122" fillId="19" borderId="0" applyAlignment="0">
      <protection locked="0"/>
    </xf>
    <xf numFmtId="38" fontId="15" fillId="6" borderId="17">
      <protection locked="0"/>
    </xf>
    <xf numFmtId="0" fontId="7" fillId="12" borderId="23" applyFont="0" applyFill="0" applyBorder="0"/>
    <xf numFmtId="296" fontId="32" fillId="0" borderId="0" applyFill="0" applyBorder="0">
      <alignment horizontal="right"/>
    </xf>
    <xf numFmtId="0" fontId="176" fillId="0" borderId="0" applyFill="0" applyBorder="0" applyProtection="0">
      <alignment horizontal="right"/>
    </xf>
    <xf numFmtId="0" fontId="176" fillId="0" borderId="0" applyFill="0" applyBorder="0" applyProtection="0">
      <alignment horizontal="right"/>
    </xf>
    <xf numFmtId="0" fontId="176" fillId="0" borderId="0" applyFill="0" applyBorder="0" applyProtection="0">
      <alignment horizontal="right"/>
    </xf>
    <xf numFmtId="0" fontId="176" fillId="0" borderId="0" applyFill="0" applyBorder="0" applyProtection="0">
      <alignment horizontal="right"/>
    </xf>
    <xf numFmtId="0" fontId="176" fillId="0" borderId="0" applyFont="0" applyFill="0" applyBorder="0" applyAlignment="0" applyProtection="0"/>
    <xf numFmtId="14" fontId="68" fillId="0" borderId="0" applyFill="0" applyBorder="0" applyAlignment="0"/>
    <xf numFmtId="0" fontId="46" fillId="0" borderId="31">
      <alignment horizontal="center"/>
    </xf>
    <xf numFmtId="0" fontId="7" fillId="0" borderId="0"/>
    <xf numFmtId="201" fontId="94" fillId="0" borderId="2" applyFont="0" applyFill="0" applyBorder="0" applyProtection="0">
      <alignment horizontal="right"/>
    </xf>
    <xf numFmtId="0" fontId="173" fillId="0" borderId="0"/>
    <xf numFmtId="38" fontId="118" fillId="0" borderId="55">
      <alignment vertical="center"/>
    </xf>
    <xf numFmtId="2" fontId="182" fillId="39" borderId="0">
      <alignment horizontal="left"/>
      <protection hidden="1"/>
    </xf>
    <xf numFmtId="15" fontId="195" fillId="0" borderId="56" applyFont="0" applyFill="0" applyBorder="0" applyAlignment="0" applyProtection="0">
      <alignment horizontal="center"/>
      <protection hidden="1"/>
    </xf>
    <xf numFmtId="168" fontId="7" fillId="0" borderId="0"/>
    <xf numFmtId="0" fontId="21" fillId="0" borderId="0"/>
    <xf numFmtId="297" fontId="68" fillId="0" borderId="0" applyFont="0" applyFill="0" applyBorder="0" applyAlignment="0" applyProtection="0">
      <protection locked="0"/>
    </xf>
    <xf numFmtId="298" fontId="176" fillId="0" borderId="57" applyNumberFormat="0" applyFont="0" applyFill="0" applyAlignment="0" applyProtection="0"/>
    <xf numFmtId="0" fontId="94" fillId="0" borderId="0"/>
    <xf numFmtId="0" fontId="181" fillId="0" borderId="0" applyFill="0" applyBorder="0" applyAlignment="0"/>
    <xf numFmtId="0" fontId="181" fillId="0" borderId="0" applyFill="0" applyBorder="0" applyAlignment="0"/>
    <xf numFmtId="0" fontId="181" fillId="0" borderId="0" applyFill="0" applyBorder="0" applyAlignment="0"/>
    <xf numFmtId="0" fontId="181" fillId="0" borderId="0" applyFill="0" applyBorder="0" applyAlignment="0"/>
    <xf numFmtId="0" fontId="181" fillId="0" borderId="0" applyFill="0" applyBorder="0" applyAlignment="0"/>
    <xf numFmtId="0" fontId="169" fillId="0" borderId="0" applyFont="0" applyFill="0" applyBorder="0" applyProtection="0">
      <alignment horizontal="left"/>
      <protection locked="0"/>
    </xf>
    <xf numFmtId="0" fontId="7" fillId="0" borderId="0" applyFont="0" applyFill="0" applyBorder="0" applyAlignment="0" applyProtection="0">
      <alignment horizontal="center"/>
      <protection hidden="1"/>
    </xf>
    <xf numFmtId="0" fontId="196" fillId="0" borderId="0"/>
    <xf numFmtId="1" fontId="7" fillId="31" borderId="23" applyNumberFormat="0" applyBorder="0" applyAlignment="0">
      <alignment horizontal="centerContinuous" vertical="center"/>
      <protection locked="0"/>
    </xf>
    <xf numFmtId="259" fontId="7" fillId="0" borderId="56" applyFont="0" applyFill="0" applyBorder="0" applyAlignment="0" applyProtection="0">
      <alignment horizontal="right"/>
      <protection hidden="1"/>
    </xf>
    <xf numFmtId="291" fontId="31" fillId="0" borderId="0" applyFont="0" applyFill="0" applyBorder="0" applyProtection="0">
      <alignment horizontal="right"/>
    </xf>
    <xf numFmtId="0" fontId="197" fillId="40" borderId="0"/>
    <xf numFmtId="0" fontId="198" fillId="0" borderId="0">
      <alignment horizontal="left"/>
    </xf>
    <xf numFmtId="0" fontId="199" fillId="0" borderId="0">
      <alignment horizontal="left"/>
    </xf>
    <xf numFmtId="0" fontId="200" fillId="0" borderId="0" applyFill="0" applyBorder="0" applyProtection="0">
      <alignment horizontal="left"/>
    </xf>
    <xf numFmtId="0" fontId="200" fillId="0" borderId="0" applyNumberFormat="0" applyFill="0" applyBorder="0" applyProtection="0">
      <alignment horizontal="left"/>
    </xf>
    <xf numFmtId="0" fontId="200" fillId="0" borderId="0" applyFill="0" applyBorder="0" applyProtection="0">
      <alignment vertical="center"/>
    </xf>
    <xf numFmtId="0" fontId="201" fillId="0" borderId="0"/>
    <xf numFmtId="0" fontId="202" fillId="0" borderId="0" applyNumberFormat="0" applyFill="0" applyBorder="0" applyAlignment="0" applyProtection="0"/>
    <xf numFmtId="38" fontId="31" fillId="12" borderId="0" applyNumberFormat="0" applyBorder="0" applyAlignment="0" applyProtection="0"/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49" fontId="17" fillId="0" borderId="0">
      <alignment horizontal="right"/>
    </xf>
    <xf numFmtId="168" fontId="7" fillId="6" borderId="58" applyNumberFormat="0" applyFont="0" applyBorder="0" applyAlignment="0" applyProtection="0"/>
    <xf numFmtId="0" fontId="7" fillId="10" borderId="58" applyNumberFormat="0" applyFont="0" applyAlignment="0"/>
    <xf numFmtId="299" fontId="176" fillId="0" borderId="0" applyFill="0" applyBorder="0" applyProtection="0">
      <alignment horizontal="right"/>
    </xf>
    <xf numFmtId="201" fontId="203" fillId="6" borderId="0" applyNumberFormat="0" applyFont="0" applyAlignment="0"/>
    <xf numFmtId="37" fontId="204" fillId="0" borderId="0"/>
    <xf numFmtId="0" fontId="65" fillId="41" borderId="59" applyNumberFormat="0" applyBorder="0" applyAlignment="0">
      <alignment horizontal="centerContinuous"/>
    </xf>
    <xf numFmtId="0" fontId="205" fillId="0" borderId="0">
      <alignment horizontal="left"/>
    </xf>
    <xf numFmtId="0" fontId="206" fillId="0" borderId="0">
      <alignment horizontal="right"/>
    </xf>
    <xf numFmtId="0" fontId="47" fillId="0" borderId="30" applyNumberFormat="0" applyAlignment="0" applyProtection="0">
      <alignment horizontal="left" vertical="center"/>
    </xf>
    <xf numFmtId="0" fontId="47" fillId="0" borderId="9">
      <alignment horizontal="left" vertical="center"/>
    </xf>
    <xf numFmtId="0" fontId="207" fillId="0" borderId="5">
      <alignment horizontal="left" vertical="top"/>
    </xf>
    <xf numFmtId="0" fontId="208" fillId="0" borderId="0">
      <alignment horizontal="left"/>
    </xf>
    <xf numFmtId="0" fontId="207" fillId="0" borderId="5">
      <alignment horizontal="left" vertical="top"/>
    </xf>
    <xf numFmtId="0" fontId="209" fillId="0" borderId="0" applyProtection="0">
      <alignment horizontal="left"/>
    </xf>
    <xf numFmtId="0" fontId="126" fillId="0" borderId="0">
      <alignment horizontal="left"/>
    </xf>
    <xf numFmtId="0" fontId="210" fillId="0" borderId="5">
      <alignment horizontal="left" vertical="top"/>
    </xf>
    <xf numFmtId="0" fontId="211" fillId="0" borderId="0" applyProtection="0">
      <alignment horizontal="left"/>
    </xf>
    <xf numFmtId="0" fontId="211" fillId="0" borderId="0">
      <alignment horizontal="left"/>
    </xf>
    <xf numFmtId="202" fontId="212" fillId="0" borderId="0" applyNumberFormat="0" applyFont="0" applyFill="0" applyBorder="0" applyAlignment="0">
      <alignment horizontal="left"/>
    </xf>
    <xf numFmtId="0" fontId="26" fillId="0" borderId="0">
      <alignment wrapText="1"/>
    </xf>
    <xf numFmtId="0" fontId="163" fillId="0" borderId="0" applyFont="0" applyFill="0" applyBorder="0" applyAlignment="0" applyProtection="0">
      <alignment vertical="center"/>
    </xf>
    <xf numFmtId="0" fontId="143" fillId="0" borderId="0"/>
    <xf numFmtId="10" fontId="31" fillId="10" borderId="58" applyNumberFormat="0" applyBorder="0" applyAlignment="0" applyProtection="0"/>
    <xf numFmtId="0" fontId="213" fillId="0" borderId="0" applyFill="0" applyBorder="0" applyProtection="0">
      <alignment horizontal="right"/>
    </xf>
    <xf numFmtId="0" fontId="213" fillId="0" borderId="0" applyFill="0" applyBorder="0" applyProtection="0">
      <alignment horizontal="right"/>
    </xf>
    <xf numFmtId="1" fontId="214" fillId="0" borderId="0" applyNumberFormat="0">
      <alignment horizontal="right"/>
    </xf>
    <xf numFmtId="1" fontId="214" fillId="0" borderId="0" applyNumberFormat="0">
      <alignment horizontal="right"/>
    </xf>
    <xf numFmtId="1" fontId="214" fillId="0" borderId="0" applyNumberFormat="0">
      <alignment horizontal="right"/>
    </xf>
    <xf numFmtId="1" fontId="214" fillId="0" borderId="0" applyNumberFormat="0">
      <alignment horizontal="right"/>
    </xf>
    <xf numFmtId="0" fontId="213" fillId="0" borderId="0" applyFill="0" applyBorder="0" applyProtection="0">
      <alignment horizontal="right"/>
    </xf>
    <xf numFmtId="0" fontId="213" fillId="0" borderId="0" applyFill="0" applyBorder="0" applyProtection="0">
      <alignment horizontal="right"/>
    </xf>
    <xf numFmtId="0" fontId="213" fillId="0" borderId="0" applyFill="0" applyBorder="0" applyProtection="0">
      <alignment horizontal="right"/>
    </xf>
    <xf numFmtId="0" fontId="213" fillId="0" borderId="0" applyFill="0" applyBorder="0" applyProtection="0"/>
    <xf numFmtId="0" fontId="213" fillId="0" borderId="0" applyFill="0" applyBorder="0" applyProtection="0">
      <alignment horizontal="right"/>
    </xf>
    <xf numFmtId="298" fontId="213" fillId="0" borderId="0" applyFill="0" applyBorder="0" applyProtection="0"/>
    <xf numFmtId="10" fontId="215" fillId="0" borderId="0"/>
    <xf numFmtId="0" fontId="213" fillId="0" borderId="0" applyFill="0" applyBorder="0" applyProtection="0">
      <alignment horizontal="right"/>
    </xf>
    <xf numFmtId="10" fontId="7" fillId="0" borderId="0">
      <protection locked="0"/>
    </xf>
    <xf numFmtId="0" fontId="51" fillId="0" borderId="0" applyNumberFormat="0" applyFill="0" applyBorder="0" applyAlignment="0">
      <protection locked="0"/>
    </xf>
    <xf numFmtId="0" fontId="7" fillId="0" borderId="0" applyFill="0" applyBorder="0" applyProtection="0">
      <alignment vertical="center"/>
    </xf>
    <xf numFmtId="0" fontId="7" fillId="0" borderId="0" applyFill="0" applyBorder="0" applyProtection="0">
      <alignment vertical="center"/>
    </xf>
    <xf numFmtId="173" fontId="7" fillId="42" borderId="0" applyBorder="0">
      <protection locked="0"/>
    </xf>
    <xf numFmtId="0" fontId="7" fillId="42" borderId="0">
      <alignment horizontal="left"/>
      <protection locked="0"/>
    </xf>
    <xf numFmtId="300" fontId="6" fillId="0" borderId="0" applyFont="0" applyFill="0" applyBorder="0" applyAlignment="0">
      <protection locked="0"/>
    </xf>
    <xf numFmtId="301" fontId="7" fillId="0" borderId="0" applyFont="0" applyFill="0" applyBorder="0" applyAlignment="0">
      <protection locked="0"/>
    </xf>
    <xf numFmtId="2" fontId="7" fillId="0" borderId="60">
      <protection locked="0"/>
    </xf>
    <xf numFmtId="0" fontId="156" fillId="42" borderId="0" applyBorder="0">
      <alignment horizontal="left"/>
      <protection locked="0"/>
    </xf>
    <xf numFmtId="302" fontId="7" fillId="0" borderId="0" applyFill="0" applyBorder="0" applyProtection="0">
      <alignment vertical="center"/>
    </xf>
    <xf numFmtId="10" fontId="156" fillId="42" borderId="0">
      <alignment horizontal="left"/>
      <protection locked="0"/>
    </xf>
    <xf numFmtId="0" fontId="7" fillId="0" borderId="0" applyFill="0" applyBorder="0" applyProtection="0">
      <alignment vertical="center"/>
    </xf>
    <xf numFmtId="0" fontId="7" fillId="0" borderId="16" applyFill="0"/>
    <xf numFmtId="0" fontId="7" fillId="0" borderId="0">
      <protection locked="0"/>
    </xf>
    <xf numFmtId="0" fontId="118" fillId="0" borderId="0" applyFill="0" applyBorder="0">
      <alignment horizontal="right"/>
      <protection locked="0"/>
    </xf>
    <xf numFmtId="3" fontId="216" fillId="0" borderId="5" applyNumberFormat="0" applyBorder="0" applyAlignment="0"/>
    <xf numFmtId="0" fontId="7" fillId="0" borderId="0" applyFill="0" applyBorder="0">
      <alignment horizontal="right"/>
      <protection locked="0"/>
    </xf>
    <xf numFmtId="187" fontId="118" fillId="0" borderId="0" applyFill="0" applyBorder="0">
      <alignment horizontal="right"/>
      <protection locked="0"/>
    </xf>
    <xf numFmtId="0" fontId="46" fillId="16" borderId="50">
      <alignment horizontal="left" vertical="center" wrapText="1"/>
    </xf>
    <xf numFmtId="0" fontId="217" fillId="0" borderId="0" applyNumberFormat="0" applyFill="0" applyBorder="0" applyAlignment="0"/>
    <xf numFmtId="0" fontId="28" fillId="0" borderId="0" applyNumberFormat="0" applyFill="0" applyBorder="0" applyAlignment="0" applyProtection="0"/>
    <xf numFmtId="0" fontId="7" fillId="0" borderId="0" applyFont="0" applyFill="0" applyBorder="0" applyAlignment="0" applyProtection="0">
      <protection hidden="1"/>
    </xf>
    <xf numFmtId="10" fontId="41" fillId="43" borderId="61" applyNumberFormat="0"/>
    <xf numFmtId="0" fontId="181" fillId="0" borderId="0" applyFill="0" applyBorder="0" applyAlignment="0"/>
    <xf numFmtId="0" fontId="181" fillId="0" borderId="0" applyFill="0" applyBorder="0" applyAlignment="0"/>
    <xf numFmtId="0" fontId="181" fillId="0" borderId="0" applyFill="0" applyBorder="0" applyAlignment="0"/>
    <xf numFmtId="0" fontId="181" fillId="0" borderId="0" applyFill="0" applyBorder="0" applyAlignment="0"/>
    <xf numFmtId="0" fontId="181" fillId="0" borderId="0" applyFill="0" applyBorder="0" applyAlignment="0"/>
    <xf numFmtId="201" fontId="218" fillId="0" borderId="0" applyNumberFormat="0" applyFont="0" applyFill="0" applyBorder="0" applyAlignment="0">
      <protection hidden="1"/>
    </xf>
    <xf numFmtId="0" fontId="219" fillId="0" borderId="0" applyNumberFormat="0" applyAlignment="0"/>
    <xf numFmtId="276" fontId="220" fillId="0" borderId="51" applyNumberFormat="0" applyAlignment="0">
      <alignment horizontal="left"/>
    </xf>
    <xf numFmtId="9" fontId="220" fillId="0" borderId="62"/>
    <xf numFmtId="276" fontId="220" fillId="0" borderId="62" applyAlignment="0">
      <alignment horizontal="left"/>
    </xf>
    <xf numFmtId="1" fontId="220" fillId="0" borderId="0" applyAlignment="0">
      <alignment horizontal="left"/>
    </xf>
    <xf numFmtId="0" fontId="197" fillId="0" borderId="0"/>
    <xf numFmtId="0" fontId="221" fillId="0" borderId="0"/>
    <xf numFmtId="0" fontId="222" fillId="0" borderId="0"/>
    <xf numFmtId="3" fontId="126" fillId="0" borderId="0" applyFont="0" applyFill="0" applyBorder="0" applyAlignment="0" applyProtection="0"/>
    <xf numFmtId="38" fontId="127" fillId="0" borderId="0" applyFill="0" applyBorder="0" applyAlignment="0" applyProtection="0"/>
    <xf numFmtId="38" fontId="118" fillId="0" borderId="0" applyFont="0" applyFill="0" applyBorder="0" applyAlignment="0" applyProtection="0"/>
    <xf numFmtId="40" fontId="118" fillId="0" borderId="0" applyFont="0" applyFill="0" applyBorder="0" applyAlignment="0" applyProtection="0"/>
    <xf numFmtId="0" fontId="223" fillId="0" borderId="0" applyFont="0" applyFill="0" applyBorder="0" applyAlignment="0" applyProtection="0">
      <alignment horizontal="center"/>
      <protection hidden="1"/>
    </xf>
    <xf numFmtId="0" fontId="223" fillId="0" borderId="0" applyFont="0" applyFill="0" applyBorder="0" applyAlignment="0" applyProtection="0">
      <alignment horizontal="center"/>
      <protection hidden="1"/>
    </xf>
    <xf numFmtId="235" fontId="7" fillId="0" borderId="0" applyFont="0" applyFill="0" applyBorder="0" applyAlignment="0" applyProtection="0"/>
    <xf numFmtId="0" fontId="188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303" fontId="7" fillId="0" borderId="0" applyFont="0" applyFill="0" applyBorder="0" applyAlignment="0" applyProtection="0"/>
    <xf numFmtId="302" fontId="7" fillId="0" borderId="0" applyFill="0" applyBorder="0" applyProtection="0">
      <alignment vertical="center"/>
    </xf>
    <xf numFmtId="229" fontId="7" fillId="0" borderId="63" applyFont="0" applyFill="0" applyBorder="0" applyAlignment="0" applyProtection="0">
      <alignment horizontal="center"/>
      <protection hidden="1"/>
    </xf>
    <xf numFmtId="37" fontId="7" fillId="0" borderId="0"/>
    <xf numFmtId="0" fontId="4" fillId="0" borderId="0" applyFont="0" applyFill="0" applyBorder="0" applyAlignment="0" applyProtection="0"/>
    <xf numFmtId="37" fontId="94" fillId="0" borderId="0" applyFont="0" applyFill="0" applyBorder="0" applyProtection="0">
      <alignment horizontal="right"/>
    </xf>
    <xf numFmtId="0" fontId="3" fillId="0" borderId="0"/>
    <xf numFmtId="0" fontId="23" fillId="0" borderId="0">
      <alignment vertical="center"/>
    </xf>
    <xf numFmtId="0" fontId="4" fillId="0" borderId="0"/>
    <xf numFmtId="0" fontId="224" fillId="0" borderId="0"/>
    <xf numFmtId="171" fontId="32" fillId="0" borderId="0" applyNumberFormat="0" applyFill="0" applyBorder="0" applyAlignment="0" applyProtection="0"/>
    <xf numFmtId="0" fontId="19" fillId="0" borderId="64">
      <alignment horizontal="left"/>
    </xf>
    <xf numFmtId="49" fontId="225" fillId="0" borderId="64">
      <alignment horizontal="left"/>
    </xf>
    <xf numFmtId="0" fontId="7" fillId="0" borderId="0" applyFill="0" applyBorder="0" applyProtection="0">
      <alignment vertical="center"/>
    </xf>
    <xf numFmtId="0" fontId="126" fillId="0" borderId="0"/>
    <xf numFmtId="0" fontId="226" fillId="0" borderId="0"/>
    <xf numFmtId="0" fontId="227" fillId="0" borderId="60"/>
    <xf numFmtId="2" fontId="31" fillId="10" borderId="0"/>
    <xf numFmtId="38" fontId="228" fillId="0" borderId="0"/>
    <xf numFmtId="37" fontId="215" fillId="0" borderId="0"/>
    <xf numFmtId="37" fontId="28" fillId="0" borderId="0"/>
    <xf numFmtId="0" fontId="7" fillId="0" borderId="0" applyFont="0" applyFill="0" applyBorder="0" applyAlignment="0" applyProtection="0"/>
    <xf numFmtId="304" fontId="7" fillId="0" borderId="0" applyFont="0" applyFill="0" applyBorder="0" applyAlignment="0" applyProtection="0"/>
    <xf numFmtId="177" fontId="229" fillId="0" borderId="0"/>
    <xf numFmtId="0" fontId="230" fillId="0" borderId="0">
      <alignment horizontal="left"/>
    </xf>
    <xf numFmtId="37" fontId="169" fillId="0" borderId="0" applyFill="0" applyBorder="0" applyAlignment="0" applyProtection="0"/>
    <xf numFmtId="1" fontId="231" fillId="0" borderId="0" applyProtection="0">
      <alignment horizontal="right" vertical="center"/>
    </xf>
    <xf numFmtId="0" fontId="232" fillId="0" borderId="0" applyNumberFormat="0" applyFont="0"/>
    <xf numFmtId="0" fontId="222" fillId="0" borderId="0"/>
    <xf numFmtId="0" fontId="233" fillId="0" borderId="16" applyNumberFormat="0">
      <alignment vertical="center"/>
    </xf>
    <xf numFmtId="0" fontId="7" fillId="0" borderId="0" applyFont="0" applyFill="0" applyBorder="0" applyAlignment="0"/>
    <xf numFmtId="0" fontId="7" fillId="0" borderId="0" applyFill="0" applyBorder="0"/>
    <xf numFmtId="10" fontId="228" fillId="0" borderId="0"/>
    <xf numFmtId="296" fontId="7" fillId="0" borderId="0" applyFont="0" applyFill="0" applyBorder="0" applyAlignment="0" applyProtection="0">
      <alignment horizontal="center"/>
    </xf>
    <xf numFmtId="14" fontId="173" fillId="0" borderId="0">
      <alignment horizontal="center" wrapText="1"/>
      <protection locked="0"/>
    </xf>
    <xf numFmtId="10" fontId="94" fillId="0" borderId="0" applyFont="0" applyFill="0" applyBorder="0" applyProtection="0">
      <alignment horizontal="right"/>
    </xf>
    <xf numFmtId="0" fontId="181" fillId="0" borderId="0" applyFont="0" applyFill="0" applyBorder="0" applyAlignment="0" applyProtection="0"/>
    <xf numFmtId="0" fontId="181" fillId="0" borderId="0" applyFont="0" applyFill="0" applyBorder="0" applyAlignment="0" applyProtection="0"/>
    <xf numFmtId="305" fontId="7" fillId="0" borderId="0" applyFont="0" applyFill="0" applyBorder="0" applyAlignment="0" applyProtection="0">
      <protection hidden="1"/>
    </xf>
    <xf numFmtId="10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265" fontId="31" fillId="0" borderId="0" applyFont="0" applyFill="0" applyBorder="0" applyAlignment="0" applyProtection="0"/>
    <xf numFmtId="0" fontId="118" fillId="0" borderId="0" applyFill="0" applyBorder="0">
      <alignment horizontal="right"/>
      <protection locked="0"/>
    </xf>
    <xf numFmtId="0" fontId="118" fillId="0" borderId="0" applyFill="0" applyBorder="0">
      <alignment horizontal="right"/>
      <protection locked="0"/>
    </xf>
    <xf numFmtId="2" fontId="31" fillId="10" borderId="0"/>
    <xf numFmtId="292" fontId="31" fillId="0" borderId="0" applyFont="0" applyFill="0" applyBorder="0" applyProtection="0">
      <alignment horizontal="right"/>
    </xf>
    <xf numFmtId="0" fontId="7" fillId="0" borderId="0" applyFont="0" applyFill="0" applyBorder="0" applyProtection="0">
      <alignment horizontal="left"/>
      <protection locked="0"/>
    </xf>
    <xf numFmtId="9" fontId="188" fillId="0" borderId="0" applyFont="0" applyFill="0" applyBorder="0" applyAlignment="0" applyProtection="0"/>
    <xf numFmtId="0" fontId="181" fillId="0" borderId="0" applyFill="0" applyBorder="0" applyAlignment="0"/>
    <xf numFmtId="0" fontId="181" fillId="0" borderId="0" applyFill="0" applyBorder="0" applyAlignment="0"/>
    <xf numFmtId="0" fontId="181" fillId="0" borderId="0" applyFill="0" applyBorder="0" applyAlignment="0"/>
    <xf numFmtId="0" fontId="181" fillId="0" borderId="0" applyFill="0" applyBorder="0" applyAlignment="0"/>
    <xf numFmtId="0" fontId="181" fillId="0" borderId="0" applyFill="0" applyBorder="0" applyAlignment="0"/>
    <xf numFmtId="0" fontId="173" fillId="0" borderId="0" applyFill="0" applyBorder="0" applyAlignment="0" applyProtection="0"/>
    <xf numFmtId="0" fontId="217" fillId="0" borderId="0"/>
    <xf numFmtId="290" fontId="4" fillId="12" borderId="0" applyBorder="0" applyAlignment="0">
      <protection hidden="1"/>
    </xf>
    <xf numFmtId="1" fontId="7" fillId="12" borderId="0">
      <alignment horizontal="center"/>
    </xf>
    <xf numFmtId="0" fontId="96" fillId="0" borderId="19">
      <alignment horizontal="center"/>
    </xf>
    <xf numFmtId="0" fontId="21" fillId="0" borderId="0" applyNumberFormat="0" applyFont="0" applyFill="0" applyBorder="0" applyAlignment="0"/>
    <xf numFmtId="1" fontId="7" fillId="0" borderId="60" applyNumberFormat="0" applyFill="0" applyAlignment="0" applyProtection="0">
      <alignment horizontal="center" vertical="center"/>
    </xf>
    <xf numFmtId="0" fontId="118" fillId="0" borderId="0" applyFill="0" applyBorder="0">
      <alignment horizontal="right"/>
      <protection locked="0"/>
    </xf>
    <xf numFmtId="0" fontId="31" fillId="0" borderId="0" applyFont="0" applyFill="0" applyBorder="0" applyProtection="0">
      <alignment horizontal="right"/>
    </xf>
    <xf numFmtId="306" fontId="7" fillId="0" borderId="56" applyFont="0" applyFill="0" applyBorder="0" applyAlignment="0" applyProtection="0">
      <alignment horizontal="right"/>
      <protection locked="0"/>
    </xf>
    <xf numFmtId="0" fontId="118" fillId="0" borderId="0">
      <alignment horizontal="right"/>
      <protection locked="0"/>
    </xf>
    <xf numFmtId="0" fontId="118" fillId="0" borderId="0">
      <alignment horizontal="right"/>
      <protection locked="0"/>
    </xf>
    <xf numFmtId="37" fontId="164" fillId="8" borderId="6">
      <alignment horizontal="right"/>
    </xf>
    <xf numFmtId="37" fontId="164" fillId="8" borderId="6">
      <alignment horizontal="right"/>
    </xf>
    <xf numFmtId="49" fontId="21" fillId="0" borderId="0">
      <alignment horizontal="right"/>
    </xf>
    <xf numFmtId="201" fontId="119" fillId="0" borderId="30" applyNumberFormat="0" applyAlignment="0" applyProtection="0">
      <alignment horizontal="right" vertical="center"/>
    </xf>
    <xf numFmtId="307" fontId="162" fillId="0" borderId="0" applyFont="0" applyFill="0" applyBorder="0" applyAlignment="0" applyProtection="0">
      <alignment vertical="center"/>
    </xf>
    <xf numFmtId="37" fontId="127" fillId="1" borderId="0">
      <alignment horizontal="right"/>
    </xf>
    <xf numFmtId="37" fontId="127" fillId="1" borderId="0">
      <alignment horizontal="right"/>
    </xf>
    <xf numFmtId="37" fontId="127" fillId="1" borderId="0">
      <alignment horizontal="right"/>
    </xf>
    <xf numFmtId="37" fontId="127" fillId="1" borderId="0">
      <alignment horizontal="right"/>
    </xf>
    <xf numFmtId="37" fontId="127" fillId="1" borderId="0">
      <alignment horizontal="right"/>
    </xf>
    <xf numFmtId="37" fontId="127" fillId="1" borderId="0">
      <alignment horizontal="right"/>
    </xf>
    <xf numFmtId="0" fontId="199" fillId="0" borderId="65">
      <alignment vertical="center"/>
    </xf>
    <xf numFmtId="0" fontId="128" fillId="0" borderId="0" applyNumberFormat="0" applyFont="0" applyBorder="0" applyAlignment="0"/>
    <xf numFmtId="4" fontId="66" fillId="17" borderId="66" applyNumberFormat="0" applyProtection="0">
      <alignment vertical="center"/>
    </xf>
    <xf numFmtId="4" fontId="234" fillId="42" borderId="66" applyNumberFormat="0" applyProtection="0">
      <alignment vertical="center"/>
    </xf>
    <xf numFmtId="4" fontId="66" fillId="42" borderId="66" applyNumberFormat="0" applyProtection="0">
      <alignment horizontal="left" vertical="center" indent="1"/>
    </xf>
    <xf numFmtId="0" fontId="66" fillId="42" borderId="66" applyNumberFormat="0" applyProtection="0">
      <alignment horizontal="left" vertical="top" indent="1"/>
    </xf>
    <xf numFmtId="4" fontId="66" fillId="44" borderId="0" applyNumberFormat="0" applyProtection="0">
      <alignment horizontal="left" vertical="center" indent="1"/>
    </xf>
    <xf numFmtId="4" fontId="68" fillId="45" borderId="66" applyNumberFormat="0" applyProtection="0">
      <alignment horizontal="right" vertical="center"/>
    </xf>
    <xf numFmtId="4" fontId="68" fillId="46" borderId="66" applyNumberFormat="0" applyProtection="0">
      <alignment horizontal="right" vertical="center"/>
    </xf>
    <xf numFmtId="4" fontId="68" fillId="25" borderId="66" applyNumberFormat="0" applyProtection="0">
      <alignment horizontal="right" vertical="center"/>
    </xf>
    <xf numFmtId="4" fontId="68" fillId="47" borderId="66" applyNumberFormat="0" applyProtection="0">
      <alignment horizontal="right" vertical="center"/>
    </xf>
    <xf numFmtId="4" fontId="68" fillId="48" borderId="66" applyNumberFormat="0" applyProtection="0">
      <alignment horizontal="right" vertical="center"/>
    </xf>
    <xf numFmtId="4" fontId="68" fillId="49" borderId="66" applyNumberFormat="0" applyProtection="0">
      <alignment horizontal="right" vertical="center"/>
    </xf>
    <xf numFmtId="4" fontId="68" fillId="50" borderId="66" applyNumberFormat="0" applyProtection="0">
      <alignment horizontal="right" vertical="center"/>
    </xf>
    <xf numFmtId="4" fontId="68" fillId="51" borderId="66" applyNumberFormat="0" applyProtection="0">
      <alignment horizontal="right" vertical="center"/>
    </xf>
    <xf numFmtId="4" fontId="68" fillId="52" borderId="66" applyNumberFormat="0" applyProtection="0">
      <alignment horizontal="right" vertical="center"/>
    </xf>
    <xf numFmtId="4" fontId="66" fillId="53" borderId="67" applyNumberFormat="0" applyProtection="0">
      <alignment horizontal="left" vertical="center" indent="1"/>
    </xf>
    <xf numFmtId="4" fontId="68" fillId="54" borderId="0" applyNumberFormat="0" applyProtection="0">
      <alignment horizontal="left" vertical="center" indent="1"/>
    </xf>
    <xf numFmtId="4" fontId="235" fillId="55" borderId="0" applyNumberFormat="0" applyProtection="0">
      <alignment horizontal="left" vertical="center" indent="1"/>
    </xf>
    <xf numFmtId="4" fontId="68" fillId="56" borderId="66" applyNumberFormat="0" applyProtection="0">
      <alignment horizontal="right" vertical="center"/>
    </xf>
    <xf numFmtId="4" fontId="68" fillId="54" borderId="0" applyNumberFormat="0" applyProtection="0">
      <alignment horizontal="left" vertical="center" indent="1"/>
    </xf>
    <xf numFmtId="4" fontId="68" fillId="44" borderId="0" applyNumberFormat="0" applyProtection="0">
      <alignment horizontal="left" vertical="center" indent="1"/>
    </xf>
    <xf numFmtId="0" fontId="7" fillId="55" borderId="66" applyNumberFormat="0" applyProtection="0">
      <alignment horizontal="left" vertical="center" indent="1"/>
    </xf>
    <xf numFmtId="0" fontId="7" fillId="55" borderId="66" applyNumberFormat="0" applyProtection="0">
      <alignment horizontal="left" vertical="top" indent="1"/>
    </xf>
    <xf numFmtId="0" fontId="7" fillId="44" borderId="66" applyNumberFormat="0" applyProtection="0">
      <alignment horizontal="left" vertical="center" indent="1"/>
    </xf>
    <xf numFmtId="0" fontId="7" fillId="44" borderId="66" applyNumberFormat="0" applyProtection="0">
      <alignment horizontal="left" vertical="top" indent="1"/>
    </xf>
    <xf numFmtId="0" fontId="7" fillId="15" borderId="66" applyNumberFormat="0" applyProtection="0">
      <alignment horizontal="left" vertical="center" indent="1"/>
    </xf>
    <xf numFmtId="0" fontId="7" fillId="15" borderId="66" applyNumberFormat="0" applyProtection="0">
      <alignment horizontal="left" vertical="top" indent="1"/>
    </xf>
    <xf numFmtId="0" fontId="7" fillId="35" borderId="66" applyNumberFormat="0" applyProtection="0">
      <alignment horizontal="left" vertical="center" indent="1"/>
    </xf>
    <xf numFmtId="0" fontId="7" fillId="35" borderId="66" applyNumberFormat="0" applyProtection="0">
      <alignment horizontal="left" vertical="top" indent="1"/>
    </xf>
    <xf numFmtId="4" fontId="68" fillId="10" borderId="66" applyNumberFormat="0" applyProtection="0">
      <alignment vertical="center"/>
    </xf>
    <xf numFmtId="4" fontId="236" fillId="10" borderId="66" applyNumberFormat="0" applyProtection="0">
      <alignment vertical="center"/>
    </xf>
    <xf numFmtId="4" fontId="68" fillId="10" borderId="66" applyNumberFormat="0" applyProtection="0">
      <alignment horizontal="left" vertical="center" indent="1"/>
    </xf>
    <xf numFmtId="0" fontId="68" fillId="10" borderId="66" applyNumberFormat="0" applyProtection="0">
      <alignment horizontal="left" vertical="top" indent="1"/>
    </xf>
    <xf numFmtId="4" fontId="68" fillId="54" borderId="66" applyNumberFormat="0" applyProtection="0">
      <alignment horizontal="right" vertical="center"/>
    </xf>
    <xf numFmtId="4" fontId="236" fillId="54" borderId="66" applyNumberFormat="0" applyProtection="0">
      <alignment horizontal="right" vertical="center"/>
    </xf>
    <xf numFmtId="4" fontId="68" fillId="56" borderId="66" applyNumberFormat="0" applyProtection="0">
      <alignment horizontal="left" vertical="center" indent="1"/>
    </xf>
    <xf numFmtId="0" fontId="68" fillId="44" borderId="66" applyNumberFormat="0" applyProtection="0">
      <alignment horizontal="left" vertical="top" indent="1"/>
    </xf>
    <xf numFmtId="4" fontId="237" fillId="57" borderId="0" applyNumberFormat="0" applyProtection="0">
      <alignment horizontal="left" vertical="center" indent="1"/>
    </xf>
    <xf numFmtId="4" fontId="238" fillId="54" borderId="66" applyNumberFormat="0" applyProtection="0">
      <alignment horizontal="right" vertical="center"/>
    </xf>
    <xf numFmtId="0" fontId="239" fillId="0" borderId="0" applyFill="0" applyBorder="0">
      <alignment horizontal="right"/>
      <protection hidden="1"/>
    </xf>
    <xf numFmtId="308" fontId="240" fillId="0" borderId="0" applyFill="0" applyBorder="0" applyProtection="0">
      <alignment horizontal="right"/>
      <protection hidden="1"/>
    </xf>
    <xf numFmtId="0" fontId="47" fillId="36" borderId="58">
      <alignment horizontal="center" vertical="center" wrapText="1"/>
      <protection hidden="1"/>
    </xf>
    <xf numFmtId="0" fontId="163" fillId="0" borderId="0" applyFont="0" applyFill="0" applyBorder="0" applyAlignment="0" applyProtection="0">
      <alignment vertical="center"/>
    </xf>
    <xf numFmtId="0" fontId="241" fillId="58" borderId="68"/>
    <xf numFmtId="0" fontId="242" fillId="0" borderId="0" applyFont="0" applyFill="0" applyBorder="0">
      <alignment horizontal="right"/>
    </xf>
    <xf numFmtId="3" fontId="31" fillId="0" borderId="0"/>
    <xf numFmtId="303" fontId="7" fillId="0" borderId="0">
      <alignment horizontal="center"/>
    </xf>
    <xf numFmtId="303" fontId="7" fillId="0" borderId="0">
      <alignment horizontal="center"/>
    </xf>
    <xf numFmtId="3" fontId="21" fillId="0" borderId="0"/>
    <xf numFmtId="37" fontId="204" fillId="0" borderId="0"/>
    <xf numFmtId="3" fontId="127" fillId="0" borderId="0"/>
    <xf numFmtId="201" fontId="118" fillId="12" borderId="9" applyAlignment="0"/>
    <xf numFmtId="173" fontId="7" fillId="0" borderId="0" applyFill="0" applyBorder="0" applyProtection="0">
      <protection locked="0"/>
    </xf>
    <xf numFmtId="0" fontId="68" fillId="0" borderId="5" applyBorder="0">
      <alignment horizontal="center"/>
    </xf>
    <xf numFmtId="298" fontId="243" fillId="0" borderId="16" applyBorder="0" applyProtection="0">
      <alignment horizontal="right" vertical="center"/>
    </xf>
    <xf numFmtId="0" fontId="244" fillId="59" borderId="0" applyBorder="0" applyProtection="0">
      <alignment horizontal="centerContinuous" vertical="center"/>
    </xf>
    <xf numFmtId="0" fontId="244" fillId="24" borderId="16" applyBorder="0" applyProtection="0">
      <alignment horizontal="centerContinuous" vertical="center"/>
    </xf>
    <xf numFmtId="0" fontId="119" fillId="0" borderId="0" applyFill="0" applyBorder="0" applyProtection="0">
      <alignment horizontal="center" vertical="center"/>
    </xf>
    <xf numFmtId="3" fontId="36" fillId="0" borderId="0" applyNumberFormat="0"/>
    <xf numFmtId="0" fontId="200" fillId="0" borderId="0" applyNumberFormat="0" applyFill="0" applyBorder="0" applyProtection="0">
      <alignment horizontal="left"/>
    </xf>
    <xf numFmtId="0" fontId="245" fillId="0" borderId="0" applyFill="0" applyBorder="0" applyProtection="0">
      <alignment vertical="center"/>
    </xf>
    <xf numFmtId="0" fontId="137" fillId="0" borderId="0">
      <alignment vertical="center"/>
    </xf>
    <xf numFmtId="222" fontId="246" fillId="0" borderId="0" applyNumberFormat="0" applyFill="0" applyBorder="0">
      <alignment horizontal="left"/>
    </xf>
    <xf numFmtId="201" fontId="246" fillId="0" borderId="0" applyNumberFormat="0" applyFill="0" applyBorder="0">
      <alignment horizontal="right"/>
    </xf>
    <xf numFmtId="222" fontId="247" fillId="0" borderId="0" applyNumberFormat="0" applyFill="0" applyBorder="0">
      <alignment horizontal="right"/>
    </xf>
    <xf numFmtId="0" fontId="248" fillId="0" borderId="5" applyFill="0" applyBorder="0" applyProtection="0"/>
    <xf numFmtId="49" fontId="223" fillId="0" borderId="0" applyFont="0" applyFill="0" applyBorder="0" applyAlignment="0" applyProtection="0">
      <protection hidden="1"/>
    </xf>
    <xf numFmtId="0" fontId="248" fillId="0" borderId="0"/>
    <xf numFmtId="0" fontId="249" fillId="0" borderId="0" applyNumberFormat="0" applyFill="0" applyBorder="0" applyProtection="0"/>
    <xf numFmtId="0" fontId="250" fillId="0" borderId="0" applyFill="0" applyBorder="0" applyProtection="0"/>
    <xf numFmtId="0" fontId="251" fillId="0" borderId="0"/>
    <xf numFmtId="0" fontId="250" fillId="0" borderId="0" applyNumberFormat="0" applyFill="0" applyBorder="0" applyProtection="0"/>
    <xf numFmtId="0" fontId="250" fillId="0" borderId="0" applyFill="0" applyBorder="0" applyProtection="0"/>
    <xf numFmtId="0" fontId="249" fillId="0" borderId="0" applyNumberFormat="0" applyFill="0" applyBorder="0" applyProtection="0"/>
    <xf numFmtId="0" fontId="249" fillId="0" borderId="0"/>
    <xf numFmtId="49" fontId="68" fillId="0" borderId="0" applyFill="0" applyBorder="0" applyAlignment="0"/>
    <xf numFmtId="0" fontId="181" fillId="0" borderId="0" applyFill="0" applyBorder="0" applyAlignment="0"/>
    <xf numFmtId="0" fontId="181" fillId="0" borderId="0" applyFill="0" applyBorder="0" applyAlignment="0"/>
    <xf numFmtId="281" fontId="7" fillId="0" borderId="0" applyFont="0" applyFill="0" applyBorder="0" applyAlignment="0" applyProtection="0">
      <protection hidden="1"/>
    </xf>
    <xf numFmtId="0" fontId="102" fillId="0" borderId="0">
      <alignment vertical="center"/>
    </xf>
    <xf numFmtId="0" fontId="228" fillId="0" borderId="0"/>
    <xf numFmtId="0" fontId="252" fillId="0" borderId="0"/>
    <xf numFmtId="180" fontId="253" fillId="0" borderId="0">
      <alignment horizontal="right" vertical="center"/>
    </xf>
    <xf numFmtId="309" fontId="7" fillId="60" borderId="0"/>
    <xf numFmtId="3" fontId="254" fillId="0" borderId="0"/>
    <xf numFmtId="177" fontId="179" fillId="0" borderId="0"/>
    <xf numFmtId="37" fontId="255" fillId="61" borderId="69" applyNumberFormat="0" applyBorder="0">
      <alignment horizontal="center"/>
    </xf>
    <xf numFmtId="38" fontId="242" fillId="37" borderId="16" applyAlignment="0"/>
    <xf numFmtId="0" fontId="250" fillId="0" borderId="0"/>
    <xf numFmtId="0" fontId="249" fillId="0" borderId="0"/>
    <xf numFmtId="276" fontId="179" fillId="0" borderId="51" applyAlignment="0">
      <alignment horizontal="left"/>
    </xf>
    <xf numFmtId="0" fontId="36" fillId="0" borderId="9">
      <alignment horizontal="center" wrapText="1"/>
    </xf>
    <xf numFmtId="0" fontId="127" fillId="0" borderId="70" applyNumberFormat="0" applyFont="0" applyFill="0" applyAlignment="0" applyProtection="0"/>
    <xf numFmtId="0" fontId="232" fillId="0" borderId="0" applyFill="0" applyBorder="0" applyProtection="0"/>
    <xf numFmtId="0" fontId="232" fillId="0" borderId="0" applyFill="0" applyBorder="0" applyProtection="0"/>
    <xf numFmtId="3" fontId="36" fillId="0" borderId="16" applyNumberFormat="0"/>
    <xf numFmtId="0" fontId="7" fillId="0" borderId="57" applyFill="0" applyBorder="0" applyProtection="0">
      <alignment vertical="center"/>
    </xf>
    <xf numFmtId="290" fontId="4" fillId="0" borderId="31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56" fillId="0" borderId="0">
      <alignment horizontal="fill"/>
    </xf>
    <xf numFmtId="0" fontId="7" fillId="6" borderId="0">
      <alignment horizontal="right"/>
      <protection locked="0"/>
    </xf>
    <xf numFmtId="290" fontId="4" fillId="12" borderId="5" applyBorder="0">
      <alignment horizontal="right" vertical="center"/>
      <protection locked="0"/>
    </xf>
    <xf numFmtId="0" fontId="7" fillId="0" borderId="0" applyNumberFormat="0"/>
    <xf numFmtId="310" fontId="162" fillId="0" borderId="0" applyFont="0" applyFill="0" applyBorder="0" applyAlignment="0" applyProtection="0">
      <alignment vertical="center"/>
    </xf>
    <xf numFmtId="171" fontId="31" fillId="10" borderId="17">
      <alignment horizontal="right"/>
    </xf>
    <xf numFmtId="171" fontId="32" fillId="10" borderId="17"/>
    <xf numFmtId="311" fontId="7" fillId="0" borderId="0"/>
    <xf numFmtId="0" fontId="7" fillId="0" borderId="63" applyFont="0" applyFill="0" applyBorder="0" applyAlignment="0" applyProtection="0">
      <alignment horizontal="center"/>
      <protection hidden="1"/>
    </xf>
    <xf numFmtId="0" fontId="142" fillId="12" borderId="10" applyNumberFormat="0" applyBorder="0" applyAlignment="0"/>
    <xf numFmtId="0" fontId="7" fillId="42" borderId="0" applyBorder="0" applyAlignment="0" applyProtection="0"/>
    <xf numFmtId="312" fontId="257" fillId="0" borderId="0" applyFont="0" applyFill="0" applyBorder="0" applyAlignment="0" applyProtection="0">
      <alignment horizontal="left"/>
    </xf>
    <xf numFmtId="0" fontId="258" fillId="0" borderId="0"/>
    <xf numFmtId="0" fontId="259" fillId="0" borderId="0"/>
    <xf numFmtId="0" fontId="21" fillId="0" borderId="0"/>
    <xf numFmtId="38" fontId="260" fillId="0" borderId="5" applyNumberFormat="0" applyFill="0" applyBorder="0" applyAlignment="0" applyProtection="0">
      <protection locked="0"/>
    </xf>
    <xf numFmtId="1" fontId="178" fillId="0" borderId="60" applyFont="0" applyFill="0" applyBorder="0" applyAlignment="0" applyProtection="0">
      <alignment horizontal="center"/>
    </xf>
    <xf numFmtId="313" fontId="178" fillId="0" borderId="0" applyFont="0" applyFill="0" applyBorder="0" applyAlignment="0" applyProtection="0">
      <protection locked="0"/>
    </xf>
    <xf numFmtId="314" fontId="178" fillId="0" borderId="70" applyFont="0" applyFill="0" applyBorder="0" applyAlignment="0" applyProtection="0">
      <protection locked="0"/>
    </xf>
    <xf numFmtId="173" fontId="23" fillId="0" borderId="0" applyFont="0" applyFill="0" applyBorder="0" applyAlignment="0" applyProtection="0"/>
    <xf numFmtId="0" fontId="178" fillId="0" borderId="0" applyFont="0" applyFill="0" applyBorder="0" applyAlignment="0" applyProtection="0">
      <protection locked="0"/>
    </xf>
    <xf numFmtId="0" fontId="178" fillId="0" borderId="0" applyFont="0" applyFill="0" applyBorder="0" applyAlignment="0" applyProtection="0">
      <protection locked="0"/>
    </xf>
    <xf numFmtId="239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239" fontId="261" fillId="0" borderId="0" applyFont="0" applyFill="0" applyBorder="0" applyAlignment="0" applyProtection="0"/>
    <xf numFmtId="173" fontId="261" fillId="0" borderId="0" applyFont="0" applyFill="0" applyBorder="0" applyAlignment="0" applyProtection="0"/>
    <xf numFmtId="0" fontId="23" fillId="0" borderId="0"/>
    <xf numFmtId="0" fontId="262" fillId="0" borderId="3"/>
    <xf numFmtId="239" fontId="263" fillId="0" borderId="0" applyFont="0" applyFill="0" applyBorder="0" applyAlignment="0" applyProtection="0"/>
    <xf numFmtId="0" fontId="263" fillId="0" borderId="0"/>
    <xf numFmtId="0" fontId="264" fillId="62" borderId="71">
      <alignment horizontal="center"/>
    </xf>
    <xf numFmtId="315" fontId="178" fillId="0" borderId="68" applyFill="0" applyBorder="0" applyAlignment="0" applyProtection="0">
      <protection locked="0"/>
    </xf>
    <xf numFmtId="1" fontId="178" fillId="0" borderId="60" applyNumberFormat="0" applyFill="0" applyBorder="0" applyAlignment="0" applyProtection="0">
      <alignment horizontal="center"/>
    </xf>
    <xf numFmtId="316" fontId="7" fillId="0" borderId="0" applyFont="0" applyFill="0" applyBorder="0" applyAlignment="0" applyProtection="0"/>
    <xf numFmtId="243" fontId="261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65" fillId="0" borderId="0" applyNumberFormat="0" applyFill="0" applyBorder="0" applyAlignment="0" applyProtection="0">
      <alignment vertical="top"/>
      <protection locked="0"/>
    </xf>
    <xf numFmtId="243" fontId="261" fillId="0" borderId="0" applyFont="0" applyFill="0" applyBorder="0" applyAlignment="0" applyProtection="0"/>
    <xf numFmtId="0" fontId="261" fillId="0" borderId="0" applyFont="0" applyFill="0" applyBorder="0" applyAlignment="0" applyProtection="0"/>
    <xf numFmtId="0" fontId="23" fillId="0" borderId="0">
      <alignment vertical="center"/>
    </xf>
    <xf numFmtId="0" fontId="267" fillId="0" borderId="0" applyNumberFormat="0" applyFill="0" applyBorder="0" applyAlignment="0" applyProtection="0"/>
    <xf numFmtId="0" fontId="4" fillId="0" borderId="0"/>
    <xf numFmtId="0" fontId="267" fillId="0" borderId="0" applyNumberFormat="0" applyFill="0" applyBorder="0" applyAlignment="0" applyProtection="0"/>
  </cellStyleXfs>
  <cellXfs count="2322">
    <xf numFmtId="0" fontId="0" fillId="0" borderId="0" xfId="0"/>
    <xf numFmtId="0" fontId="5" fillId="0" borderId="0" xfId="1" applyFont="1"/>
    <xf numFmtId="9" fontId="8" fillId="0" borderId="0" xfId="2" applyNumberFormat="1" applyFont="1" applyAlignment="1">
      <alignment vertical="center"/>
    </xf>
    <xf numFmtId="37" fontId="8" fillId="0" borderId="0" xfId="2" applyNumberFormat="1" applyFont="1"/>
    <xf numFmtId="0" fontId="8" fillId="0" borderId="0" xfId="2" applyFont="1"/>
    <xf numFmtId="0" fontId="8" fillId="0" borderId="0" xfId="1" applyFont="1"/>
    <xf numFmtId="165" fontId="8" fillId="0" borderId="2" xfId="3" applyNumberFormat="1" applyFont="1" applyFill="1" applyBorder="1" applyAlignment="1" applyProtection="1">
      <alignment horizontal="right"/>
      <protection locked="0"/>
    </xf>
    <xf numFmtId="165" fontId="8" fillId="0" borderId="4" xfId="3" applyNumberFormat="1" applyFont="1" applyFill="1" applyBorder="1" applyAlignment="1" applyProtection="1">
      <alignment horizontal="right"/>
      <protection locked="0"/>
    </xf>
    <xf numFmtId="165" fontId="8" fillId="0" borderId="0" xfId="3" applyNumberFormat="1" applyFont="1" applyFill="1" applyBorder="1" applyAlignment="1" applyProtection="1">
      <alignment horizontal="right"/>
      <protection locked="0"/>
    </xf>
    <xf numFmtId="0" fontId="10" fillId="2" borderId="9" xfId="2" applyFont="1" applyFill="1" applyBorder="1" applyAlignment="1">
      <alignment horizontal="center"/>
    </xf>
    <xf numFmtId="0" fontId="10" fillId="2" borderId="11" xfId="2" applyFont="1" applyFill="1" applyBorder="1" applyAlignment="1">
      <alignment horizontal="center"/>
    </xf>
    <xf numFmtId="0" fontId="10" fillId="2" borderId="9" xfId="2" applyFont="1" applyFill="1" applyBorder="1"/>
    <xf numFmtId="9" fontId="8" fillId="0" borderId="0" xfId="3" applyFont="1" applyFill="1" applyBorder="1"/>
    <xf numFmtId="0" fontId="8" fillId="0" borderId="7" xfId="2" applyFont="1" applyBorder="1"/>
    <xf numFmtId="167" fontId="10" fillId="2" borderId="9" xfId="2" applyNumberFormat="1" applyFont="1" applyFill="1" applyBorder="1"/>
    <xf numFmtId="167" fontId="10" fillId="2" borderId="11" xfId="2" applyNumberFormat="1" applyFont="1" applyFill="1" applyBorder="1"/>
    <xf numFmtId="164" fontId="8" fillId="0" borderId="7" xfId="2" applyNumberFormat="1" applyFont="1" applyBorder="1"/>
    <xf numFmtId="164" fontId="10" fillId="2" borderId="9" xfId="2" applyNumberFormat="1" applyFont="1" applyFill="1" applyBorder="1" applyAlignment="1">
      <alignment horizontal="right"/>
    </xf>
    <xf numFmtId="164" fontId="10" fillId="2" borderId="11" xfId="2" applyNumberFormat="1" applyFont="1" applyFill="1" applyBorder="1" applyAlignment="1">
      <alignment horizontal="right"/>
    </xf>
    <xf numFmtId="164" fontId="8" fillId="0" borderId="2" xfId="2" applyNumberFormat="1" applyFont="1" applyBorder="1" applyAlignment="1">
      <alignment horizontal="right"/>
    </xf>
    <xf numFmtId="164" fontId="8" fillId="0" borderId="4" xfId="2" applyNumberFormat="1" applyFont="1" applyBorder="1" applyAlignment="1">
      <alignment horizontal="right"/>
    </xf>
    <xf numFmtId="0" fontId="8" fillId="0" borderId="2" xfId="2" applyFont="1" applyBorder="1"/>
    <xf numFmtId="37" fontId="8" fillId="0" borderId="2" xfId="2" applyNumberFormat="1" applyFont="1" applyBorder="1"/>
    <xf numFmtId="37" fontId="8" fillId="0" borderId="4" xfId="2" applyNumberFormat="1" applyFont="1" applyBorder="1"/>
    <xf numFmtId="164" fontId="8" fillId="0" borderId="7" xfId="2" applyNumberFormat="1" applyFont="1" applyBorder="1" applyAlignment="1">
      <alignment horizontal="right"/>
    </xf>
    <xf numFmtId="1" fontId="8" fillId="0" borderId="7" xfId="1" applyNumberFormat="1" applyFont="1" applyBorder="1"/>
    <xf numFmtId="164" fontId="8" fillId="0" borderId="12" xfId="2" applyNumberFormat="1" applyFont="1" applyBorder="1"/>
    <xf numFmtId="164" fontId="8" fillId="0" borderId="13" xfId="2" applyNumberFormat="1" applyFont="1" applyBorder="1"/>
    <xf numFmtId="0" fontId="8" fillId="0" borderId="12" xfId="2" applyFont="1" applyBorder="1"/>
    <xf numFmtId="0" fontId="11" fillId="0" borderId="0" xfId="1" applyFont="1"/>
    <xf numFmtId="164" fontId="8" fillId="3" borderId="7" xfId="2" applyNumberFormat="1" applyFont="1" applyFill="1" applyBorder="1" applyAlignment="1">
      <alignment horizontal="right"/>
    </xf>
    <xf numFmtId="0" fontId="7" fillId="0" borderId="0" xfId="2"/>
    <xf numFmtId="49" fontId="14" fillId="0" borderId="0" xfId="2" applyNumberFormat="1" applyFont="1" applyAlignment="1">
      <alignment horizontal="center"/>
    </xf>
    <xf numFmtId="0" fontId="31" fillId="3" borderId="0" xfId="301" applyFont="1" applyFill="1" applyAlignment="1">
      <alignment horizontal="right" vertical="center"/>
    </xf>
    <xf numFmtId="0" fontId="31" fillId="3" borderId="0" xfId="13" applyFont="1" applyFill="1" applyAlignment="1">
      <alignment horizontal="right"/>
    </xf>
    <xf numFmtId="1" fontId="31" fillId="3" borderId="0" xfId="13" applyNumberFormat="1" applyFont="1" applyFill="1" applyAlignment="1">
      <alignment horizontal="right"/>
    </xf>
    <xf numFmtId="0" fontId="31" fillId="3" borderId="0" xfId="13" applyFont="1" applyFill="1"/>
    <xf numFmtId="0" fontId="32" fillId="3" borderId="0" xfId="13" applyFont="1" applyFill="1"/>
    <xf numFmtId="0" fontId="33" fillId="3" borderId="0" xfId="13" applyFont="1" applyFill="1"/>
    <xf numFmtId="0" fontId="31" fillId="3" borderId="0" xfId="13" applyFont="1" applyFill="1" applyAlignment="1">
      <alignment wrapText="1"/>
    </xf>
    <xf numFmtId="1" fontId="31" fillId="3" borderId="14" xfId="13" applyNumberFormat="1" applyFont="1" applyFill="1" applyBorder="1" applyAlignment="1">
      <alignment horizontal="right"/>
    </xf>
    <xf numFmtId="0" fontId="31" fillId="3" borderId="14" xfId="13" applyFont="1" applyFill="1" applyBorder="1" applyAlignment="1">
      <alignment horizontal="right"/>
    </xf>
    <xf numFmtId="0" fontId="31" fillId="3" borderId="14" xfId="13" applyFont="1" applyFill="1" applyBorder="1" applyAlignment="1">
      <alignment wrapText="1"/>
    </xf>
    <xf numFmtId="0" fontId="31" fillId="3" borderId="14" xfId="301" applyFont="1" applyFill="1" applyBorder="1" applyAlignment="1">
      <alignment horizontal="right" vertical="center" wrapText="1"/>
    </xf>
    <xf numFmtId="0" fontId="33" fillId="3" borderId="14" xfId="301" applyFont="1" applyFill="1" applyBorder="1" applyAlignment="1">
      <alignment horizontal="right" vertical="center" wrapText="1"/>
    </xf>
    <xf numFmtId="0" fontId="32" fillId="3" borderId="14" xfId="301" applyFont="1" applyFill="1" applyBorder="1" applyAlignment="1">
      <alignment horizontal="left" vertical="center" wrapText="1"/>
    </xf>
    <xf numFmtId="176" fontId="31" fillId="3" borderId="14" xfId="302" applyNumberFormat="1" applyFont="1" applyFill="1" applyBorder="1"/>
    <xf numFmtId="181" fontId="31" fillId="3" borderId="14" xfId="1" applyNumberFormat="1" applyFont="1" applyFill="1" applyBorder="1" applyAlignment="1">
      <alignment horizontal="left" vertical="top" wrapText="1"/>
    </xf>
    <xf numFmtId="0" fontId="33" fillId="3" borderId="0" xfId="13" applyFont="1" applyFill="1" applyAlignment="1">
      <alignment horizontal="right" vertical="center"/>
    </xf>
    <xf numFmtId="9" fontId="33" fillId="3" borderId="14" xfId="3" applyFont="1" applyFill="1" applyBorder="1" applyAlignment="1">
      <alignment horizontal="right" vertical="center"/>
    </xf>
    <xf numFmtId="168" fontId="33" fillId="3" borderId="14" xfId="3" applyNumberFormat="1" applyFont="1" applyFill="1" applyBorder="1" applyAlignment="1">
      <alignment horizontal="right" vertical="center"/>
    </xf>
    <xf numFmtId="182" fontId="33" fillId="3" borderId="14" xfId="1" applyNumberFormat="1" applyFont="1" applyFill="1" applyBorder="1" applyAlignment="1">
      <alignment horizontal="right" vertical="center" wrapText="1"/>
    </xf>
    <xf numFmtId="168" fontId="33" fillId="3" borderId="14" xfId="3" applyNumberFormat="1" applyFont="1" applyFill="1" applyBorder="1"/>
    <xf numFmtId="182" fontId="33" fillId="3" borderId="14" xfId="1" applyNumberFormat="1" applyFont="1" applyFill="1" applyBorder="1" applyAlignment="1">
      <alignment horizontal="right" vertical="top" wrapText="1"/>
    </xf>
    <xf numFmtId="10" fontId="33" fillId="3" borderId="14" xfId="3" applyNumberFormat="1" applyFont="1" applyFill="1" applyBorder="1"/>
    <xf numFmtId="0" fontId="34" fillId="3" borderId="0" xfId="13" applyFont="1" applyFill="1"/>
    <xf numFmtId="0" fontId="34" fillId="3" borderId="14" xfId="13" applyFont="1" applyFill="1" applyBorder="1" applyAlignment="1">
      <alignment wrapText="1"/>
    </xf>
    <xf numFmtId="168" fontId="34" fillId="3" borderId="14" xfId="301" applyNumberFormat="1" applyFont="1" applyFill="1" applyBorder="1" applyAlignment="1">
      <alignment horizontal="right" vertical="center"/>
    </xf>
    <xf numFmtId="0" fontId="34" fillId="3" borderId="14" xfId="301" applyFont="1" applyFill="1" applyBorder="1" applyAlignment="1">
      <alignment horizontal="left" vertical="center" wrapText="1"/>
    </xf>
    <xf numFmtId="9" fontId="34" fillId="3" borderId="14" xfId="3" applyFont="1" applyFill="1" applyBorder="1" applyAlignment="1">
      <alignment horizontal="right" vertical="center"/>
    </xf>
    <xf numFmtId="174" fontId="32" fillId="3" borderId="14" xfId="301" applyNumberFormat="1" applyFont="1" applyFill="1" applyBorder="1" applyAlignment="1">
      <alignment horizontal="right" vertical="center"/>
    </xf>
    <xf numFmtId="174" fontId="32" fillId="3" borderId="14" xfId="13" applyNumberFormat="1" applyFont="1" applyFill="1" applyBorder="1" applyAlignment="1">
      <alignment horizontal="right"/>
    </xf>
    <xf numFmtId="0" fontId="32" fillId="3" borderId="14" xfId="301" applyFont="1" applyFill="1" applyBorder="1" applyAlignment="1">
      <alignment vertical="center" wrapText="1"/>
    </xf>
    <xf numFmtId="2" fontId="31" fillId="3" borderId="0" xfId="13" applyNumberFormat="1" applyFont="1" applyFill="1" applyAlignment="1">
      <alignment horizontal="right"/>
    </xf>
    <xf numFmtId="0" fontId="31" fillId="3" borderId="0" xfId="301" applyFont="1" applyFill="1" applyAlignment="1">
      <alignment vertical="center" wrapText="1"/>
    </xf>
    <xf numFmtId="0" fontId="37" fillId="9" borderId="0" xfId="13" applyFont="1" applyFill="1" applyAlignment="1">
      <alignment wrapText="1"/>
    </xf>
    <xf numFmtId="164" fontId="4" fillId="0" borderId="0" xfId="1" applyNumberFormat="1"/>
    <xf numFmtId="0" fontId="4" fillId="0" borderId="0" xfId="1"/>
    <xf numFmtId="0" fontId="39" fillId="0" borderId="0" xfId="1" applyFont="1"/>
    <xf numFmtId="164" fontId="40" fillId="0" borderId="0" xfId="16" applyNumberFormat="1" applyFont="1"/>
    <xf numFmtId="164" fontId="7" fillId="0" borderId="0" xfId="16" applyNumberFormat="1"/>
    <xf numFmtId="0" fontId="7" fillId="0" borderId="0" xfId="16" applyAlignment="1">
      <alignment horizontal="left"/>
    </xf>
    <xf numFmtId="0" fontId="41" fillId="0" borderId="0" xfId="16" applyFont="1" applyAlignment="1">
      <alignment wrapText="1"/>
    </xf>
    <xf numFmtId="0" fontId="41" fillId="0" borderId="0" xfId="16" applyFont="1"/>
    <xf numFmtId="165" fontId="4" fillId="0" borderId="0" xfId="1" applyNumberFormat="1"/>
    <xf numFmtId="164" fontId="41" fillId="0" borderId="0" xfId="16" applyNumberFormat="1" applyFont="1" applyAlignment="1">
      <alignment wrapText="1"/>
    </xf>
    <xf numFmtId="187" fontId="44" fillId="0" borderId="0" xfId="16" applyNumberFormat="1" applyFont="1" applyAlignment="1">
      <alignment horizontal="right"/>
    </xf>
    <xf numFmtId="164" fontId="45" fillId="0" borderId="0" xfId="16" applyNumberFormat="1" applyFont="1"/>
    <xf numFmtId="164" fontId="41" fillId="0" borderId="0" xfId="16" applyNumberFormat="1" applyFont="1"/>
    <xf numFmtId="0" fontId="7" fillId="0" borderId="0" xfId="16"/>
    <xf numFmtId="164" fontId="46" fillId="12" borderId="0" xfId="16" applyNumberFormat="1" applyFont="1" applyFill="1" applyAlignment="1">
      <alignment wrapText="1"/>
    </xf>
    <xf numFmtId="164" fontId="48" fillId="0" borderId="0" xfId="16" applyNumberFormat="1" applyFont="1"/>
    <xf numFmtId="164" fontId="46" fillId="0" borderId="18" xfId="16" applyNumberFormat="1" applyFont="1" applyBorder="1"/>
    <xf numFmtId="164" fontId="39" fillId="0" borderId="0" xfId="1" applyNumberFormat="1" applyFont="1"/>
    <xf numFmtId="164" fontId="7" fillId="0" borderId="0" xfId="1" applyNumberFormat="1" applyFont="1"/>
    <xf numFmtId="164" fontId="14" fillId="0" borderId="0" xfId="1" applyNumberFormat="1" applyFont="1"/>
    <xf numFmtId="164" fontId="49" fillId="0" borderId="0" xfId="16" applyNumberFormat="1" applyFont="1"/>
    <xf numFmtId="164" fontId="46" fillId="0" borderId="0" xfId="1" applyNumberFormat="1" applyFont="1"/>
    <xf numFmtId="164" fontId="50" fillId="0" borderId="0" xfId="16" applyNumberFormat="1" applyFont="1"/>
    <xf numFmtId="164" fontId="46" fillId="0" borderId="0" xfId="16" applyNumberFormat="1" applyFont="1"/>
    <xf numFmtId="164" fontId="7" fillId="0" borderId="16" xfId="16" applyNumberFormat="1" applyBorder="1"/>
    <xf numFmtId="164" fontId="51" fillId="0" borderId="0" xfId="16" applyNumberFormat="1" applyFont="1"/>
    <xf numFmtId="164" fontId="7" fillId="0" borderId="0" xfId="16" applyNumberFormat="1" applyAlignment="1">
      <alignment horizontal="left" indent="1"/>
    </xf>
    <xf numFmtId="164" fontId="7" fillId="0" borderId="0" xfId="1" applyNumberFormat="1" applyFont="1" applyAlignment="1">
      <alignment horizontal="left" indent="1"/>
    </xf>
    <xf numFmtId="164" fontId="7" fillId="0" borderId="18" xfId="16" applyNumberFormat="1" applyBorder="1"/>
    <xf numFmtId="164" fontId="7" fillId="0" borderId="18" xfId="16" applyNumberFormat="1" applyBorder="1" applyAlignment="1">
      <alignment horizontal="left" indent="1"/>
    </xf>
    <xf numFmtId="0" fontId="16" fillId="0" borderId="0" xfId="10" applyFill="1" applyBorder="1" applyAlignment="1" applyProtection="1"/>
    <xf numFmtId="164" fontId="7" fillId="0" borderId="0" xfId="3" applyNumberFormat="1" applyFont="1" applyBorder="1"/>
    <xf numFmtId="0" fontId="7" fillId="0" borderId="0" xfId="276" applyNumberFormat="1" applyFont="1"/>
    <xf numFmtId="165" fontId="51" fillId="0" borderId="0" xfId="16" applyNumberFormat="1" applyFont="1"/>
    <xf numFmtId="165" fontId="40" fillId="0" borderId="0" xfId="16" applyNumberFormat="1" applyFont="1"/>
    <xf numFmtId="165" fontId="7" fillId="0" borderId="0" xfId="16" applyNumberFormat="1"/>
    <xf numFmtId="0" fontId="43" fillId="0" borderId="0" xfId="276" applyNumberFormat="1" applyFont="1"/>
    <xf numFmtId="164" fontId="42" fillId="0" borderId="0" xfId="16" applyNumberFormat="1" applyFont="1"/>
    <xf numFmtId="164" fontId="7" fillId="0" borderId="0" xfId="16" applyNumberFormat="1" applyAlignment="1">
      <alignment horizontal="left"/>
    </xf>
    <xf numFmtId="0" fontId="48" fillId="0" borderId="0" xfId="16" applyFont="1"/>
    <xf numFmtId="164" fontId="7" fillId="3" borderId="0" xfId="16" applyNumberFormat="1" applyFill="1"/>
    <xf numFmtId="164" fontId="7" fillId="0" borderId="0" xfId="1" applyNumberFormat="1" applyFont="1" applyAlignment="1">
      <alignment horizontal="left"/>
    </xf>
    <xf numFmtId="164" fontId="53" fillId="0" borderId="0" xfId="16" applyNumberFormat="1" applyFont="1"/>
    <xf numFmtId="164" fontId="46" fillId="0" borderId="0" xfId="16" applyNumberFormat="1" applyFont="1" applyAlignment="1">
      <alignment horizontal="right"/>
    </xf>
    <xf numFmtId="164" fontId="46" fillId="0" borderId="0" xfId="276" applyNumberFormat="1" applyFont="1"/>
    <xf numFmtId="164" fontId="7" fillId="0" borderId="0" xfId="276" applyNumberFormat="1" applyFont="1"/>
    <xf numFmtId="164" fontId="43" fillId="0" borderId="0" xfId="16" applyNumberFormat="1" applyFont="1"/>
    <xf numFmtId="37" fontId="7" fillId="0" borderId="0" xfId="16" applyNumberFormat="1"/>
    <xf numFmtId="37" fontId="41" fillId="0" borderId="0" xfId="16" applyNumberFormat="1" applyFont="1"/>
    <xf numFmtId="9" fontId="7" fillId="0" borderId="0" xfId="16" applyNumberFormat="1" applyAlignment="1">
      <alignment horizontal="left" indent="1"/>
    </xf>
    <xf numFmtId="9" fontId="41" fillId="0" borderId="0" xfId="16" applyNumberFormat="1" applyFont="1"/>
    <xf numFmtId="0" fontId="43" fillId="0" borderId="0" xfId="16" applyFont="1"/>
    <xf numFmtId="188" fontId="51" fillId="0" borderId="0" xfId="16" applyNumberFormat="1" applyFont="1" applyAlignment="1">
      <alignment horizontal="right"/>
    </xf>
    <xf numFmtId="0" fontId="7" fillId="0" borderId="0" xfId="1" applyFont="1" applyAlignment="1">
      <alignment horizontal="left"/>
    </xf>
    <xf numFmtId="166" fontId="51" fillId="0" borderId="0" xfId="16" applyNumberFormat="1" applyFont="1"/>
    <xf numFmtId="166" fontId="7" fillId="0" borderId="0" xfId="16" applyNumberFormat="1"/>
    <xf numFmtId="185" fontId="51" fillId="0" borderId="0" xfId="16" applyNumberFormat="1" applyFont="1"/>
    <xf numFmtId="185" fontId="7" fillId="0" borderId="0" xfId="16" applyNumberFormat="1"/>
    <xf numFmtId="0" fontId="46" fillId="0" borderId="0" xfId="276" applyNumberFormat="1" applyFont="1"/>
    <xf numFmtId="9" fontId="7" fillId="0" borderId="0" xfId="1" applyNumberFormat="1" applyFont="1"/>
    <xf numFmtId="189" fontId="4" fillId="0" borderId="0" xfId="1" applyNumberFormat="1" applyAlignment="1">
      <alignment horizontal="right"/>
    </xf>
    <xf numFmtId="0" fontId="7" fillId="0" borderId="0" xfId="16" applyAlignment="1">
      <alignment horizontal="left" indent="1"/>
    </xf>
    <xf numFmtId="0" fontId="46" fillId="0" borderId="0" xfId="16" applyFont="1"/>
    <xf numFmtId="0" fontId="7" fillId="0" borderId="0" xfId="1" applyFont="1"/>
    <xf numFmtId="167" fontId="4" fillId="0" borderId="0" xfId="1" applyNumberFormat="1"/>
    <xf numFmtId="167" fontId="7" fillId="0" borderId="0" xfId="16" applyNumberFormat="1"/>
    <xf numFmtId="167" fontId="41" fillId="0" borderId="0" xfId="16" applyNumberFormat="1" applyFont="1"/>
    <xf numFmtId="0" fontId="46" fillId="0" borderId="0" xfId="1" applyFont="1"/>
    <xf numFmtId="0" fontId="50" fillId="0" borderId="0" xfId="16" applyFont="1"/>
    <xf numFmtId="167" fontId="46" fillId="0" borderId="0" xfId="16" applyNumberFormat="1" applyFont="1"/>
    <xf numFmtId="165" fontId="7" fillId="0" borderId="0" xfId="3" applyNumberFormat="1" applyFont="1" applyFill="1" applyBorder="1"/>
    <xf numFmtId="190" fontId="7" fillId="0" borderId="0" xfId="16" applyNumberFormat="1" applyAlignment="1">
      <alignment horizontal="left" indent="1"/>
    </xf>
    <xf numFmtId="191" fontId="41" fillId="0" borderId="0" xfId="16" applyNumberFormat="1" applyFont="1"/>
    <xf numFmtId="179" fontId="51" fillId="0" borderId="0" xfId="16" applyNumberFormat="1" applyFont="1" applyAlignment="1">
      <alignment horizontal="right"/>
    </xf>
    <xf numFmtId="189" fontId="4" fillId="0" borderId="0" xfId="1" applyNumberFormat="1"/>
    <xf numFmtId="164" fontId="7" fillId="0" borderId="0" xfId="16" applyNumberFormat="1" applyAlignment="1">
      <alignment horizontal="right"/>
    </xf>
    <xf numFmtId="164" fontId="46" fillId="0" borderId="18" xfId="1" applyNumberFormat="1" applyFont="1" applyBorder="1"/>
    <xf numFmtId="164" fontId="7" fillId="0" borderId="0" xfId="3" applyNumberFormat="1" applyFont="1" applyFill="1" applyBorder="1"/>
    <xf numFmtId="0" fontId="7" fillId="0" borderId="0" xfId="1" applyFont="1" applyAlignment="1">
      <alignment horizontal="left" indent="1"/>
    </xf>
    <xf numFmtId="164" fontId="52" fillId="0" borderId="0" xfId="16" applyNumberFormat="1" applyFont="1" applyAlignment="1">
      <alignment horizontal="right"/>
    </xf>
    <xf numFmtId="0" fontId="47" fillId="0" borderId="0" xfId="16" applyFont="1"/>
    <xf numFmtId="191" fontId="7" fillId="0" borderId="0" xfId="3" applyNumberFormat="1" applyFont="1" applyFill="1" applyBorder="1"/>
    <xf numFmtId="0" fontId="7" fillId="0" borderId="0" xfId="16" applyAlignment="1">
      <alignment horizontal="left" indent="2"/>
    </xf>
    <xf numFmtId="0" fontId="14" fillId="0" borderId="0" xfId="1" applyFont="1"/>
    <xf numFmtId="0" fontId="50" fillId="0" borderId="0" xfId="16" applyFont="1" applyAlignment="1">
      <alignment wrapText="1"/>
    </xf>
    <xf numFmtId="190" fontId="7" fillId="0" borderId="0" xfId="16" applyNumberFormat="1" applyAlignment="1">
      <alignment horizontal="left" indent="2"/>
    </xf>
    <xf numFmtId="187" fontId="44" fillId="0" borderId="16" xfId="16" applyNumberFormat="1" applyFont="1" applyBorder="1" applyAlignment="1">
      <alignment horizontal="right"/>
    </xf>
    <xf numFmtId="0" fontId="46" fillId="0" borderId="16" xfId="16" applyFont="1" applyBorder="1"/>
    <xf numFmtId="187" fontId="46" fillId="0" borderId="0" xfId="16" applyNumberFormat="1" applyFont="1" applyAlignment="1">
      <alignment horizontal="right"/>
    </xf>
    <xf numFmtId="179" fontId="54" fillId="0" borderId="0" xfId="1" applyNumberFormat="1" applyFont="1"/>
    <xf numFmtId="181" fontId="4" fillId="0" borderId="0" xfId="1" applyNumberFormat="1" applyAlignment="1">
      <alignment vertical="center"/>
    </xf>
    <xf numFmtId="181" fontId="23" fillId="0" borderId="0" xfId="1" applyNumberFormat="1" applyFont="1" applyAlignment="1">
      <alignment vertical="center"/>
    </xf>
    <xf numFmtId="178" fontId="4" fillId="0" borderId="0" xfId="1" applyNumberFormat="1" applyAlignment="1">
      <alignment vertical="center"/>
    </xf>
    <xf numFmtId="0" fontId="7" fillId="0" borderId="0" xfId="1" applyFont="1" applyAlignment="1">
      <alignment vertical="center"/>
    </xf>
    <xf numFmtId="0" fontId="58" fillId="0" borderId="0" xfId="1" applyFont="1" applyAlignment="1">
      <alignment vertical="center"/>
    </xf>
    <xf numFmtId="192" fontId="58" fillId="0" borderId="0" xfId="1" applyNumberFormat="1" applyFont="1" applyAlignment="1">
      <alignment vertical="center"/>
    </xf>
    <xf numFmtId="181" fontId="59" fillId="0" borderId="19" xfId="1" applyNumberFormat="1" applyFont="1" applyBorder="1" applyAlignment="1">
      <alignment horizontal="center" vertical="center"/>
    </xf>
    <xf numFmtId="181" fontId="59" fillId="0" borderId="19" xfId="1" applyNumberFormat="1" applyFont="1" applyBorder="1" applyAlignment="1">
      <alignment horizontal="right" vertical="center"/>
    </xf>
    <xf numFmtId="181" fontId="59" fillId="0" borderId="0" xfId="1" applyNumberFormat="1" applyFont="1" applyAlignment="1">
      <alignment horizontal="right" vertical="center"/>
    </xf>
    <xf numFmtId="181" fontId="21" fillId="0" borderId="0" xfId="1" applyNumberFormat="1" applyFont="1" applyAlignment="1">
      <alignment vertical="center"/>
    </xf>
    <xf numFmtId="181" fontId="60" fillId="0" borderId="0" xfId="1" applyNumberFormat="1" applyFont="1" applyAlignment="1">
      <alignment vertical="center"/>
    </xf>
    <xf numFmtId="181" fontId="36" fillId="0" borderId="0" xfId="1" applyNumberFormat="1" applyFont="1" applyAlignment="1">
      <alignment vertical="center"/>
    </xf>
    <xf numFmtId="181" fontId="21" fillId="3" borderId="0" xfId="1" applyNumberFormat="1" applyFont="1" applyFill="1" applyAlignment="1">
      <alignment vertical="center"/>
    </xf>
    <xf numFmtId="181" fontId="62" fillId="0" borderId="0" xfId="1" applyNumberFormat="1" applyFont="1" applyAlignment="1">
      <alignment vertical="center"/>
    </xf>
    <xf numFmtId="181" fontId="63" fillId="0" borderId="0" xfId="1" applyNumberFormat="1" applyFont="1" applyAlignment="1">
      <alignment vertical="center"/>
    </xf>
    <xf numFmtId="181" fontId="61" fillId="0" borderId="19" xfId="1" applyNumberFormat="1" applyFont="1" applyBorder="1" applyAlignment="1">
      <alignment horizontal="center" vertical="center"/>
    </xf>
    <xf numFmtId="181" fontId="64" fillId="0" borderId="19" xfId="1" applyNumberFormat="1" applyFont="1" applyBorder="1" applyAlignment="1">
      <alignment horizontal="center" vertical="center"/>
    </xf>
    <xf numFmtId="181" fontId="59" fillId="0" borderId="0" xfId="1" applyNumberFormat="1" applyFont="1" applyAlignment="1">
      <alignment horizontal="center" vertical="center"/>
    </xf>
    <xf numFmtId="0" fontId="7" fillId="0" borderId="0" xfId="1" applyFont="1" applyProtection="1">
      <protection locked="0"/>
    </xf>
    <xf numFmtId="165" fontId="70" fillId="0" borderId="0" xfId="3" applyNumberFormat="1" applyFont="1" applyFill="1" applyBorder="1" applyAlignment="1" applyProtection="1">
      <alignment horizontal="right"/>
      <protection locked="0"/>
    </xf>
    <xf numFmtId="166" fontId="70" fillId="0" borderId="0" xfId="3" applyNumberFormat="1" applyFont="1" applyFill="1" applyBorder="1" applyAlignment="1" applyProtection="1">
      <alignment horizontal="right"/>
      <protection locked="0"/>
    </xf>
    <xf numFmtId="0" fontId="46" fillId="0" borderId="0" xfId="1" applyFont="1" applyProtection="1">
      <protection locked="0"/>
    </xf>
    <xf numFmtId="172" fontId="46" fillId="0" borderId="0" xfId="1" applyNumberFormat="1" applyFont="1" applyAlignment="1" applyProtection="1">
      <alignment horizontal="left"/>
      <protection locked="0"/>
    </xf>
    <xf numFmtId="0" fontId="4" fillId="0" borderId="0" xfId="2" applyFont="1"/>
    <xf numFmtId="0" fontId="39" fillId="0" borderId="0" xfId="2" applyFont="1"/>
    <xf numFmtId="196" fontId="4" fillId="0" borderId="0" xfId="2" applyNumberFormat="1" applyFont="1"/>
    <xf numFmtId="197" fontId="4" fillId="0" borderId="0" xfId="2" applyNumberFormat="1" applyFont="1"/>
    <xf numFmtId="0" fontId="73" fillId="0" borderId="0" xfId="2" applyFont="1"/>
    <xf numFmtId="0" fontId="74" fillId="0" borderId="0" xfId="2" applyFont="1"/>
    <xf numFmtId="10" fontId="73" fillId="0" borderId="0" xfId="2" applyNumberFormat="1" applyFont="1"/>
    <xf numFmtId="171" fontId="7" fillId="0" borderId="17" xfId="313" applyNumberFormat="1" applyFont="1" applyFill="1" applyBorder="1" applyAlignment="1">
      <alignment horizontal="center" vertical="center"/>
    </xf>
    <xf numFmtId="0" fontId="52" fillId="0" borderId="0" xfId="2" applyFont="1"/>
    <xf numFmtId="171" fontId="46" fillId="0" borderId="17" xfId="313" applyNumberFormat="1" applyFont="1" applyFill="1" applyBorder="1" applyAlignment="1">
      <alignment horizontal="center" vertical="center"/>
    </xf>
    <xf numFmtId="164" fontId="4" fillId="0" borderId="0" xfId="2" applyNumberFormat="1" applyFont="1"/>
    <xf numFmtId="164" fontId="0" fillId="0" borderId="0" xfId="2" applyNumberFormat="1" applyFont="1"/>
    <xf numFmtId="0" fontId="41" fillId="0" borderId="0" xfId="2" applyFont="1"/>
    <xf numFmtId="164" fontId="7" fillId="0" borderId="0" xfId="2" applyNumberFormat="1"/>
    <xf numFmtId="0" fontId="0" fillId="0" borderId="0" xfId="2" applyFont="1"/>
    <xf numFmtId="164" fontId="7" fillId="0" borderId="16" xfId="2" applyNumberFormat="1" applyBorder="1"/>
    <xf numFmtId="0" fontId="7" fillId="0" borderId="21" xfId="2" applyBorder="1"/>
    <xf numFmtId="0" fontId="7" fillId="0" borderId="5" xfId="1" applyFont="1" applyBorder="1"/>
    <xf numFmtId="0" fontId="46" fillId="13" borderId="23" xfId="1" applyFont="1" applyFill="1" applyBorder="1"/>
    <xf numFmtId="164" fontId="46" fillId="13" borderId="18" xfId="1" applyNumberFormat="1" applyFont="1" applyFill="1" applyBorder="1" applyAlignment="1">
      <alignment horizontal="center"/>
    </xf>
    <xf numFmtId="164" fontId="7" fillId="13" borderId="18" xfId="1" applyNumberFormat="1" applyFont="1" applyFill="1" applyBorder="1"/>
    <xf numFmtId="164" fontId="14" fillId="0" borderId="16" xfId="1" applyNumberFormat="1" applyFont="1" applyBorder="1"/>
    <xf numFmtId="0" fontId="14" fillId="0" borderId="21" xfId="1" applyFont="1" applyBorder="1"/>
    <xf numFmtId="165" fontId="4" fillId="0" borderId="0" xfId="2" applyNumberFormat="1" applyFont="1"/>
    <xf numFmtId="165" fontId="7" fillId="0" borderId="3" xfId="2" applyNumberFormat="1" applyBorder="1"/>
    <xf numFmtId="165" fontId="7" fillId="0" borderId="0" xfId="2" applyNumberFormat="1"/>
    <xf numFmtId="199" fontId="76" fillId="0" borderId="5" xfId="2" applyNumberFormat="1" applyFont="1" applyBorder="1"/>
    <xf numFmtId="164" fontId="46" fillId="0" borderId="9" xfId="2" applyNumberFormat="1" applyFont="1" applyBorder="1"/>
    <xf numFmtId="0" fontId="46" fillId="0" borderId="10" xfId="2" applyFont="1" applyBorder="1"/>
    <xf numFmtId="164" fontId="7" fillId="0" borderId="1" xfId="2" applyNumberFormat="1" applyBorder="1"/>
    <xf numFmtId="164" fontId="7" fillId="0" borderId="3" xfId="2" applyNumberFormat="1" applyBorder="1"/>
    <xf numFmtId="0" fontId="7" fillId="0" borderId="5" xfId="2" quotePrefix="1" applyBorder="1"/>
    <xf numFmtId="0" fontId="41" fillId="0" borderId="0" xfId="276" applyNumberFormat="1" applyFont="1"/>
    <xf numFmtId="9" fontId="41" fillId="0" borderId="0" xfId="2" applyNumberFormat="1" applyFont="1"/>
    <xf numFmtId="164" fontId="7" fillId="0" borderId="18" xfId="2" applyNumberFormat="1" applyBorder="1"/>
    <xf numFmtId="0" fontId="7" fillId="0" borderId="23" xfId="2" applyBorder="1"/>
    <xf numFmtId="0" fontId="4" fillId="0" borderId="16" xfId="2" applyFont="1" applyBorder="1"/>
    <xf numFmtId="166" fontId="7" fillId="0" borderId="16" xfId="2" applyNumberFormat="1" applyBorder="1"/>
    <xf numFmtId="0" fontId="4" fillId="0" borderId="3" xfId="2" applyFont="1" applyBorder="1"/>
    <xf numFmtId="186" fontId="7" fillId="0" borderId="3" xfId="2" applyNumberFormat="1" applyBorder="1"/>
    <xf numFmtId="0" fontId="4" fillId="0" borderId="5" xfId="2" applyFont="1" applyBorder="1"/>
    <xf numFmtId="166" fontId="7" fillId="0" borderId="18" xfId="2" applyNumberFormat="1" applyBorder="1"/>
    <xf numFmtId="0" fontId="46" fillId="0" borderId="0" xfId="2" applyFont="1"/>
    <xf numFmtId="164" fontId="46" fillId="0" borderId="3" xfId="2" applyNumberFormat="1" applyFont="1" applyBorder="1"/>
    <xf numFmtId="167" fontId="4" fillId="0" borderId="16" xfId="2" applyNumberFormat="1" applyFont="1" applyBorder="1"/>
    <xf numFmtId="168" fontId="7" fillId="0" borderId="0" xfId="2" applyNumberFormat="1"/>
    <xf numFmtId="0" fontId="4" fillId="0" borderId="3" xfId="1" applyBorder="1"/>
    <xf numFmtId="0" fontId="4" fillId="0" borderId="5" xfId="1" applyBorder="1"/>
    <xf numFmtId="0" fontId="4" fillId="0" borderId="1" xfId="1" applyBorder="1"/>
    <xf numFmtId="0" fontId="4" fillId="0" borderId="16" xfId="1" applyBorder="1"/>
    <xf numFmtId="0" fontId="7" fillId="0" borderId="5" xfId="2" applyBorder="1"/>
    <xf numFmtId="186" fontId="69" fillId="3" borderId="3" xfId="2" applyNumberFormat="1" applyFont="1" applyFill="1" applyBorder="1"/>
    <xf numFmtId="164" fontId="45" fillId="0" borderId="3" xfId="2" applyNumberFormat="1" applyFont="1" applyBorder="1"/>
    <xf numFmtId="0" fontId="44" fillId="0" borderId="0" xfId="2" applyFont="1" applyAlignment="1">
      <alignment horizontal="center"/>
    </xf>
    <xf numFmtId="164" fontId="7" fillId="0" borderId="0" xfId="2" applyNumberFormat="1" applyAlignment="1">
      <alignment horizontal="right"/>
    </xf>
    <xf numFmtId="0" fontId="7" fillId="0" borderId="0" xfId="2" applyAlignment="1">
      <alignment horizontal="right"/>
    </xf>
    <xf numFmtId="164" fontId="4" fillId="0" borderId="0" xfId="1" applyNumberFormat="1" applyAlignment="1">
      <alignment horizontal="right"/>
    </xf>
    <xf numFmtId="164" fontId="78" fillId="0" borderId="0" xfId="1" applyNumberFormat="1" applyFont="1" applyAlignment="1">
      <alignment horizontal="right"/>
    </xf>
    <xf numFmtId="164" fontId="79" fillId="0" borderId="0" xfId="1" applyNumberFormat="1" applyFont="1" applyAlignment="1">
      <alignment horizontal="right"/>
    </xf>
    <xf numFmtId="186" fontId="79" fillId="0" borderId="0" xfId="1" applyNumberFormat="1" applyFont="1" applyAlignment="1">
      <alignment horizontal="right"/>
    </xf>
    <xf numFmtId="37" fontId="13" fillId="0" borderId="0" xfId="2" applyNumberFormat="1" applyFont="1"/>
    <xf numFmtId="201" fontId="4" fillId="0" borderId="0" xfId="1" applyNumberFormat="1"/>
    <xf numFmtId="165" fontId="78" fillId="0" borderId="0" xfId="1" applyNumberFormat="1" applyFont="1" applyAlignment="1">
      <alignment horizontal="right"/>
    </xf>
    <xf numFmtId="165" fontId="7" fillId="0" borderId="0" xfId="2" applyNumberFormat="1" applyAlignment="1">
      <alignment horizontal="right"/>
    </xf>
    <xf numFmtId="186" fontId="7" fillId="0" borderId="0" xfId="2" applyNumberFormat="1" applyAlignment="1">
      <alignment horizontal="right"/>
    </xf>
    <xf numFmtId="14" fontId="39" fillId="0" borderId="0" xfId="2" applyNumberFormat="1" applyFont="1"/>
    <xf numFmtId="0" fontId="4" fillId="3" borderId="0" xfId="2" applyFont="1" applyFill="1"/>
    <xf numFmtId="186" fontId="7" fillId="0" borderId="0" xfId="2" applyNumberFormat="1"/>
    <xf numFmtId="167" fontId="7" fillId="0" borderId="0" xfId="2" applyNumberFormat="1" applyAlignment="1">
      <alignment horizontal="right"/>
    </xf>
    <xf numFmtId="180" fontId="7" fillId="0" borderId="0" xfId="2" applyNumberFormat="1"/>
    <xf numFmtId="180" fontId="7" fillId="0" borderId="0" xfId="2" applyNumberFormat="1" applyAlignment="1">
      <alignment horizontal="right"/>
    </xf>
    <xf numFmtId="180" fontId="70" fillId="0" borderId="0" xfId="3" applyNumberFormat="1" applyFont="1" applyFill="1" applyBorder="1" applyAlignment="1" applyProtection="1">
      <alignment horizontal="right"/>
      <protection locked="0"/>
    </xf>
    <xf numFmtId="186" fontId="70" fillId="0" borderId="0" xfId="3" applyNumberFormat="1" applyFont="1" applyFill="1" applyBorder="1" applyAlignment="1" applyProtection="1">
      <alignment horizontal="right"/>
      <protection locked="0"/>
    </xf>
    <xf numFmtId="0" fontId="81" fillId="0" borderId="0" xfId="2" applyFont="1" applyAlignment="1">
      <alignment horizontal="left"/>
    </xf>
    <xf numFmtId="9" fontId="7" fillId="0" borderId="0" xfId="2" applyNumberFormat="1"/>
    <xf numFmtId="37" fontId="7" fillId="0" borderId="0" xfId="2" applyNumberFormat="1"/>
    <xf numFmtId="165" fontId="70" fillId="0" borderId="2" xfId="3" applyNumberFormat="1" applyFont="1" applyFill="1" applyBorder="1" applyAlignment="1" applyProtection="1">
      <alignment horizontal="right"/>
      <protection locked="0"/>
    </xf>
    <xf numFmtId="9" fontId="7" fillId="0" borderId="2" xfId="2" applyNumberFormat="1" applyBorder="1"/>
    <xf numFmtId="9" fontId="81" fillId="0" borderId="0" xfId="2" applyNumberFormat="1" applyFont="1" applyAlignment="1">
      <alignment horizontal="left"/>
    </xf>
    <xf numFmtId="9" fontId="4" fillId="0" borderId="0" xfId="2" applyNumberFormat="1" applyFont="1" applyAlignment="1">
      <alignment horizontal="left"/>
    </xf>
    <xf numFmtId="0" fontId="4" fillId="0" borderId="0" xfId="2" applyFont="1" applyAlignment="1">
      <alignment horizontal="left"/>
    </xf>
    <xf numFmtId="167" fontId="14" fillId="2" borderId="9" xfId="2" applyNumberFormat="1" applyFont="1" applyFill="1" applyBorder="1"/>
    <xf numFmtId="164" fontId="14" fillId="2" borderId="9" xfId="2" applyNumberFormat="1" applyFont="1" applyFill="1" applyBorder="1"/>
    <xf numFmtId="0" fontId="14" fillId="2" borderId="9" xfId="2" applyFont="1" applyFill="1" applyBorder="1"/>
    <xf numFmtId="164" fontId="7" fillId="0" borderId="2" xfId="2" applyNumberFormat="1" applyBorder="1" applyAlignment="1">
      <alignment horizontal="right"/>
    </xf>
    <xf numFmtId="0" fontId="7" fillId="0" borderId="2" xfId="2" applyBorder="1"/>
    <xf numFmtId="37" fontId="7" fillId="0" borderId="2" xfId="2" applyNumberFormat="1" applyBorder="1"/>
    <xf numFmtId="0" fontId="4" fillId="0" borderId="2" xfId="2" applyFont="1" applyBorder="1"/>
    <xf numFmtId="0" fontId="4" fillId="8" borderId="0" xfId="2" applyFont="1" applyFill="1" applyAlignment="1">
      <alignment horizontal="left"/>
    </xf>
    <xf numFmtId="164" fontId="7" fillId="3" borderId="0" xfId="2" applyNumberFormat="1" applyFill="1" applyAlignment="1">
      <alignment horizontal="right"/>
    </xf>
    <xf numFmtId="37" fontId="4" fillId="0" borderId="0" xfId="2" applyNumberFormat="1" applyFont="1" applyAlignment="1">
      <alignment horizontal="left"/>
    </xf>
    <xf numFmtId="0" fontId="81" fillId="0" borderId="0" xfId="1" applyFont="1" applyAlignment="1">
      <alignment horizontal="left"/>
    </xf>
    <xf numFmtId="0" fontId="14" fillId="0" borderId="0" xfId="2" applyFont="1"/>
    <xf numFmtId="0" fontId="83" fillId="0" borderId="0" xfId="11" applyFont="1" applyFill="1" applyBorder="1" applyAlignment="1" applyProtection="1"/>
    <xf numFmtId="164" fontId="85" fillId="0" borderId="0" xfId="1" applyNumberFormat="1" applyFont="1"/>
    <xf numFmtId="204" fontId="85" fillId="0" borderId="0" xfId="1" applyNumberFormat="1" applyFont="1"/>
    <xf numFmtId="189" fontId="85" fillId="0" borderId="0" xfId="1" applyNumberFormat="1" applyFont="1"/>
    <xf numFmtId="204" fontId="14" fillId="0" borderId="0" xfId="1" applyNumberFormat="1" applyFont="1"/>
    <xf numFmtId="204" fontId="4" fillId="0" borderId="0" xfId="1" applyNumberFormat="1"/>
    <xf numFmtId="164" fontId="86" fillId="0" borderId="0" xfId="1" applyNumberFormat="1" applyFont="1"/>
    <xf numFmtId="164" fontId="79" fillId="0" borderId="0" xfId="1" applyNumberFormat="1" applyFont="1"/>
    <xf numFmtId="164" fontId="87" fillId="0" borderId="0" xfId="1" applyNumberFormat="1" applyFont="1"/>
    <xf numFmtId="164" fontId="14" fillId="0" borderId="18" xfId="1" applyNumberFormat="1" applyFont="1" applyBorder="1"/>
    <xf numFmtId="0" fontId="14" fillId="0" borderId="18" xfId="1" applyFont="1" applyBorder="1"/>
    <xf numFmtId="164" fontId="88" fillId="0" borderId="0" xfId="1" applyNumberFormat="1" applyFont="1"/>
    <xf numFmtId="164" fontId="86" fillId="0" borderId="18" xfId="1" applyNumberFormat="1" applyFont="1" applyBorder="1"/>
    <xf numFmtId="0" fontId="90" fillId="0" borderId="0" xfId="1" applyFont="1"/>
    <xf numFmtId="0" fontId="54" fillId="0" borderId="0" xfId="1" applyFont="1"/>
    <xf numFmtId="204" fontId="79" fillId="0" borderId="0" xfId="1" applyNumberFormat="1" applyFont="1"/>
    <xf numFmtId="164" fontId="82" fillId="0" borderId="0" xfId="1" applyNumberFormat="1" applyFont="1" applyAlignment="1">
      <alignment horizontal="right"/>
    </xf>
    <xf numFmtId="189" fontId="91" fillId="0" borderId="0" xfId="1" applyNumberFormat="1" applyFont="1"/>
    <xf numFmtId="164" fontId="92" fillId="0" borderId="0" xfId="1" applyNumberFormat="1" applyFont="1"/>
    <xf numFmtId="181" fontId="21" fillId="0" borderId="0" xfId="314" applyNumberFormat="1" applyFont="1">
      <alignment vertical="center"/>
    </xf>
    <xf numFmtId="0" fontId="14" fillId="3" borderId="18" xfId="1" applyFont="1" applyFill="1" applyBorder="1"/>
    <xf numFmtId="189" fontId="4" fillId="3" borderId="0" xfId="1" applyNumberFormat="1" applyFill="1"/>
    <xf numFmtId="0" fontId="4" fillId="3" borderId="0" xfId="1" applyFill="1"/>
    <xf numFmtId="164" fontId="13" fillId="0" borderId="0" xfId="1" applyNumberFormat="1" applyFont="1"/>
    <xf numFmtId="164" fontId="13" fillId="3" borderId="0" xfId="1" applyNumberFormat="1" applyFont="1" applyFill="1"/>
    <xf numFmtId="167" fontId="87" fillId="0" borderId="0" xfId="1" applyNumberFormat="1" applyFont="1"/>
    <xf numFmtId="164" fontId="93" fillId="0" borderId="18" xfId="1" applyNumberFormat="1" applyFont="1" applyBorder="1"/>
    <xf numFmtId="164" fontId="87" fillId="3" borderId="0" xfId="1" applyNumberFormat="1" applyFont="1" applyFill="1"/>
    <xf numFmtId="164" fontId="86" fillId="3" borderId="0" xfId="1" applyNumberFormat="1" applyFont="1" applyFill="1"/>
    <xf numFmtId="37" fontId="4" fillId="0" borderId="0" xfId="1" applyNumberFormat="1"/>
    <xf numFmtId="0" fontId="31" fillId="3" borderId="0" xfId="13" applyFont="1" applyFill="1" applyAlignment="1">
      <alignment horizontal="left" wrapText="1" indent="1"/>
    </xf>
    <xf numFmtId="1" fontId="31" fillId="3" borderId="0" xfId="3" applyNumberFormat="1" applyFont="1" applyFill="1" applyBorder="1" applyAlignment="1">
      <alignment horizontal="right"/>
    </xf>
    <xf numFmtId="2" fontId="31" fillId="3" borderId="0" xfId="13" applyNumberFormat="1" applyFont="1" applyFill="1" applyAlignment="1">
      <alignment wrapText="1"/>
    </xf>
    <xf numFmtId="2" fontId="31" fillId="3" borderId="0" xfId="13" applyNumberFormat="1" applyFont="1" applyFill="1"/>
    <xf numFmtId="2" fontId="31" fillId="3" borderId="0" xfId="13" applyNumberFormat="1" applyFont="1" applyFill="1" applyAlignment="1">
      <alignment horizontal="left" wrapText="1" indent="1"/>
    </xf>
    <xf numFmtId="0" fontId="31" fillId="3" borderId="40" xfId="13" applyFont="1" applyFill="1" applyBorder="1" applyAlignment="1">
      <alignment wrapText="1"/>
    </xf>
    <xf numFmtId="0" fontId="31" fillId="3" borderId="40" xfId="13" applyFont="1" applyFill="1" applyBorder="1" applyAlignment="1">
      <alignment horizontal="right"/>
    </xf>
    <xf numFmtId="1" fontId="31" fillId="3" borderId="40" xfId="13" applyNumberFormat="1" applyFont="1" applyFill="1" applyBorder="1" applyAlignment="1">
      <alignment horizontal="right"/>
    </xf>
    <xf numFmtId="0" fontId="31" fillId="3" borderId="40" xfId="13" applyFont="1" applyFill="1" applyBorder="1" applyAlignment="1">
      <alignment horizontal="left" wrapText="1"/>
    </xf>
    <xf numFmtId="0" fontId="32" fillId="3" borderId="40" xfId="13" applyFont="1" applyFill="1" applyBorder="1" applyAlignment="1">
      <alignment wrapText="1"/>
    </xf>
    <xf numFmtId="0" fontId="32" fillId="3" borderId="40" xfId="13" applyFont="1" applyFill="1" applyBorder="1" applyAlignment="1">
      <alignment horizontal="right"/>
    </xf>
    <xf numFmtId="1" fontId="32" fillId="3" borderId="40" xfId="13" applyNumberFormat="1" applyFont="1" applyFill="1" applyBorder="1" applyAlignment="1">
      <alignment horizontal="right"/>
    </xf>
    <xf numFmtId="0" fontId="32" fillId="3" borderId="41" xfId="13" applyFont="1" applyFill="1" applyBorder="1" applyAlignment="1">
      <alignment horizontal="left" wrapText="1"/>
    </xf>
    <xf numFmtId="0" fontId="31" fillId="3" borderId="43" xfId="13" applyFont="1" applyFill="1" applyBorder="1" applyAlignment="1">
      <alignment wrapText="1"/>
    </xf>
    <xf numFmtId="0" fontId="31" fillId="3" borderId="43" xfId="13" applyFont="1" applyFill="1" applyBorder="1" applyAlignment="1">
      <alignment horizontal="right"/>
    </xf>
    <xf numFmtId="1" fontId="31" fillId="3" borderId="43" xfId="13" applyNumberFormat="1" applyFont="1" applyFill="1" applyBorder="1" applyAlignment="1">
      <alignment horizontal="right"/>
    </xf>
    <xf numFmtId="0" fontId="34" fillId="3" borderId="43" xfId="13" applyFont="1" applyFill="1" applyBorder="1" applyAlignment="1">
      <alignment wrapText="1"/>
    </xf>
    <xf numFmtId="0" fontId="34" fillId="3" borderId="43" xfId="13" applyFont="1" applyFill="1" applyBorder="1" applyAlignment="1">
      <alignment horizontal="right"/>
    </xf>
    <xf numFmtId="168" fontId="34" fillId="3" borderId="43" xfId="625" applyNumberFormat="1" applyFont="1" applyFill="1" applyBorder="1" applyAlignment="1">
      <alignment horizontal="right"/>
    </xf>
    <xf numFmtId="0" fontId="33" fillId="3" borderId="43" xfId="13" applyFont="1" applyFill="1" applyBorder="1" applyAlignment="1">
      <alignment wrapText="1"/>
    </xf>
    <xf numFmtId="0" fontId="33" fillId="3" borderId="43" xfId="13" applyFont="1" applyFill="1" applyBorder="1" applyAlignment="1">
      <alignment horizontal="right"/>
    </xf>
    <xf numFmtId="168" fontId="33" fillId="3" borderId="43" xfId="625" applyNumberFormat="1" applyFont="1" applyFill="1" applyBorder="1" applyAlignment="1">
      <alignment horizontal="right"/>
    </xf>
    <xf numFmtId="0" fontId="33" fillId="3" borderId="44" xfId="13" applyFont="1" applyFill="1" applyBorder="1" applyAlignment="1">
      <alignment wrapText="1"/>
    </xf>
    <xf numFmtId="0" fontId="33" fillId="3" borderId="44" xfId="13" applyFont="1" applyFill="1" applyBorder="1" applyAlignment="1">
      <alignment horizontal="right"/>
    </xf>
    <xf numFmtId="168" fontId="33" fillId="3" borderId="44" xfId="13" applyNumberFormat="1" applyFont="1" applyFill="1" applyBorder="1" applyAlignment="1">
      <alignment horizontal="right"/>
    </xf>
    <xf numFmtId="0" fontId="31" fillId="3" borderId="43" xfId="13" applyFont="1" applyFill="1" applyBorder="1" applyAlignment="1">
      <alignment horizontal="left" wrapText="1" indent="1"/>
    </xf>
    <xf numFmtId="0" fontId="33" fillId="3" borderId="43" xfId="13" applyFont="1" applyFill="1" applyBorder="1" applyAlignment="1">
      <alignment horizontal="left" wrapText="1" indent="1"/>
    </xf>
    <xf numFmtId="0" fontId="33" fillId="3" borderId="44" xfId="13" applyFont="1" applyFill="1" applyBorder="1" applyAlignment="1">
      <alignment horizontal="left" wrapText="1" indent="1"/>
    </xf>
    <xf numFmtId="0" fontId="31" fillId="3" borderId="14" xfId="13" applyFont="1" applyFill="1" applyBorder="1" applyAlignment="1">
      <alignment horizontal="left" wrapText="1" indent="1"/>
    </xf>
    <xf numFmtId="1" fontId="31" fillId="3" borderId="14" xfId="3" applyNumberFormat="1" applyFont="1" applyFill="1" applyBorder="1" applyAlignment="1">
      <alignment horizontal="right"/>
    </xf>
    <xf numFmtId="2" fontId="31" fillId="3" borderId="14" xfId="13" applyNumberFormat="1" applyFont="1" applyFill="1" applyBorder="1" applyAlignment="1">
      <alignment horizontal="left" wrapText="1" indent="1"/>
    </xf>
    <xf numFmtId="2" fontId="31" fillId="3" borderId="14" xfId="13" applyNumberFormat="1" applyFont="1" applyFill="1" applyBorder="1" applyAlignment="1">
      <alignment wrapText="1"/>
    </xf>
    <xf numFmtId="164" fontId="44" fillId="0" borderId="0" xfId="16" applyNumberFormat="1" applyFont="1"/>
    <xf numFmtId="235" fontId="31" fillId="3" borderId="43" xfId="632" applyNumberFormat="1" applyFont="1" applyFill="1" applyBorder="1" applyAlignment="1">
      <alignment horizontal="right"/>
    </xf>
    <xf numFmtId="0" fontId="33" fillId="3" borderId="40" xfId="13" applyFont="1" applyFill="1" applyBorder="1" applyAlignment="1">
      <alignment wrapText="1"/>
    </xf>
    <xf numFmtId="0" fontId="33" fillId="3" borderId="40" xfId="13" applyFont="1" applyFill="1" applyBorder="1" applyAlignment="1">
      <alignment horizontal="left" wrapText="1"/>
    </xf>
    <xf numFmtId="9" fontId="33" fillId="3" borderId="40" xfId="625" applyFont="1" applyFill="1" applyBorder="1" applyAlignment="1">
      <alignment horizontal="right"/>
    </xf>
    <xf numFmtId="9" fontId="33" fillId="3" borderId="43" xfId="625" applyFont="1" applyFill="1" applyBorder="1" applyAlignment="1">
      <alignment horizontal="right"/>
    </xf>
    <xf numFmtId="9" fontId="33" fillId="3" borderId="43" xfId="625" applyFont="1" applyFill="1" applyBorder="1" applyAlignment="1">
      <alignment wrapText="1"/>
    </xf>
    <xf numFmtId="9" fontId="33" fillId="3" borderId="0" xfId="625" applyFont="1" applyFill="1" applyBorder="1"/>
    <xf numFmtId="9" fontId="33" fillId="3" borderId="43" xfId="625" applyFont="1" applyFill="1" applyBorder="1" applyAlignment="1">
      <alignment horizontal="left" wrapText="1"/>
    </xf>
    <xf numFmtId="0" fontId="31" fillId="3" borderId="40" xfId="13" applyFont="1" applyFill="1" applyBorder="1" applyAlignment="1">
      <alignment horizontal="left" wrapText="1" indent="1"/>
    </xf>
    <xf numFmtId="1" fontId="33" fillId="3" borderId="40" xfId="13" applyNumberFormat="1" applyFont="1" applyFill="1" applyBorder="1" applyAlignment="1">
      <alignment horizontal="right"/>
    </xf>
    <xf numFmtId="174" fontId="31" fillId="3" borderId="14" xfId="301" applyNumberFormat="1" applyFont="1" applyFill="1" applyBorder="1" applyAlignment="1">
      <alignment horizontal="right" vertical="center"/>
    </xf>
    <xf numFmtId="174" fontId="31" fillId="3" borderId="0" xfId="13" applyNumberFormat="1" applyFont="1" applyFill="1"/>
    <xf numFmtId="9" fontId="33" fillId="3" borderId="0" xfId="625" applyFont="1" applyFill="1" applyBorder="1" applyAlignment="1">
      <alignment horizontal="right"/>
    </xf>
    <xf numFmtId="235" fontId="146" fillId="3" borderId="40" xfId="632" applyNumberFormat="1" applyFont="1" applyFill="1" applyBorder="1" applyAlignment="1">
      <alignment horizontal="right"/>
    </xf>
    <xf numFmtId="235" fontId="31" fillId="3" borderId="40" xfId="632" applyNumberFormat="1" applyFont="1" applyFill="1" applyBorder="1" applyAlignment="1">
      <alignment horizontal="right"/>
    </xf>
    <xf numFmtId="235" fontId="32" fillId="3" borderId="40" xfId="632" applyNumberFormat="1" applyFont="1" applyFill="1" applyBorder="1" applyAlignment="1">
      <alignment horizontal="right"/>
    </xf>
    <xf numFmtId="0" fontId="32" fillId="3" borderId="40" xfId="13" applyFont="1" applyFill="1" applyBorder="1" applyAlignment="1">
      <alignment horizontal="left" wrapText="1"/>
    </xf>
    <xf numFmtId="0" fontId="149" fillId="3" borderId="14" xfId="13" applyFont="1" applyFill="1" applyBorder="1" applyAlignment="1">
      <alignment horizontal="left" wrapText="1" indent="1"/>
    </xf>
    <xf numFmtId="0" fontId="33" fillId="3" borderId="14" xfId="13" applyFont="1" applyFill="1" applyBorder="1" applyAlignment="1">
      <alignment horizontal="left" wrapText="1"/>
    </xf>
    <xf numFmtId="9" fontId="33" fillId="3" borderId="14" xfId="625" applyFont="1" applyFill="1" applyBorder="1" applyAlignment="1">
      <alignment horizontal="right"/>
    </xf>
    <xf numFmtId="2" fontId="33" fillId="3" borderId="0" xfId="13" applyNumberFormat="1" applyFont="1" applyFill="1"/>
    <xf numFmtId="1" fontId="33" fillId="3" borderId="14" xfId="3" applyNumberFormat="1" applyFont="1" applyFill="1" applyBorder="1" applyAlignment="1">
      <alignment horizontal="right"/>
    </xf>
    <xf numFmtId="2" fontId="33" fillId="3" borderId="14" xfId="13" applyNumberFormat="1" applyFont="1" applyFill="1" applyBorder="1" applyAlignment="1">
      <alignment horizontal="left" wrapText="1"/>
    </xf>
    <xf numFmtId="2" fontId="33" fillId="3" borderId="14" xfId="13" applyNumberFormat="1" applyFont="1" applyFill="1" applyBorder="1" applyAlignment="1">
      <alignment wrapText="1"/>
    </xf>
    <xf numFmtId="0" fontId="31" fillId="3" borderId="14" xfId="13" applyFont="1" applyFill="1" applyBorder="1" applyAlignment="1">
      <alignment horizontal="left" wrapText="1"/>
    </xf>
    <xf numFmtId="2" fontId="31" fillId="3" borderId="14" xfId="13" applyNumberFormat="1" applyFont="1" applyFill="1" applyBorder="1" applyAlignment="1">
      <alignment horizontal="left" wrapText="1"/>
    </xf>
    <xf numFmtId="235" fontId="146" fillId="3" borderId="14" xfId="632" applyNumberFormat="1" applyFont="1" applyFill="1" applyBorder="1" applyAlignment="1">
      <alignment horizontal="right"/>
    </xf>
    <xf numFmtId="235" fontId="31" fillId="3" borderId="14" xfId="632" applyNumberFormat="1" applyFont="1" applyFill="1" applyBorder="1" applyAlignment="1">
      <alignment horizontal="right"/>
    </xf>
    <xf numFmtId="0" fontId="148" fillId="3" borderId="0" xfId="13" applyFont="1" applyFill="1" applyAlignment="1">
      <alignment horizontal="left" indent="1"/>
    </xf>
    <xf numFmtId="0" fontId="148" fillId="3" borderId="14" xfId="13" applyFont="1" applyFill="1" applyBorder="1" applyAlignment="1">
      <alignment horizontal="left" wrapText="1" indent="2"/>
    </xf>
    <xf numFmtId="0" fontId="148" fillId="3" borderId="14" xfId="13" applyFont="1" applyFill="1" applyBorder="1" applyAlignment="1">
      <alignment horizontal="left" indent="1"/>
    </xf>
    <xf numFmtId="0" fontId="148" fillId="3" borderId="14" xfId="13" applyFont="1" applyFill="1" applyBorder="1" applyAlignment="1">
      <alignment horizontal="left" wrapText="1" indent="1"/>
    </xf>
    <xf numFmtId="235" fontId="146" fillId="3" borderId="43" xfId="632" applyNumberFormat="1" applyFont="1" applyFill="1" applyBorder="1" applyAlignment="1">
      <alignment horizontal="right"/>
    </xf>
    <xf numFmtId="0" fontId="32" fillId="3" borderId="43" xfId="13" applyFont="1" applyFill="1" applyBorder="1" applyAlignment="1">
      <alignment wrapText="1"/>
    </xf>
    <xf numFmtId="2" fontId="148" fillId="3" borderId="14" xfId="13" applyNumberFormat="1" applyFont="1" applyFill="1" applyBorder="1" applyAlignment="1">
      <alignment horizontal="left" wrapText="1" indent="1"/>
    </xf>
    <xf numFmtId="0" fontId="33" fillId="3" borderId="14" xfId="13" applyFont="1" applyFill="1" applyBorder="1" applyAlignment="1">
      <alignment horizontal="left" wrapText="1" indent="1"/>
    </xf>
    <xf numFmtId="0" fontId="33" fillId="3" borderId="14" xfId="13" applyFont="1" applyFill="1" applyBorder="1" applyAlignment="1">
      <alignment horizontal="right"/>
    </xf>
    <xf numFmtId="2" fontId="33" fillId="3" borderId="14" xfId="13" applyNumberFormat="1" applyFont="1" applyFill="1" applyBorder="1" applyAlignment="1">
      <alignment horizontal="left" wrapText="1" indent="1"/>
    </xf>
    <xf numFmtId="0" fontId="33" fillId="3" borderId="14" xfId="13" applyFont="1" applyFill="1" applyBorder="1" applyAlignment="1">
      <alignment wrapText="1"/>
    </xf>
    <xf numFmtId="0" fontId="32" fillId="3" borderId="43" xfId="13" applyFont="1" applyFill="1" applyBorder="1" applyAlignment="1">
      <alignment horizontal="right"/>
    </xf>
    <xf numFmtId="168" fontId="31" fillId="3" borderId="43" xfId="625" applyNumberFormat="1" applyFont="1" applyFill="1" applyBorder="1" applyAlignment="1">
      <alignment horizontal="right"/>
    </xf>
    <xf numFmtId="168" fontId="31" fillId="3" borderId="43" xfId="13" applyNumberFormat="1" applyFont="1" applyFill="1" applyBorder="1" applyAlignment="1">
      <alignment horizontal="right"/>
    </xf>
    <xf numFmtId="235" fontId="32" fillId="3" borderId="14" xfId="632" applyNumberFormat="1" applyFont="1" applyFill="1" applyBorder="1" applyAlignment="1">
      <alignment horizontal="right"/>
    </xf>
    <xf numFmtId="235" fontId="32" fillId="3" borderId="14" xfId="632" applyNumberFormat="1" applyFont="1" applyFill="1" applyBorder="1" applyAlignment="1">
      <alignment horizontal="right" vertical="center"/>
    </xf>
    <xf numFmtId="235" fontId="31" fillId="3" borderId="14" xfId="632" applyNumberFormat="1" applyFont="1" applyFill="1" applyBorder="1" applyAlignment="1">
      <alignment horizontal="left" vertical="center" wrapText="1"/>
    </xf>
    <xf numFmtId="235" fontId="31" fillId="3" borderId="14" xfId="632" applyNumberFormat="1" applyFont="1" applyFill="1" applyBorder="1" applyAlignment="1">
      <alignment horizontal="left" vertical="top" wrapText="1"/>
    </xf>
    <xf numFmtId="235" fontId="31" fillId="3" borderId="14" xfId="632" applyNumberFormat="1" applyFont="1" applyFill="1" applyBorder="1"/>
    <xf numFmtId="235" fontId="31" fillId="3" borderId="0" xfId="632" applyNumberFormat="1" applyFont="1" applyFill="1" applyBorder="1"/>
    <xf numFmtId="235" fontId="32" fillId="3" borderId="14" xfId="632" applyNumberFormat="1" applyFont="1" applyFill="1" applyBorder="1" applyAlignment="1">
      <alignment horizontal="left" vertical="center" wrapText="1"/>
    </xf>
    <xf numFmtId="235" fontId="31" fillId="3" borderId="14" xfId="632" applyNumberFormat="1" applyFont="1" applyFill="1" applyBorder="1" applyAlignment="1">
      <alignment horizontal="right" vertical="center" wrapText="1"/>
    </xf>
    <xf numFmtId="235" fontId="32" fillId="3" borderId="14" xfId="632" applyNumberFormat="1" applyFont="1" applyFill="1" applyBorder="1" applyAlignment="1">
      <alignment horizontal="left" vertical="top" wrapText="1"/>
    </xf>
    <xf numFmtId="1" fontId="7" fillId="0" borderId="0" xfId="16" applyNumberFormat="1"/>
    <xf numFmtId="237" fontId="7" fillId="0" borderId="0" xfId="16" applyNumberFormat="1"/>
    <xf numFmtId="235" fontId="31" fillId="3" borderId="14" xfId="632" applyNumberFormat="1" applyFont="1" applyFill="1" applyBorder="1" applyAlignment="1">
      <alignment horizontal="right" vertical="center"/>
    </xf>
    <xf numFmtId="235" fontId="148" fillId="3" borderId="14" xfId="632" applyNumberFormat="1" applyFont="1" applyFill="1" applyBorder="1" applyAlignment="1">
      <alignment horizontal="left" vertical="center" indent="1"/>
    </xf>
    <xf numFmtId="168" fontId="46" fillId="0" borderId="0" xfId="3" applyNumberFormat="1" applyFont="1" applyBorder="1"/>
    <xf numFmtId="43" fontId="31" fillId="3" borderId="0" xfId="13" applyNumberFormat="1" applyFont="1" applyFill="1" applyAlignment="1">
      <alignment horizontal="right"/>
    </xf>
    <xf numFmtId="235" fontId="32" fillId="3" borderId="14" xfId="632" applyNumberFormat="1" applyFont="1" applyFill="1" applyBorder="1" applyAlignment="1">
      <alignment vertical="center"/>
    </xf>
    <xf numFmtId="235" fontId="32" fillId="3" borderId="0" xfId="632" applyNumberFormat="1" applyFont="1" applyFill="1" applyBorder="1" applyAlignment="1">
      <alignment vertical="center"/>
    </xf>
    <xf numFmtId="168" fontId="34" fillId="3" borderId="43" xfId="13" applyNumberFormat="1" applyFont="1" applyFill="1" applyBorder="1" applyAlignment="1">
      <alignment horizontal="right"/>
    </xf>
    <xf numFmtId="0" fontId="32" fillId="3" borderId="0" xfId="301" applyFont="1" applyFill="1" applyAlignment="1">
      <alignment vertical="center" wrapText="1"/>
    </xf>
    <xf numFmtId="0" fontId="32" fillId="3" borderId="0" xfId="13" applyFont="1" applyFill="1" applyAlignment="1">
      <alignment horizontal="right"/>
    </xf>
    <xf numFmtId="235" fontId="33" fillId="3" borderId="0" xfId="632" applyNumberFormat="1" applyFont="1" applyFill="1" applyBorder="1" applyAlignment="1">
      <alignment horizontal="right"/>
    </xf>
    <xf numFmtId="0" fontId="32" fillId="3" borderId="41" xfId="13" applyFont="1" applyFill="1" applyBorder="1" applyAlignment="1">
      <alignment horizontal="right"/>
    </xf>
    <xf numFmtId="9" fontId="7" fillId="0" borderId="0" xfId="625" applyFont="1" applyBorder="1"/>
    <xf numFmtId="235" fontId="145" fillId="3" borderId="40" xfId="632" applyNumberFormat="1" applyFont="1" applyFill="1" applyBorder="1" applyAlignment="1">
      <alignment horizontal="right"/>
    </xf>
    <xf numFmtId="2" fontId="146" fillId="3" borderId="40" xfId="13" applyNumberFormat="1" applyFont="1" applyFill="1" applyBorder="1" applyAlignment="1">
      <alignment horizontal="right"/>
    </xf>
    <xf numFmtId="2" fontId="31" fillId="3" borderId="40" xfId="13" applyNumberFormat="1" applyFont="1" applyFill="1" applyBorder="1" applyAlignment="1">
      <alignment horizontal="right"/>
    </xf>
    <xf numFmtId="181" fontId="59" fillId="0" borderId="0" xfId="634" applyNumberFormat="1" applyFont="1" applyAlignment="1">
      <alignment horizontal="center" vertical="center"/>
    </xf>
    <xf numFmtId="0" fontId="23" fillId="0" borderId="0" xfId="635">
      <alignment vertical="center"/>
    </xf>
    <xf numFmtId="181" fontId="59" fillId="0" borderId="0" xfId="635" applyNumberFormat="1" applyFont="1" applyAlignment="1">
      <alignment horizontal="center" vertical="center"/>
    </xf>
    <xf numFmtId="181" fontId="59" fillId="0" borderId="19" xfId="635" applyNumberFormat="1" applyFont="1" applyBorder="1" applyAlignment="1">
      <alignment horizontal="center" vertical="center"/>
    </xf>
    <xf numFmtId="0" fontId="7" fillId="0" borderId="0" xfId="636" applyFont="1">
      <alignment vertical="center"/>
    </xf>
    <xf numFmtId="0" fontId="7" fillId="0" borderId="0" xfId="637" applyFont="1">
      <alignment vertical="center"/>
    </xf>
    <xf numFmtId="235" fontId="148" fillId="3" borderId="14" xfId="632" applyNumberFormat="1" applyFont="1" applyFill="1" applyBorder="1" applyAlignment="1">
      <alignment horizontal="right"/>
    </xf>
    <xf numFmtId="235" fontId="31" fillId="3" borderId="14" xfId="632" applyNumberFormat="1" applyFont="1" applyFill="1" applyBorder="1" applyAlignment="1">
      <alignment vertical="center"/>
    </xf>
    <xf numFmtId="9" fontId="33" fillId="3" borderId="43" xfId="625" applyFont="1" applyFill="1" applyBorder="1" applyAlignment="1">
      <alignment horizontal="left" wrapText="1" indent="1"/>
    </xf>
    <xf numFmtId="0" fontId="31" fillId="3" borderId="0" xfId="13" applyFont="1" applyFill="1" applyAlignment="1">
      <alignment vertical="center"/>
    </xf>
    <xf numFmtId="195" fontId="31" fillId="3" borderId="43" xfId="632" applyNumberFormat="1" applyFont="1" applyFill="1" applyBorder="1" applyAlignment="1">
      <alignment horizontal="right"/>
    </xf>
    <xf numFmtId="168" fontId="7" fillId="0" borderId="0" xfId="625" applyNumberFormat="1" applyFont="1" applyBorder="1"/>
    <xf numFmtId="2" fontId="47" fillId="0" borderId="0" xfId="16" applyNumberFormat="1" applyFont="1" applyAlignment="1">
      <alignment horizontal="right"/>
    </xf>
    <xf numFmtId="168" fontId="34" fillId="3" borderId="14" xfId="3" applyNumberFormat="1" applyFont="1" applyFill="1" applyBorder="1" applyAlignment="1">
      <alignment horizontal="right" vertical="center"/>
    </xf>
    <xf numFmtId="0" fontId="150" fillId="0" borderId="45" xfId="0" applyFont="1" applyBorder="1" applyAlignment="1">
      <alignment horizontal="center"/>
    </xf>
    <xf numFmtId="2" fontId="31" fillId="3" borderId="41" xfId="13" applyNumberFormat="1" applyFont="1" applyFill="1" applyBorder="1" applyAlignment="1">
      <alignment horizontal="right"/>
    </xf>
    <xf numFmtId="235" fontId="146" fillId="0" borderId="43" xfId="632" applyNumberFormat="1" applyFont="1" applyFill="1" applyBorder="1" applyAlignment="1">
      <alignment horizontal="right"/>
    </xf>
    <xf numFmtId="190" fontId="7" fillId="0" borderId="0" xfId="16" applyNumberFormat="1"/>
    <xf numFmtId="189" fontId="4" fillId="0" borderId="0" xfId="1" applyNumberFormat="1" applyAlignment="1">
      <alignment horizontal="left"/>
    </xf>
    <xf numFmtId="0" fontId="7" fillId="3" borderId="0" xfId="638" applyFill="1" applyAlignment="1">
      <alignment horizontal="right"/>
    </xf>
    <xf numFmtId="0" fontId="7" fillId="3" borderId="0" xfId="638" applyFill="1"/>
    <xf numFmtId="0" fontId="7" fillId="0" borderId="0" xfId="639"/>
    <xf numFmtId="238" fontId="7" fillId="0" borderId="0" xfId="640" applyNumberFormat="1" applyFont="1" applyAlignment="1"/>
    <xf numFmtId="0" fontId="46" fillId="28" borderId="0" xfId="641" applyFont="1" applyFill="1"/>
    <xf numFmtId="1" fontId="46" fillId="28" borderId="0" xfId="642" applyNumberFormat="1" applyFont="1" applyFill="1" applyAlignment="1">
      <alignment horizontal="left"/>
    </xf>
    <xf numFmtId="0" fontId="46" fillId="28" borderId="0" xfId="641" applyFont="1" applyFill="1" applyAlignment="1">
      <alignment horizontal="right"/>
    </xf>
    <xf numFmtId="1" fontId="46" fillId="28" borderId="0" xfId="642" applyNumberFormat="1" applyFont="1" applyFill="1" applyAlignment="1">
      <alignment horizontal="right"/>
    </xf>
    <xf numFmtId="0" fontId="46" fillId="3" borderId="0" xfId="638" applyFont="1" applyFill="1"/>
    <xf numFmtId="3" fontId="7" fillId="3" borderId="0" xfId="638" applyNumberFormat="1" applyFill="1" applyAlignment="1">
      <alignment horizontal="right"/>
    </xf>
    <xf numFmtId="0" fontId="7" fillId="3" borderId="0" xfId="638" applyFill="1" applyAlignment="1">
      <alignment horizontal="left" indent="1"/>
    </xf>
    <xf numFmtId="9" fontId="7" fillId="3" borderId="0" xfId="643" applyFont="1" applyFill="1" applyAlignment="1">
      <alignment horizontal="left" indent="1"/>
    </xf>
    <xf numFmtId="9" fontId="7" fillId="3" borderId="0" xfId="643" applyFont="1" applyFill="1"/>
    <xf numFmtId="9" fontId="7" fillId="3" borderId="0" xfId="643" applyFont="1" applyFill="1" applyAlignment="1">
      <alignment horizontal="right"/>
    </xf>
    <xf numFmtId="0" fontId="7" fillId="0" borderId="0" xfId="637" applyFont="1" applyAlignment="1"/>
    <xf numFmtId="0" fontId="46" fillId="3" borderId="2" xfId="638" applyFont="1" applyFill="1" applyBorder="1" applyAlignment="1">
      <alignment horizontal="left" indent="2"/>
    </xf>
    <xf numFmtId="0" fontId="46" fillId="3" borderId="2" xfId="638" applyFont="1" applyFill="1" applyBorder="1"/>
    <xf numFmtId="3" fontId="46" fillId="3" borderId="2" xfId="638" applyNumberFormat="1" applyFont="1" applyFill="1" applyBorder="1" applyAlignment="1">
      <alignment horizontal="right"/>
    </xf>
    <xf numFmtId="0" fontId="51" fillId="3" borderId="0" xfId="638" applyFont="1" applyFill="1" applyAlignment="1">
      <alignment horizontal="left" indent="2"/>
    </xf>
    <xf numFmtId="0" fontId="51" fillId="3" borderId="0" xfId="638" applyFont="1" applyFill="1"/>
    <xf numFmtId="3" fontId="51" fillId="3" borderId="0" xfId="638" applyNumberFormat="1" applyFont="1" applyFill="1" applyAlignment="1">
      <alignment horizontal="right"/>
    </xf>
    <xf numFmtId="235" fontId="51" fillId="3" borderId="0" xfId="644" applyNumberFormat="1" applyFont="1" applyFill="1" applyAlignment="1">
      <alignment horizontal="left" indent="2"/>
    </xf>
    <xf numFmtId="235" fontId="51" fillId="3" borderId="0" xfId="644" applyNumberFormat="1" applyFont="1" applyFill="1"/>
    <xf numFmtId="235" fontId="7" fillId="3" borderId="0" xfId="644" applyNumberFormat="1" applyFont="1" applyFill="1" applyAlignment="1">
      <alignment horizontal="right"/>
    </xf>
    <xf numFmtId="235" fontId="7" fillId="3" borderId="0" xfId="644" applyNumberFormat="1" applyFont="1" applyFill="1"/>
    <xf numFmtId="195" fontId="7" fillId="29" borderId="0" xfId="644" applyNumberFormat="1" applyFont="1" applyFill="1" applyAlignment="1">
      <alignment horizontal="right"/>
    </xf>
    <xf numFmtId="235" fontId="7" fillId="29" borderId="0" xfId="644" applyNumberFormat="1" applyFont="1" applyFill="1" applyAlignment="1">
      <alignment horizontal="right"/>
    </xf>
    <xf numFmtId="0" fontId="46" fillId="3" borderId="0" xfId="638" applyFont="1" applyFill="1" applyAlignment="1">
      <alignment horizontal="left"/>
    </xf>
    <xf numFmtId="3" fontId="46" fillId="3" borderId="0" xfId="638" applyNumberFormat="1" applyFont="1" applyFill="1" applyAlignment="1">
      <alignment horizontal="right"/>
    </xf>
    <xf numFmtId="0" fontId="51" fillId="0" borderId="0" xfId="638" applyFont="1" applyAlignment="1">
      <alignment horizontal="left" indent="2"/>
    </xf>
    <xf numFmtId="0" fontId="51" fillId="0" borderId="0" xfId="638" applyFont="1"/>
    <xf numFmtId="200" fontId="51" fillId="3" borderId="0" xfId="638" applyNumberFormat="1" applyFont="1" applyFill="1" applyAlignment="1">
      <alignment horizontal="right"/>
    </xf>
    <xf numFmtId="200" fontId="46" fillId="3" borderId="2" xfId="638" applyNumberFormat="1" applyFont="1" applyFill="1" applyBorder="1" applyAlignment="1">
      <alignment horizontal="right"/>
    </xf>
    <xf numFmtId="200" fontId="46" fillId="29" borderId="2" xfId="638" applyNumberFormat="1" applyFont="1" applyFill="1" applyBorder="1" applyAlignment="1">
      <alignment horizontal="right"/>
    </xf>
    <xf numFmtId="168" fontId="46" fillId="3" borderId="2" xfId="638" applyNumberFormat="1" applyFont="1" applyFill="1" applyBorder="1" applyAlignment="1">
      <alignment horizontal="right"/>
    </xf>
    <xf numFmtId="168" fontId="51" fillId="0" borderId="0" xfId="645" applyNumberFormat="1" applyFont="1" applyFill="1" applyAlignment="1">
      <alignment horizontal="left" indent="2"/>
    </xf>
    <xf numFmtId="168" fontId="51" fillId="0" borderId="0" xfId="645" applyNumberFormat="1" applyFont="1" applyFill="1" applyAlignment="1"/>
    <xf numFmtId="168" fontId="7" fillId="3" borderId="0" xfId="645" applyNumberFormat="1" applyFont="1" applyFill="1" applyAlignment="1">
      <alignment horizontal="right"/>
    </xf>
    <xf numFmtId="168" fontId="7" fillId="3" borderId="0" xfId="645" applyNumberFormat="1" applyFont="1" applyFill="1" applyAlignment="1"/>
    <xf numFmtId="168" fontId="7" fillId="3" borderId="0" xfId="643" applyNumberFormat="1" applyFont="1" applyFill="1"/>
    <xf numFmtId="168" fontId="7" fillId="3" borderId="0" xfId="643" applyNumberFormat="1" applyFont="1" applyFill="1" applyAlignment="1">
      <alignment horizontal="right"/>
    </xf>
    <xf numFmtId="0" fontId="7" fillId="3" borderId="2" xfId="638" applyFill="1" applyBorder="1"/>
    <xf numFmtId="168" fontId="7" fillId="3" borderId="2" xfId="638" applyNumberFormat="1" applyFill="1" applyBorder="1" applyAlignment="1">
      <alignment horizontal="right"/>
    </xf>
    <xf numFmtId="239" fontId="7" fillId="3" borderId="2" xfId="638" applyNumberFormat="1" applyFill="1" applyBorder="1" applyAlignment="1">
      <alignment horizontal="right"/>
    </xf>
    <xf numFmtId="0" fontId="76" fillId="0" borderId="0" xfId="638" quotePrefix="1" applyFont="1"/>
    <xf numFmtId="235" fontId="7" fillId="3" borderId="0" xfId="642" applyNumberFormat="1" applyFont="1" applyFill="1" applyAlignment="1">
      <alignment horizontal="right"/>
    </xf>
    <xf numFmtId="235" fontId="7" fillId="3" borderId="2" xfId="642" applyNumberFormat="1" applyFont="1" applyFill="1" applyBorder="1" applyAlignment="1">
      <alignment horizontal="right"/>
    </xf>
    <xf numFmtId="3" fontId="7" fillId="3" borderId="0" xfId="642" applyNumberFormat="1" applyFont="1" applyFill="1" applyBorder="1" applyAlignment="1">
      <alignment horizontal="right"/>
    </xf>
    <xf numFmtId="240" fontId="7" fillId="3" borderId="0" xfId="640" applyNumberFormat="1" applyFont="1" applyFill="1" applyAlignment="1">
      <alignment horizontal="right"/>
    </xf>
    <xf numFmtId="0" fontId="7" fillId="7" borderId="0" xfId="638" applyFill="1"/>
    <xf numFmtId="240" fontId="7" fillId="7" borderId="16" xfId="640" applyNumberFormat="1" applyFont="1" applyFill="1" applyBorder="1" applyAlignment="1">
      <alignment horizontal="right"/>
    </xf>
    <xf numFmtId="0" fontId="46" fillId="7" borderId="9" xfId="638" applyFont="1" applyFill="1" applyBorder="1" applyAlignment="1">
      <alignment horizontal="left"/>
    </xf>
    <xf numFmtId="0" fontId="7" fillId="7" borderId="9" xfId="638" applyFill="1" applyBorder="1"/>
    <xf numFmtId="240" fontId="7" fillId="7" borderId="9" xfId="640" applyNumberFormat="1" applyFont="1" applyFill="1" applyBorder="1" applyAlignment="1">
      <alignment horizontal="right"/>
    </xf>
    <xf numFmtId="240" fontId="7" fillId="30" borderId="0" xfId="640" applyNumberFormat="1" applyFont="1" applyFill="1" applyAlignment="1">
      <alignment horizontal="right"/>
    </xf>
    <xf numFmtId="0" fontId="7" fillId="3" borderId="16" xfId="638" applyFill="1" applyBorder="1"/>
    <xf numFmtId="168" fontId="7" fillId="3" borderId="16" xfId="645" applyNumberFormat="1" applyFont="1" applyFill="1" applyBorder="1" applyAlignment="1">
      <alignment horizontal="right"/>
    </xf>
    <xf numFmtId="168" fontId="46" fillId="3" borderId="0" xfId="645" applyNumberFormat="1" applyFont="1" applyFill="1" applyAlignment="1"/>
    <xf numFmtId="168" fontId="46" fillId="3" borderId="0" xfId="645" applyNumberFormat="1" applyFont="1" applyFill="1" applyAlignment="1">
      <alignment horizontal="right"/>
    </xf>
    <xf numFmtId="0" fontId="7" fillId="11" borderId="0" xfId="637" applyFont="1" applyFill="1">
      <alignment vertical="center"/>
    </xf>
    <xf numFmtId="9" fontId="0" fillId="0" borderId="0" xfId="0" applyNumberFormat="1"/>
    <xf numFmtId="3" fontId="31" fillId="3" borderId="0" xfId="13" applyNumberFormat="1" applyFont="1" applyFill="1" applyAlignment="1">
      <alignment horizontal="right"/>
    </xf>
    <xf numFmtId="176" fontId="31" fillId="3" borderId="0" xfId="302" applyNumberFormat="1" applyFont="1" applyFill="1"/>
    <xf numFmtId="195" fontId="7" fillId="0" borderId="0" xfId="632" applyNumberFormat="1" applyFont="1" applyFill="1" applyBorder="1"/>
    <xf numFmtId="235" fontId="4" fillId="0" borderId="0" xfId="632" applyNumberFormat="1" applyFont="1" applyFill="1"/>
    <xf numFmtId="182" fontId="33" fillId="3" borderId="14" xfId="1" applyNumberFormat="1" applyFont="1" applyFill="1" applyBorder="1" applyAlignment="1">
      <alignment horizontal="left" vertical="center" wrapText="1"/>
    </xf>
    <xf numFmtId="182" fontId="4" fillId="0" borderId="0" xfId="1" applyNumberFormat="1" applyAlignment="1">
      <alignment vertical="center"/>
    </xf>
    <xf numFmtId="235" fontId="31" fillId="3" borderId="43" xfId="13" applyNumberFormat="1" applyFont="1" applyFill="1" applyBorder="1" applyAlignment="1">
      <alignment horizontal="right"/>
    </xf>
    <xf numFmtId="168" fontId="33" fillId="3" borderId="43" xfId="13" applyNumberFormat="1" applyFont="1" applyFill="1" applyBorder="1" applyAlignment="1">
      <alignment horizontal="right"/>
    </xf>
    <xf numFmtId="168" fontId="8" fillId="0" borderId="2" xfId="2" applyNumberFormat="1" applyFont="1" applyBorder="1" applyAlignment="1">
      <alignment horizontal="right"/>
    </xf>
    <xf numFmtId="168" fontId="31" fillId="3" borderId="0" xfId="625" applyNumberFormat="1" applyFont="1" applyFill="1" applyBorder="1" applyAlignment="1">
      <alignment horizontal="right"/>
    </xf>
    <xf numFmtId="43" fontId="146" fillId="3" borderId="43" xfId="632" applyFont="1" applyFill="1" applyBorder="1" applyAlignment="1">
      <alignment horizontal="right"/>
    </xf>
    <xf numFmtId="1" fontId="32" fillId="3" borderId="0" xfId="13" applyNumberFormat="1" applyFont="1" applyFill="1" applyAlignment="1">
      <alignment horizontal="right"/>
    </xf>
    <xf numFmtId="0" fontId="46" fillId="0" borderId="0" xfId="2" applyFont="1" applyAlignment="1">
      <alignment horizontal="center"/>
    </xf>
    <xf numFmtId="3" fontId="7" fillId="0" borderId="0" xfId="2" applyNumberFormat="1"/>
    <xf numFmtId="1" fontId="7" fillId="0" borderId="0" xfId="2" applyNumberFormat="1"/>
    <xf numFmtId="9" fontId="7" fillId="0" borderId="2" xfId="2" applyNumberFormat="1" applyBorder="1" applyAlignment="1">
      <alignment horizontal="right"/>
    </xf>
    <xf numFmtId="9" fontId="7" fillId="0" borderId="0" xfId="2" applyNumberFormat="1" applyAlignment="1">
      <alignment horizontal="right"/>
    </xf>
    <xf numFmtId="9" fontId="14" fillId="2" borderId="9" xfId="2" applyNumberFormat="1" applyFont="1" applyFill="1" applyBorder="1"/>
    <xf numFmtId="164" fontId="46" fillId="0" borderId="0" xfId="16" applyNumberFormat="1" applyFont="1" applyAlignment="1">
      <alignment horizontal="left"/>
    </xf>
    <xf numFmtId="164" fontId="10" fillId="0" borderId="0" xfId="2" applyNumberFormat="1" applyFont="1" applyAlignment="1">
      <alignment horizontal="right"/>
    </xf>
    <xf numFmtId="186" fontId="10" fillId="2" borderId="9" xfId="2" applyNumberFormat="1" applyFont="1" applyFill="1" applyBorder="1" applyAlignment="1">
      <alignment horizontal="right"/>
    </xf>
    <xf numFmtId="168" fontId="8" fillId="0" borderId="2" xfId="2" applyNumberFormat="1" applyFont="1" applyBorder="1"/>
    <xf numFmtId="43" fontId="73" fillId="0" borderId="0" xfId="632" applyFont="1" applyFill="1" applyBorder="1"/>
    <xf numFmtId="195" fontId="73" fillId="0" borderId="0" xfId="632" applyNumberFormat="1" applyFont="1" applyFill="1" applyBorder="1"/>
    <xf numFmtId="195" fontId="52" fillId="0" borderId="0" xfId="632" applyNumberFormat="1" applyFont="1" applyFill="1" applyBorder="1"/>
    <xf numFmtId="168" fontId="73" fillId="0" borderId="0" xfId="632" applyNumberFormat="1" applyFont="1" applyFill="1" applyBorder="1"/>
    <xf numFmtId="235" fontId="73" fillId="0" borderId="0" xfId="632" applyNumberFormat="1" applyFont="1" applyFill="1" applyBorder="1"/>
    <xf numFmtId="0" fontId="54" fillId="0" borderId="0" xfId="2" applyFont="1"/>
    <xf numFmtId="0" fontId="52" fillId="0" borderId="5" xfId="2" applyFont="1" applyBorder="1"/>
    <xf numFmtId="235" fontId="31" fillId="0" borderId="40" xfId="632" applyNumberFormat="1" applyFont="1" applyFill="1" applyBorder="1" applyAlignment="1">
      <alignment horizontal="right"/>
    </xf>
    <xf numFmtId="9" fontId="40" fillId="0" borderId="0" xfId="16" applyNumberFormat="1" applyFont="1"/>
    <xf numFmtId="0" fontId="2" fillId="0" borderId="0" xfId="0" applyFont="1"/>
    <xf numFmtId="0" fontId="46" fillId="0" borderId="0" xfId="0" applyFont="1" applyAlignment="1">
      <alignment horizontal="right" vertical="center"/>
    </xf>
    <xf numFmtId="0" fontId="46" fillId="0" borderId="0" xfId="0" applyFont="1" applyAlignment="1">
      <alignment vertical="center"/>
    </xf>
    <xf numFmtId="168" fontId="46" fillId="0" borderId="0" xfId="625" applyNumberFormat="1" applyFont="1" applyAlignment="1">
      <alignment vertical="center"/>
    </xf>
    <xf numFmtId="238" fontId="7" fillId="0" borderId="0" xfId="632" applyNumberFormat="1" applyFont="1" applyAlignment="1">
      <alignment horizontal="left" vertical="center"/>
    </xf>
    <xf numFmtId="238" fontId="7" fillId="0" borderId="0" xfId="632" applyNumberFormat="1" applyFont="1" applyAlignment="1">
      <alignment horizontal="right" vertical="center"/>
    </xf>
    <xf numFmtId="238" fontId="7" fillId="0" borderId="0" xfId="632" applyNumberFormat="1" applyFont="1" applyFill="1" applyBorder="1" applyAlignment="1">
      <alignment horizontal="right" vertical="center"/>
    </xf>
    <xf numFmtId="168" fontId="7" fillId="0" borderId="0" xfId="625" applyNumberFormat="1" applyFont="1" applyBorder="1" applyAlignment="1">
      <alignment vertical="center"/>
    </xf>
    <xf numFmtId="238" fontId="7" fillId="0" borderId="0" xfId="632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168" fontId="7" fillId="0" borderId="0" xfId="625" applyNumberFormat="1" applyFont="1" applyAlignment="1">
      <alignment vertical="center"/>
    </xf>
    <xf numFmtId="238" fontId="7" fillId="0" borderId="16" xfId="632" applyNumberFormat="1" applyFont="1" applyBorder="1" applyAlignment="1">
      <alignment horizontal="right" vertical="center"/>
    </xf>
    <xf numFmtId="168" fontId="7" fillId="0" borderId="16" xfId="625" applyNumberFormat="1" applyFont="1" applyBorder="1" applyAlignment="1">
      <alignment vertical="center"/>
    </xf>
    <xf numFmtId="238" fontId="46" fillId="0" borderId="0" xfId="632" applyNumberFormat="1" applyFont="1" applyAlignment="1">
      <alignment horizontal="right" vertical="center"/>
    </xf>
    <xf numFmtId="238" fontId="46" fillId="0" borderId="0" xfId="632" applyNumberFormat="1" applyFont="1" applyFill="1" applyBorder="1" applyAlignment="1">
      <alignment horizontal="right" vertical="center"/>
    </xf>
    <xf numFmtId="168" fontId="46" fillId="0" borderId="0" xfId="625" applyNumberFormat="1" applyFont="1" applyBorder="1" applyAlignment="1">
      <alignment vertical="center"/>
    </xf>
    <xf numFmtId="9" fontId="7" fillId="0" borderId="0" xfId="625" applyFont="1" applyAlignment="1">
      <alignment horizontal="right" vertical="center"/>
    </xf>
    <xf numFmtId="238" fontId="46" fillId="0" borderId="0" xfId="632" applyNumberFormat="1" applyFont="1" applyFill="1" applyAlignment="1">
      <alignment horizontal="right" vertical="center"/>
    </xf>
    <xf numFmtId="202" fontId="46" fillId="0" borderId="0" xfId="625" applyNumberFormat="1" applyFont="1" applyAlignment="1">
      <alignment vertical="center"/>
    </xf>
    <xf numFmtId="38" fontId="4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9" fontId="7" fillId="0" borderId="0" xfId="625" applyFont="1" applyFill="1" applyBorder="1" applyAlignment="1">
      <alignment horizontal="right" vertical="center"/>
    </xf>
    <xf numFmtId="9" fontId="7" fillId="0" borderId="0" xfId="625" applyFont="1" applyFill="1" applyBorder="1" applyAlignment="1">
      <alignment horizontal="left" vertical="center"/>
    </xf>
    <xf numFmtId="9" fontId="7" fillId="0" borderId="16" xfId="625" applyFont="1" applyBorder="1" applyAlignment="1">
      <alignment horizontal="right" vertical="center"/>
    </xf>
    <xf numFmtId="9" fontId="46" fillId="0" borderId="0" xfId="625" applyFont="1" applyAlignment="1">
      <alignment horizontal="right" vertical="center"/>
    </xf>
    <xf numFmtId="9" fontId="46" fillId="0" borderId="0" xfId="625" applyFont="1" applyFill="1" applyBorder="1" applyAlignment="1">
      <alignment horizontal="right" vertical="center"/>
    </xf>
    <xf numFmtId="9" fontId="46" fillId="0" borderId="0" xfId="625" applyFont="1" applyFill="1" applyBorder="1" applyAlignment="1">
      <alignment vertical="center"/>
    </xf>
    <xf numFmtId="9" fontId="7" fillId="0" borderId="0" xfId="625" applyFont="1" applyFill="1" applyBorder="1" applyAlignment="1">
      <alignment vertical="center"/>
    </xf>
    <xf numFmtId="168" fontId="7" fillId="0" borderId="0" xfId="625" applyNumberFormat="1" applyFont="1" applyFill="1" applyBorder="1" applyAlignment="1">
      <alignment vertical="center"/>
    </xf>
    <xf numFmtId="9" fontId="7" fillId="0" borderId="0" xfId="0" applyNumberFormat="1" applyFont="1" applyAlignment="1">
      <alignment vertical="center"/>
    </xf>
    <xf numFmtId="9" fontId="7" fillId="0" borderId="0" xfId="625" applyFont="1" applyAlignment="1">
      <alignment vertical="center"/>
    </xf>
    <xf numFmtId="9" fontId="46" fillId="0" borderId="0" xfId="0" applyNumberFormat="1" applyFont="1" applyAlignment="1">
      <alignment vertical="center"/>
    </xf>
    <xf numFmtId="168" fontId="7" fillId="0" borderId="0" xfId="625" applyNumberFormat="1" applyFont="1" applyAlignment="1">
      <alignment horizontal="right" vertical="center"/>
    </xf>
    <xf numFmtId="168" fontId="7" fillId="0" borderId="0" xfId="625" applyNumberFormat="1" applyFont="1" applyFill="1" applyBorder="1" applyAlignment="1">
      <alignment horizontal="right" vertical="center"/>
    </xf>
    <xf numFmtId="168" fontId="46" fillId="0" borderId="0" xfId="625" applyNumberFormat="1" applyFont="1" applyFill="1" applyBorder="1" applyAlignment="1">
      <alignment vertical="center"/>
    </xf>
    <xf numFmtId="9" fontId="7" fillId="0" borderId="0" xfId="0" applyNumberFormat="1" applyFont="1" applyAlignment="1">
      <alignment horizontal="right" vertical="center"/>
    </xf>
    <xf numFmtId="238" fontId="7" fillId="0" borderId="0" xfId="632" applyNumberFormat="1" applyFont="1" applyFill="1" applyAlignment="1">
      <alignment horizontal="left" vertical="center"/>
    </xf>
    <xf numFmtId="168" fontId="46" fillId="0" borderId="0" xfId="625" applyNumberFormat="1" applyFont="1" applyAlignment="1">
      <alignment horizontal="right" vertical="center"/>
    </xf>
    <xf numFmtId="168" fontId="46" fillId="0" borderId="0" xfId="625" applyNumberFormat="1" applyFont="1" applyFill="1" applyBorder="1" applyAlignment="1">
      <alignment horizontal="right" vertical="center"/>
    </xf>
    <xf numFmtId="9" fontId="46" fillId="0" borderId="0" xfId="0" applyNumberFormat="1" applyFont="1" applyAlignment="1">
      <alignment horizontal="right" vertical="center"/>
    </xf>
    <xf numFmtId="202" fontId="7" fillId="0" borderId="0" xfId="625" applyNumberFormat="1" applyFont="1" applyAlignment="1">
      <alignment vertical="center"/>
    </xf>
    <xf numFmtId="0" fontId="7" fillId="0" borderId="16" xfId="0" applyFont="1" applyBorder="1" applyAlignment="1">
      <alignment vertical="center"/>
    </xf>
    <xf numFmtId="202" fontId="7" fillId="0" borderId="16" xfId="625" applyNumberFormat="1" applyFont="1" applyBorder="1" applyAlignment="1">
      <alignment vertical="center"/>
    </xf>
    <xf numFmtId="37" fontId="46" fillId="0" borderId="18" xfId="0" applyNumberFormat="1" applyFont="1" applyBorder="1" applyAlignment="1">
      <alignment vertical="center"/>
    </xf>
    <xf numFmtId="37" fontId="46" fillId="0" borderId="0" xfId="0" applyNumberFormat="1" applyFont="1" applyAlignment="1">
      <alignment vertical="center"/>
    </xf>
    <xf numFmtId="37" fontId="7" fillId="0" borderId="0" xfId="632" applyNumberFormat="1" applyFont="1" applyAlignment="1">
      <alignment horizontal="right" vertical="center"/>
    </xf>
    <xf numFmtId="37" fontId="7" fillId="0" borderId="0" xfId="632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 indent="1"/>
    </xf>
    <xf numFmtId="37" fontId="7" fillId="0" borderId="0" xfId="0" applyNumberFormat="1" applyFont="1" applyAlignment="1">
      <alignment vertical="center"/>
    </xf>
    <xf numFmtId="0" fontId="7" fillId="0" borderId="16" xfId="0" applyFont="1" applyBorder="1" applyAlignment="1">
      <alignment horizontal="left" vertical="center" indent="1"/>
    </xf>
    <xf numFmtId="43" fontId="46" fillId="0" borderId="0" xfId="0" applyNumberFormat="1" applyFont="1" applyAlignment="1">
      <alignment vertical="center"/>
    </xf>
    <xf numFmtId="37" fontId="46" fillId="0" borderId="0" xfId="632" applyNumberFormat="1" applyFont="1" applyAlignment="1">
      <alignment horizontal="right" vertical="center"/>
    </xf>
    <xf numFmtId="37" fontId="46" fillId="0" borderId="0" xfId="632" applyNumberFormat="1" applyFont="1" applyFill="1" applyBorder="1" applyAlignment="1">
      <alignment horizontal="right" vertical="center"/>
    </xf>
    <xf numFmtId="238" fontId="7" fillId="0" borderId="0" xfId="632" applyNumberFormat="1" applyFont="1" applyBorder="1" applyAlignment="1">
      <alignment horizontal="right" vertical="center"/>
    </xf>
    <xf numFmtId="238" fontId="46" fillId="0" borderId="0" xfId="632" applyNumberFormat="1" applyFont="1" applyBorder="1" applyAlignment="1">
      <alignment horizontal="right" vertical="center"/>
    </xf>
    <xf numFmtId="1" fontId="7" fillId="0" borderId="0" xfId="0" applyNumberFormat="1" applyFont="1" applyAlignment="1">
      <alignment vertical="center"/>
    </xf>
    <xf numFmtId="0" fontId="46" fillId="0" borderId="18" xfId="0" applyFont="1" applyBorder="1" applyAlignment="1">
      <alignment vertical="center"/>
    </xf>
    <xf numFmtId="238" fontId="46" fillId="0" borderId="18" xfId="632" applyNumberFormat="1" applyFont="1" applyBorder="1" applyAlignment="1">
      <alignment horizontal="right" vertical="center"/>
    </xf>
    <xf numFmtId="1" fontId="7" fillId="0" borderId="16" xfId="0" applyNumberFormat="1" applyFont="1" applyBorder="1" applyAlignment="1">
      <alignment vertical="center"/>
    </xf>
    <xf numFmtId="3" fontId="46" fillId="0" borderId="0" xfId="0" applyNumberFormat="1" applyFont="1" applyAlignment="1">
      <alignment vertical="center"/>
    </xf>
    <xf numFmtId="0" fontId="46" fillId="0" borderId="70" xfId="0" applyFont="1" applyBorder="1" applyAlignment="1">
      <alignment vertical="center"/>
    </xf>
    <xf numFmtId="238" fontId="46" fillId="0" borderId="70" xfId="632" applyNumberFormat="1" applyFont="1" applyBorder="1" applyAlignment="1">
      <alignment horizontal="right" vertical="center"/>
    </xf>
    <xf numFmtId="168" fontId="46" fillId="0" borderId="70" xfId="625" applyNumberFormat="1" applyFont="1" applyBorder="1" applyAlignment="1">
      <alignment vertical="center"/>
    </xf>
    <xf numFmtId="202" fontId="46" fillId="0" borderId="70" xfId="625" applyNumberFormat="1" applyFont="1" applyBorder="1" applyAlignment="1">
      <alignment vertical="center"/>
    </xf>
    <xf numFmtId="238" fontId="7" fillId="0" borderId="0" xfId="632" applyNumberFormat="1" applyFont="1" applyBorder="1" applyAlignment="1">
      <alignment vertical="center"/>
    </xf>
    <xf numFmtId="238" fontId="7" fillId="0" borderId="0" xfId="632" applyNumberFormat="1" applyFont="1" applyFill="1" applyBorder="1" applyAlignment="1">
      <alignment vertical="center"/>
    </xf>
    <xf numFmtId="240" fontId="7" fillId="0" borderId="0" xfId="625" applyNumberFormat="1" applyFont="1" applyAlignment="1">
      <alignment vertical="center"/>
    </xf>
    <xf numFmtId="43" fontId="7" fillId="0" borderId="0" xfId="632" applyFont="1" applyFill="1" applyAlignment="1">
      <alignment vertical="center"/>
    </xf>
    <xf numFmtId="43" fontId="7" fillId="0" borderId="0" xfId="632" applyFont="1" applyFill="1" applyAlignment="1">
      <alignment horizontal="right" vertical="center"/>
    </xf>
    <xf numFmtId="43" fontId="7" fillId="0" borderId="0" xfId="632" applyFont="1" applyFill="1" applyBorder="1" applyAlignment="1">
      <alignment horizontal="right" vertical="center"/>
    </xf>
    <xf numFmtId="43" fontId="7" fillId="0" borderId="0" xfId="632" applyFont="1" applyFill="1" applyBorder="1" applyAlignment="1">
      <alignment vertical="center"/>
    </xf>
    <xf numFmtId="173" fontId="7" fillId="0" borderId="0" xfId="632" applyNumberFormat="1" applyFont="1" applyFill="1" applyBorder="1" applyAlignment="1">
      <alignment horizontal="right" vertical="center"/>
    </xf>
    <xf numFmtId="43" fontId="46" fillId="0" borderId="0" xfId="632" applyFont="1" applyFill="1" applyAlignment="1">
      <alignment vertical="center"/>
    </xf>
    <xf numFmtId="43" fontId="46" fillId="0" borderId="0" xfId="632" applyFont="1" applyFill="1" applyBorder="1" applyAlignment="1">
      <alignment vertical="center"/>
    </xf>
    <xf numFmtId="188" fontId="7" fillId="0" borderId="0" xfId="0" applyNumberFormat="1" applyFont="1" applyAlignment="1">
      <alignment vertical="center"/>
    </xf>
    <xf numFmtId="168" fontId="7" fillId="0" borderId="0" xfId="625" applyNumberFormat="1" applyFont="1" applyBorder="1" applyAlignment="1">
      <alignment horizontal="right" vertical="center"/>
    </xf>
    <xf numFmtId="9" fontId="7" fillId="0" borderId="0" xfId="625" applyFont="1" applyBorder="1" applyAlignment="1">
      <alignment horizontal="right" vertical="center"/>
    </xf>
    <xf numFmtId="9" fontId="46" fillId="0" borderId="0" xfId="625" applyFont="1" applyBorder="1" applyAlignment="1">
      <alignment horizontal="right" vertical="center"/>
    </xf>
    <xf numFmtId="3" fontId="31" fillId="3" borderId="43" xfId="13" applyNumberFormat="1" applyFont="1" applyFill="1" applyBorder="1" applyAlignment="1">
      <alignment horizontal="right"/>
    </xf>
    <xf numFmtId="166" fontId="70" fillId="0" borderId="2" xfId="3" applyNumberFormat="1" applyFont="1" applyFill="1" applyBorder="1" applyAlignment="1" applyProtection="1">
      <alignment horizontal="right"/>
      <protection locked="0"/>
    </xf>
    <xf numFmtId="166" fontId="8" fillId="0" borderId="0" xfId="3" applyNumberFormat="1" applyFont="1" applyFill="1" applyBorder="1" applyAlignment="1" applyProtection="1">
      <alignment horizontal="right"/>
      <protection locked="0"/>
    </xf>
    <xf numFmtId="168" fontId="10" fillId="2" borderId="9" xfId="3" applyNumberFormat="1" applyFont="1" applyFill="1" applyBorder="1" applyAlignment="1">
      <alignment horizontal="right"/>
    </xf>
    <xf numFmtId="9" fontId="31" fillId="3" borderId="0" xfId="13" applyNumberFormat="1" applyFont="1" applyFill="1" applyAlignment="1">
      <alignment horizontal="right"/>
    </xf>
    <xf numFmtId="168" fontId="8" fillId="0" borderId="2" xfId="3" applyNumberFormat="1" applyFont="1" applyFill="1" applyBorder="1" applyAlignment="1">
      <alignment horizontal="right"/>
    </xf>
    <xf numFmtId="168" fontId="8" fillId="0" borderId="0" xfId="3" applyNumberFormat="1" applyFont="1" applyFill="1" applyBorder="1" applyAlignment="1">
      <alignment horizontal="right"/>
    </xf>
    <xf numFmtId="168" fontId="8" fillId="0" borderId="0" xfId="3" applyNumberFormat="1" applyFont="1" applyFill="1" applyBorder="1"/>
    <xf numFmtId="168" fontId="8" fillId="0" borderId="12" xfId="3" applyNumberFormat="1" applyFont="1" applyFill="1" applyBorder="1" applyAlignment="1">
      <alignment horizontal="right"/>
    </xf>
    <xf numFmtId="168" fontId="8" fillId="0" borderId="0" xfId="3" applyNumberFormat="1" applyFont="1" applyBorder="1" applyAlignment="1">
      <alignment horizontal="right"/>
    </xf>
    <xf numFmtId="168" fontId="8" fillId="0" borderId="2" xfId="3" applyNumberFormat="1" applyFont="1" applyFill="1" applyBorder="1" applyAlignment="1" applyProtection="1">
      <alignment horizontal="right"/>
      <protection locked="0"/>
    </xf>
    <xf numFmtId="168" fontId="10" fillId="2" borderId="9" xfId="3" applyNumberFormat="1" applyFont="1" applyFill="1" applyBorder="1" applyAlignment="1">
      <alignment horizontal="center"/>
    </xf>
    <xf numFmtId="168" fontId="8" fillId="0" borderId="0" xfId="3" applyNumberFormat="1" applyFont="1" applyFill="1" applyBorder="1" applyAlignment="1" applyProtection="1">
      <alignment horizontal="right"/>
      <protection locked="0"/>
    </xf>
    <xf numFmtId="9" fontId="33" fillId="0" borderId="43" xfId="625" applyFont="1" applyFill="1" applyBorder="1" applyAlignment="1">
      <alignment horizontal="right"/>
    </xf>
    <xf numFmtId="168" fontId="10" fillId="2" borderId="9" xfId="2" applyNumberFormat="1" applyFont="1" applyFill="1" applyBorder="1" applyAlignment="1">
      <alignment horizontal="right"/>
    </xf>
    <xf numFmtId="168" fontId="8" fillId="0" borderId="12" xfId="2" applyNumberFormat="1" applyFont="1" applyBorder="1"/>
    <xf numFmtId="168" fontId="8" fillId="0" borderId="0" xfId="1" applyNumberFormat="1" applyFont="1"/>
    <xf numFmtId="168" fontId="10" fillId="2" borderId="9" xfId="2" applyNumberFormat="1" applyFont="1" applyFill="1" applyBorder="1"/>
    <xf numFmtId="13" fontId="4" fillId="0" borderId="0" xfId="625" applyNumberFormat="1" applyFont="1" applyFill="1"/>
    <xf numFmtId="0" fontId="7" fillId="0" borderId="21" xfId="2" quotePrefix="1" applyBorder="1"/>
    <xf numFmtId="235" fontId="266" fillId="0" borderId="0" xfId="632" applyNumberFormat="1" applyFont="1" applyFill="1" applyBorder="1"/>
    <xf numFmtId="182" fontId="33" fillId="3" borderId="14" xfId="1" applyNumberFormat="1" applyFont="1" applyFill="1" applyBorder="1" applyAlignment="1">
      <alignment horizontal="left" vertical="top" wrapText="1"/>
    </xf>
    <xf numFmtId="0" fontId="1" fillId="0" borderId="0" xfId="0" applyFont="1"/>
    <xf numFmtId="0" fontId="268" fillId="0" borderId="0" xfId="0" applyFont="1"/>
    <xf numFmtId="0" fontId="269" fillId="0" borderId="0" xfId="0" applyFont="1"/>
    <xf numFmtId="0" fontId="1" fillId="27" borderId="0" xfId="0" applyFont="1" applyFill="1" applyAlignment="1">
      <alignment vertical="center"/>
    </xf>
    <xf numFmtId="0" fontId="153" fillId="27" borderId="0" xfId="0" applyFont="1" applyFill="1" applyAlignment="1">
      <alignment vertical="center"/>
    </xf>
    <xf numFmtId="0" fontId="1" fillId="27" borderId="0" xfId="0" applyFont="1" applyFill="1"/>
    <xf numFmtId="9" fontId="70" fillId="0" borderId="0" xfId="3" applyFont="1" applyFill="1" applyBorder="1" applyAlignment="1" applyProtection="1">
      <alignment horizontal="right"/>
      <protection locked="0"/>
    </xf>
    <xf numFmtId="9" fontId="31" fillId="3" borderId="0" xfId="13" applyNumberFormat="1" applyFont="1" applyFill="1"/>
    <xf numFmtId="186" fontId="10" fillId="2" borderId="11" xfId="2" applyNumberFormat="1" applyFont="1" applyFill="1" applyBorder="1" applyAlignment="1">
      <alignment horizontal="right"/>
    </xf>
    <xf numFmtId="0" fontId="14" fillId="0" borderId="0" xfId="2" applyFont="1" applyAlignment="1">
      <alignment horizontal="center"/>
    </xf>
    <xf numFmtId="167" fontId="14" fillId="0" borderId="0" xfId="2" applyNumberFormat="1" applyFont="1"/>
    <xf numFmtId="0" fontId="150" fillId="0" borderId="19" xfId="0" applyFont="1" applyBorder="1" applyAlignment="1">
      <alignment horizontal="center"/>
    </xf>
    <xf numFmtId="167" fontId="45" fillId="0" borderId="0" xfId="16" applyNumberFormat="1" applyFont="1"/>
    <xf numFmtId="3" fontId="31" fillId="3" borderId="40" xfId="13" applyNumberFormat="1" applyFont="1" applyFill="1" applyBorder="1" applyAlignment="1">
      <alignment horizontal="right"/>
    </xf>
    <xf numFmtId="10" fontId="7" fillId="0" borderId="0" xfId="625" applyNumberFormat="1" applyFont="1" applyBorder="1" applyAlignment="1">
      <alignment horizontal="right" vertical="center"/>
    </xf>
    <xf numFmtId="319" fontId="31" fillId="3" borderId="0" xfId="13" applyNumberFormat="1" applyFont="1" applyFill="1" applyAlignment="1">
      <alignment horizontal="right"/>
    </xf>
    <xf numFmtId="235" fontId="146" fillId="3" borderId="0" xfId="632" applyNumberFormat="1" applyFont="1" applyFill="1" applyBorder="1" applyAlignment="1">
      <alignment horizontal="right"/>
    </xf>
    <xf numFmtId="9" fontId="33" fillId="3" borderId="40" xfId="13" applyNumberFormat="1" applyFont="1" applyFill="1" applyBorder="1" applyAlignment="1">
      <alignment horizontal="right"/>
    </xf>
    <xf numFmtId="9" fontId="33" fillId="3" borderId="41" xfId="13" applyNumberFormat="1" applyFont="1" applyFill="1" applyBorder="1" applyAlignment="1">
      <alignment horizontal="right"/>
    </xf>
    <xf numFmtId="3" fontId="146" fillId="3" borderId="40" xfId="13" applyNumberFormat="1" applyFont="1" applyFill="1" applyBorder="1" applyAlignment="1">
      <alignment horizontal="right"/>
    </xf>
    <xf numFmtId="9" fontId="46" fillId="0" borderId="0" xfId="1" applyNumberFormat="1" applyFont="1" applyProtection="1">
      <protection locked="0"/>
    </xf>
    <xf numFmtId="9" fontId="33" fillId="3" borderId="0" xfId="13" applyNumberFormat="1" applyFont="1" applyFill="1" applyAlignment="1">
      <alignment horizontal="right"/>
    </xf>
    <xf numFmtId="168" fontId="2" fillId="0" borderId="0" xfId="0" applyNumberFormat="1" applyFont="1"/>
    <xf numFmtId="0" fontId="8" fillId="0" borderId="5" xfId="2" applyFont="1" applyBorder="1"/>
    <xf numFmtId="0" fontId="8" fillId="0" borderId="5" xfId="1" applyFont="1" applyBorder="1"/>
    <xf numFmtId="9" fontId="8" fillId="0" borderId="5" xfId="2" applyNumberFormat="1" applyFont="1" applyBorder="1"/>
    <xf numFmtId="9" fontId="10" fillId="2" borderId="9" xfId="3" applyFont="1" applyFill="1" applyBorder="1" applyAlignment="1">
      <alignment horizontal="right"/>
    </xf>
    <xf numFmtId="9" fontId="8" fillId="0" borderId="2" xfId="3" applyFont="1" applyFill="1" applyBorder="1" applyAlignment="1">
      <alignment horizontal="right"/>
    </xf>
    <xf numFmtId="9" fontId="8" fillId="0" borderId="0" xfId="3" applyFont="1" applyFill="1" applyBorder="1" applyAlignment="1">
      <alignment horizontal="right"/>
    </xf>
    <xf numFmtId="9" fontId="8" fillId="0" borderId="12" xfId="3" applyFont="1" applyFill="1" applyBorder="1" applyAlignment="1">
      <alignment horizontal="right"/>
    </xf>
    <xf numFmtId="9" fontId="8" fillId="0" borderId="0" xfId="3" applyFont="1" applyBorder="1" applyAlignment="1">
      <alignment horizontal="right"/>
    </xf>
    <xf numFmtId="9" fontId="8" fillId="0" borderId="2" xfId="3" applyFont="1" applyFill="1" applyBorder="1" applyAlignment="1" applyProtection="1">
      <alignment horizontal="right"/>
      <protection locked="0"/>
    </xf>
    <xf numFmtId="195" fontId="47" fillId="0" borderId="0" xfId="632" applyNumberFormat="1" applyFont="1" applyFill="1" applyBorder="1"/>
    <xf numFmtId="3" fontId="32" fillId="3" borderId="0" xfId="632" applyNumberFormat="1" applyFont="1" applyFill="1" applyBorder="1" applyAlignment="1">
      <alignment horizontal="right" vertical="center"/>
    </xf>
    <xf numFmtId="235" fontId="31" fillId="3" borderId="0" xfId="632" applyNumberFormat="1" applyFont="1" applyFill="1" applyBorder="1" applyAlignment="1">
      <alignment vertical="center"/>
    </xf>
    <xf numFmtId="9" fontId="148" fillId="3" borderId="14" xfId="13" applyNumberFormat="1" applyFont="1" applyFill="1" applyBorder="1" applyAlignment="1">
      <alignment horizontal="left" vertical="center" indent="1"/>
    </xf>
    <xf numFmtId="9" fontId="5" fillId="0" borderId="0" xfId="1" applyNumberFormat="1" applyFont="1"/>
    <xf numFmtId="9" fontId="2" fillId="0" borderId="0" xfId="0" applyNumberFormat="1" applyFont="1"/>
    <xf numFmtId="320" fontId="150" fillId="63" borderId="74" xfId="0" applyNumberFormat="1" applyFont="1" applyFill="1" applyBorder="1" applyAlignment="1">
      <alignment horizontal="right"/>
    </xf>
    <xf numFmtId="235" fontId="32" fillId="3" borderId="0" xfId="632" applyNumberFormat="1" applyFont="1" applyFill="1" applyBorder="1" applyAlignment="1">
      <alignment horizontal="right" vertical="center"/>
    </xf>
    <xf numFmtId="321" fontId="7" fillId="0" borderId="0" xfId="16" applyNumberFormat="1"/>
    <xf numFmtId="181" fontId="36" fillId="0" borderId="0" xfId="0" applyNumberFormat="1" applyFont="1" applyAlignment="1">
      <alignment vertical="center"/>
    </xf>
    <xf numFmtId="181" fontId="21" fillId="0" borderId="0" xfId="0" applyNumberFormat="1" applyFont="1" applyAlignment="1">
      <alignment vertical="center"/>
    </xf>
    <xf numFmtId="181" fontId="24" fillId="0" borderId="0" xfId="314" applyNumberFormat="1">
      <alignment vertical="center"/>
    </xf>
    <xf numFmtId="181" fontId="0" fillId="0" borderId="0" xfId="0" applyNumberFormat="1" applyAlignment="1">
      <alignment vertical="center"/>
    </xf>
    <xf numFmtId="181" fontId="4" fillId="0" borderId="0" xfId="5306" applyNumberFormat="1" applyAlignment="1">
      <alignment vertical="center"/>
    </xf>
    <xf numFmtId="9" fontId="4" fillId="0" borderId="0" xfId="1" applyNumberFormat="1" applyAlignment="1">
      <alignment vertical="center"/>
    </xf>
    <xf numFmtId="194" fontId="59" fillId="14" borderId="0" xfId="639" applyNumberFormat="1" applyFont="1" applyFill="1" applyAlignment="1">
      <alignment horizontal="center" vertical="center"/>
    </xf>
    <xf numFmtId="181" fontId="59" fillId="0" borderId="19" xfId="639" applyNumberFormat="1" applyFont="1" applyBorder="1" applyAlignment="1">
      <alignment horizontal="center" vertical="center"/>
    </xf>
    <xf numFmtId="193" fontId="7" fillId="0" borderId="0" xfId="0" applyNumberFormat="1" applyFont="1" applyAlignment="1">
      <alignment vertical="center"/>
    </xf>
    <xf numFmtId="192" fontId="7" fillId="0" borderId="0" xfId="0" applyNumberFormat="1" applyFont="1" applyAlignment="1">
      <alignment vertical="center"/>
    </xf>
    <xf numFmtId="235" fontId="38" fillId="3" borderId="43" xfId="632" applyNumberFormat="1" applyFont="1" applyFill="1" applyBorder="1" applyAlignment="1">
      <alignment horizontal="right"/>
    </xf>
    <xf numFmtId="164" fontId="46" fillId="13" borderId="0" xfId="1" applyNumberFormat="1" applyFont="1" applyFill="1" applyAlignment="1">
      <alignment horizontal="center"/>
    </xf>
    <xf numFmtId="235" fontId="7" fillId="0" borderId="0" xfId="632" applyNumberFormat="1" applyFont="1" applyFill="1" applyBorder="1" applyProtection="1">
      <protection locked="0"/>
    </xf>
    <xf numFmtId="235" fontId="7" fillId="0" borderId="0" xfId="632" applyNumberFormat="1" applyFont="1" applyFill="1" applyBorder="1" applyAlignment="1" applyProtection="1">
      <alignment horizontal="right"/>
      <protection locked="0"/>
    </xf>
    <xf numFmtId="43" fontId="7" fillId="0" borderId="0" xfId="632" applyFont="1" applyFill="1" applyBorder="1"/>
    <xf numFmtId="168" fontId="10" fillId="2" borderId="9" xfId="625" applyNumberFormat="1" applyFont="1" applyFill="1" applyBorder="1" applyAlignment="1">
      <alignment horizontal="right"/>
    </xf>
    <xf numFmtId="168" fontId="8" fillId="0" borderId="0" xfId="625" applyNumberFormat="1" applyFont="1" applyFill="1" applyBorder="1"/>
    <xf numFmtId="168" fontId="8" fillId="0" borderId="2" xfId="625" applyNumberFormat="1" applyFont="1" applyFill="1" applyBorder="1" applyAlignment="1">
      <alignment horizontal="right"/>
    </xf>
    <xf numFmtId="168" fontId="8" fillId="0" borderId="0" xfId="625" applyNumberFormat="1" applyFont="1" applyFill="1" applyBorder="1" applyAlignment="1">
      <alignment horizontal="right"/>
    </xf>
    <xf numFmtId="168" fontId="8" fillId="0" borderId="12" xfId="625" applyNumberFormat="1" applyFont="1" applyFill="1" applyBorder="1" applyAlignment="1">
      <alignment horizontal="right"/>
    </xf>
    <xf numFmtId="168" fontId="8" fillId="0" borderId="0" xfId="625" applyNumberFormat="1" applyFont="1" applyBorder="1" applyAlignment="1">
      <alignment horizontal="right"/>
    </xf>
    <xf numFmtId="168" fontId="8" fillId="0" borderId="2" xfId="625" applyNumberFormat="1" applyFont="1" applyFill="1" applyBorder="1" applyAlignment="1" applyProtection="1">
      <alignment horizontal="right"/>
      <protection locked="0"/>
    </xf>
    <xf numFmtId="168" fontId="10" fillId="2" borderId="9" xfId="625" applyNumberFormat="1" applyFont="1" applyFill="1" applyBorder="1" applyAlignment="1">
      <alignment horizontal="center"/>
    </xf>
    <xf numFmtId="168" fontId="8" fillId="0" borderId="0" xfId="625" applyNumberFormat="1" applyFont="1" applyFill="1" applyBorder="1" applyAlignment="1" applyProtection="1">
      <alignment horizontal="right"/>
      <protection locked="0"/>
    </xf>
    <xf numFmtId="168" fontId="8" fillId="0" borderId="0" xfId="2" applyNumberFormat="1" applyFont="1" applyAlignment="1">
      <alignment vertical="center"/>
    </xf>
    <xf numFmtId="0" fontId="31" fillId="0" borderId="40" xfId="13" applyFont="1" applyBorder="1" applyAlignment="1">
      <alignment wrapText="1"/>
    </xf>
    <xf numFmtId="235" fontId="146" fillId="0" borderId="40" xfId="632" applyNumberFormat="1" applyFont="1" applyFill="1" applyBorder="1" applyAlignment="1">
      <alignment horizontal="right"/>
    </xf>
    <xf numFmtId="9" fontId="33" fillId="3" borderId="43" xfId="13" applyNumberFormat="1" applyFont="1" applyFill="1" applyBorder="1" applyAlignment="1">
      <alignment horizontal="right"/>
    </xf>
    <xf numFmtId="10" fontId="31" fillId="3" borderId="43" xfId="13" applyNumberFormat="1" applyFont="1" applyFill="1" applyBorder="1" applyAlignment="1">
      <alignment horizontal="right"/>
    </xf>
    <xf numFmtId="4" fontId="31" fillId="3" borderId="43" xfId="13" applyNumberFormat="1" applyFont="1" applyFill="1" applyBorder="1" applyAlignment="1">
      <alignment horizontal="right"/>
    </xf>
    <xf numFmtId="168" fontId="10" fillId="2" borderId="10" xfId="625" applyNumberFormat="1" applyFont="1" applyFill="1" applyBorder="1" applyAlignment="1">
      <alignment horizontal="right"/>
    </xf>
    <xf numFmtId="168" fontId="8" fillId="0" borderId="5" xfId="625" applyNumberFormat="1" applyFont="1" applyFill="1" applyBorder="1"/>
    <xf numFmtId="168" fontId="8" fillId="0" borderId="72" xfId="625" applyNumberFormat="1" applyFont="1" applyFill="1" applyBorder="1" applyAlignment="1">
      <alignment horizontal="right"/>
    </xf>
    <xf numFmtId="168" fontId="8" fillId="0" borderId="5" xfId="625" applyNumberFormat="1" applyFont="1" applyFill="1" applyBorder="1" applyAlignment="1">
      <alignment horizontal="right"/>
    </xf>
    <xf numFmtId="168" fontId="8" fillId="0" borderId="73" xfId="625" applyNumberFormat="1" applyFont="1" applyFill="1" applyBorder="1" applyAlignment="1">
      <alignment horizontal="right"/>
    </xf>
    <xf numFmtId="168" fontId="8" fillId="0" borderId="5" xfId="625" applyNumberFormat="1" applyFont="1" applyBorder="1" applyAlignment="1">
      <alignment horizontal="right"/>
    </xf>
    <xf numFmtId="168" fontId="8" fillId="0" borderId="72" xfId="625" applyNumberFormat="1" applyFont="1" applyFill="1" applyBorder="1" applyAlignment="1" applyProtection="1">
      <alignment horizontal="right"/>
      <protection locked="0"/>
    </xf>
    <xf numFmtId="168" fontId="10" fillId="2" borderId="10" xfId="625" applyNumberFormat="1" applyFont="1" applyFill="1" applyBorder="1" applyAlignment="1">
      <alignment horizontal="center"/>
    </xf>
    <xf numFmtId="164" fontId="10" fillId="2" borderId="10" xfId="2" applyNumberFormat="1" applyFont="1" applyFill="1" applyBorder="1" applyAlignment="1">
      <alignment horizontal="right"/>
    </xf>
    <xf numFmtId="164" fontId="8" fillId="0" borderId="5" xfId="2" applyNumberFormat="1" applyFont="1" applyBorder="1"/>
    <xf numFmtId="164" fontId="8" fillId="0" borderId="72" xfId="2" applyNumberFormat="1" applyFont="1" applyBorder="1" applyAlignment="1">
      <alignment horizontal="right"/>
    </xf>
    <xf numFmtId="164" fontId="8" fillId="3" borderId="5" xfId="2" applyNumberFormat="1" applyFont="1" applyFill="1" applyBorder="1" applyAlignment="1">
      <alignment horizontal="right"/>
    </xf>
    <xf numFmtId="164" fontId="8" fillId="0" borderId="5" xfId="2" applyNumberFormat="1" applyFont="1" applyBorder="1" applyAlignment="1">
      <alignment horizontal="right"/>
    </xf>
    <xf numFmtId="164" fontId="8" fillId="0" borderId="73" xfId="2" applyNumberFormat="1" applyFont="1" applyBorder="1"/>
    <xf numFmtId="1" fontId="8" fillId="0" borderId="5" xfId="1" applyNumberFormat="1" applyFont="1" applyBorder="1"/>
    <xf numFmtId="165" fontId="8" fillId="0" borderId="72" xfId="3" applyNumberFormat="1" applyFont="1" applyFill="1" applyBorder="1" applyAlignment="1" applyProtection="1">
      <alignment horizontal="right"/>
      <protection locked="0"/>
    </xf>
    <xf numFmtId="37" fontId="8" fillId="0" borderId="72" xfId="2" applyNumberFormat="1" applyFont="1" applyBorder="1"/>
    <xf numFmtId="167" fontId="10" fillId="2" borderId="10" xfId="2" applyNumberFormat="1" applyFont="1" applyFill="1" applyBorder="1"/>
    <xf numFmtId="0" fontId="10" fillId="2" borderId="10" xfId="2" applyFont="1" applyFill="1" applyBorder="1" applyAlignment="1">
      <alignment horizontal="center"/>
    </xf>
    <xf numFmtId="9" fontId="2" fillId="0" borderId="0" xfId="625" applyFont="1"/>
    <xf numFmtId="0" fontId="46" fillId="3" borderId="0" xfId="16" applyFont="1" applyFill="1"/>
    <xf numFmtId="0" fontId="7" fillId="3" borderId="0" xfId="1" applyFont="1" applyFill="1"/>
    <xf numFmtId="181" fontId="7" fillId="0" borderId="0" xfId="1" applyNumberFormat="1" applyFont="1" applyAlignment="1">
      <alignment horizontal="left" vertical="top"/>
    </xf>
    <xf numFmtId="164" fontId="274" fillId="0" borderId="0" xfId="1" applyNumberFormat="1" applyFont="1" applyAlignment="1">
      <alignment horizontal="right"/>
    </xf>
    <xf numFmtId="181" fontId="7" fillId="0" borderId="0" xfId="1" applyNumberFormat="1" applyFont="1" applyAlignment="1">
      <alignment horizontal="right" vertical="top"/>
    </xf>
    <xf numFmtId="165" fontId="7" fillId="0" borderId="0" xfId="3" applyNumberFormat="1" applyFont="1" applyFill="1" applyBorder="1" applyAlignment="1">
      <alignment horizontal="right"/>
    </xf>
    <xf numFmtId="164" fontId="7" fillId="0" borderId="0" xfId="1" applyNumberFormat="1" applyFont="1" applyAlignment="1">
      <alignment horizontal="right"/>
    </xf>
    <xf numFmtId="182" fontId="7" fillId="0" borderId="0" xfId="1" applyNumberFormat="1" applyFont="1" applyAlignment="1">
      <alignment horizontal="right" vertical="top"/>
    </xf>
    <xf numFmtId="181" fontId="46" fillId="0" borderId="0" xfId="1" applyNumberFormat="1" applyFont="1" applyAlignment="1">
      <alignment horizontal="left" vertical="top"/>
    </xf>
    <xf numFmtId="166" fontId="7" fillId="0" borderId="0" xfId="3" applyNumberFormat="1" applyFont="1" applyFill="1" applyBorder="1" applyAlignment="1">
      <alignment horizontal="right"/>
    </xf>
    <xf numFmtId="167" fontId="274" fillId="0" borderId="0" xfId="1" applyNumberFormat="1" applyFont="1" applyAlignment="1">
      <alignment horizontal="right"/>
    </xf>
    <xf numFmtId="181" fontId="7" fillId="0" borderId="16" xfId="1" applyNumberFormat="1" applyFont="1" applyBorder="1" applyAlignment="1">
      <alignment horizontal="left" vertical="top"/>
    </xf>
    <xf numFmtId="167" fontId="274" fillId="0" borderId="16" xfId="1" applyNumberFormat="1" applyFont="1" applyBorder="1" applyAlignment="1">
      <alignment horizontal="right"/>
    </xf>
    <xf numFmtId="0" fontId="7" fillId="0" borderId="0" xfId="1" applyFont="1" applyAlignment="1">
      <alignment horizontal="left" vertical="top"/>
    </xf>
    <xf numFmtId="167" fontId="7" fillId="0" borderId="0" xfId="1" applyNumberFormat="1" applyFont="1" applyAlignment="1">
      <alignment horizontal="right"/>
    </xf>
    <xf numFmtId="168" fontId="7" fillId="0" borderId="0" xfId="3" applyNumberFormat="1" applyFont="1" applyFill="1" applyBorder="1" applyAlignment="1">
      <alignment horizontal="right"/>
    </xf>
    <xf numFmtId="184" fontId="7" fillId="0" borderId="0" xfId="1" applyNumberFormat="1" applyFont="1" applyAlignment="1">
      <alignment horizontal="right"/>
    </xf>
    <xf numFmtId="184" fontId="7" fillId="0" borderId="16" xfId="1" applyNumberFormat="1" applyFont="1" applyBorder="1" applyAlignment="1">
      <alignment horizontal="right"/>
    </xf>
    <xf numFmtId="164" fontId="275" fillId="0" borderId="0" xfId="1" applyNumberFormat="1" applyFont="1" applyAlignment="1">
      <alignment horizontal="right"/>
    </xf>
    <xf numFmtId="0" fontId="1" fillId="65" borderId="0" xfId="0" applyFont="1" applyFill="1" applyAlignment="1">
      <alignment vertical="center"/>
    </xf>
    <xf numFmtId="0" fontId="154" fillId="65" borderId="0" xfId="0" applyFont="1" applyFill="1" applyAlignment="1">
      <alignment vertical="center"/>
    </xf>
    <xf numFmtId="0" fontId="154" fillId="65" borderId="0" xfId="0" applyFont="1" applyFill="1" applyAlignment="1">
      <alignment horizontal="left" vertical="center"/>
    </xf>
    <xf numFmtId="0" fontId="1" fillId="65" borderId="0" xfId="0" applyFont="1" applyFill="1" applyAlignment="1">
      <alignment horizontal="right" vertical="center"/>
    </xf>
    <xf numFmtId="3" fontId="154" fillId="65" borderId="0" xfId="0" applyNumberFormat="1" applyFont="1" applyFill="1" applyAlignment="1">
      <alignment horizontal="left" vertical="center"/>
    </xf>
    <xf numFmtId="318" fontId="154" fillId="65" borderId="0" xfId="0" applyNumberFormat="1" applyFont="1" applyFill="1" applyAlignment="1">
      <alignment horizontal="left" vertical="center"/>
    </xf>
    <xf numFmtId="0" fontId="271" fillId="65" borderId="0" xfId="5305" applyFont="1" applyFill="1" applyAlignment="1">
      <alignment vertical="center"/>
    </xf>
    <xf numFmtId="0" fontId="31" fillId="64" borderId="14" xfId="301" applyFont="1" applyFill="1" applyBorder="1" applyAlignment="1">
      <alignment vertical="center" wrapText="1"/>
    </xf>
    <xf numFmtId="174" fontId="31" fillId="64" borderId="14" xfId="301" applyNumberFormat="1" applyFont="1" applyFill="1" applyBorder="1" applyAlignment="1">
      <alignment horizontal="right" vertical="center"/>
    </xf>
    <xf numFmtId="164" fontId="276" fillId="0" borderId="0" xfId="1" applyNumberFormat="1" applyFont="1"/>
    <xf numFmtId="164" fontId="93" fillId="0" borderId="0" xfId="1" applyNumberFormat="1" applyFont="1"/>
    <xf numFmtId="164" fontId="155" fillId="0" borderId="0" xfId="1" applyNumberFormat="1" applyFont="1"/>
    <xf numFmtId="181" fontId="21" fillId="7" borderId="0" xfId="0" applyNumberFormat="1" applyFont="1" applyFill="1" applyAlignment="1">
      <alignment vertical="center"/>
    </xf>
    <xf numFmtId="188" fontId="44" fillId="0" borderId="0" xfId="16" applyNumberFormat="1" applyFont="1" applyAlignment="1">
      <alignment horizontal="right"/>
    </xf>
    <xf numFmtId="0" fontId="7" fillId="7" borderId="0" xfId="276" applyNumberFormat="1" applyFont="1" applyFill="1"/>
    <xf numFmtId="0" fontId="7" fillId="7" borderId="0" xfId="16" applyFill="1"/>
    <xf numFmtId="181" fontId="31" fillId="3" borderId="0" xfId="1" applyNumberFormat="1" applyFont="1" applyFill="1" applyAlignment="1">
      <alignment horizontal="left" vertical="top" wrapText="1"/>
    </xf>
    <xf numFmtId="0" fontId="31" fillId="3" borderId="40" xfId="13" applyFont="1" applyFill="1" applyBorder="1" applyAlignment="1">
      <alignment horizontal="left" wrapText="1" indent="2"/>
    </xf>
    <xf numFmtId="235" fontId="31" fillId="0" borderId="43" xfId="632" applyNumberFormat="1" applyFont="1" applyFill="1" applyBorder="1" applyAlignment="1">
      <alignment horizontal="right"/>
    </xf>
    <xf numFmtId="0" fontId="31" fillId="0" borderId="0" xfId="13" applyFont="1"/>
    <xf numFmtId="0" fontId="35" fillId="0" borderId="39" xfId="13" applyFont="1" applyBorder="1" applyAlignment="1">
      <alignment horizontal="right"/>
    </xf>
    <xf numFmtId="181" fontId="31" fillId="0" borderId="0" xfId="1" applyNumberFormat="1" applyFont="1" applyAlignment="1">
      <alignment horizontal="left" vertical="top" wrapText="1"/>
    </xf>
    <xf numFmtId="176" fontId="31" fillId="0" borderId="0" xfId="302" applyNumberFormat="1" applyFont="1"/>
    <xf numFmtId="0" fontId="31" fillId="3" borderId="41" xfId="13" applyFont="1" applyFill="1" applyBorder="1" applyAlignment="1">
      <alignment horizontal="left" wrapText="1"/>
    </xf>
    <xf numFmtId="9" fontId="34" fillId="0" borderId="39" xfId="625" applyFont="1" applyFill="1" applyBorder="1" applyAlignment="1">
      <alignment horizontal="right"/>
    </xf>
    <xf numFmtId="195" fontId="31" fillId="3" borderId="0" xfId="632" applyNumberFormat="1" applyFont="1" applyFill="1" applyBorder="1" applyAlignment="1">
      <alignment horizontal="right"/>
    </xf>
    <xf numFmtId="9" fontId="147" fillId="3" borderId="40" xfId="13" applyNumberFormat="1" applyFont="1" applyFill="1" applyBorder="1" applyAlignment="1">
      <alignment horizontal="right"/>
    </xf>
    <xf numFmtId="235" fontId="31" fillId="3" borderId="0" xfId="13" applyNumberFormat="1" applyFont="1" applyFill="1" applyAlignment="1">
      <alignment horizontal="right"/>
    </xf>
    <xf numFmtId="0" fontId="31" fillId="0" borderId="43" xfId="13" applyFont="1" applyBorder="1" applyAlignment="1">
      <alignment horizontal="left" wrapText="1" indent="1"/>
    </xf>
    <xf numFmtId="0" fontId="31" fillId="0" borderId="43" xfId="13" applyFont="1" applyBorder="1" applyAlignment="1">
      <alignment wrapText="1"/>
    </xf>
    <xf numFmtId="0" fontId="33" fillId="3" borderId="40" xfId="13" applyFont="1" applyFill="1" applyBorder="1" applyAlignment="1">
      <alignment horizontal="left" wrapText="1" indent="1"/>
    </xf>
    <xf numFmtId="9" fontId="31" fillId="0" borderId="0" xfId="632" applyNumberFormat="1" applyFont="1" applyFill="1" applyBorder="1" applyAlignment="1">
      <alignment horizontal="right"/>
    </xf>
    <xf numFmtId="235" fontId="32" fillId="3" borderId="0" xfId="632" applyNumberFormat="1" applyFont="1" applyFill="1" applyBorder="1" applyAlignment="1">
      <alignment horizontal="right"/>
    </xf>
    <xf numFmtId="4" fontId="31" fillId="3" borderId="0" xfId="13" applyNumberFormat="1" applyFont="1" applyFill="1" applyAlignment="1">
      <alignment horizontal="right"/>
    </xf>
    <xf numFmtId="0" fontId="31" fillId="0" borderId="40" xfId="13" applyFont="1" applyBorder="1" applyAlignment="1">
      <alignment horizontal="left" wrapText="1"/>
    </xf>
    <xf numFmtId="317" fontId="52" fillId="0" borderId="0" xfId="2" applyNumberFormat="1" applyFont="1" applyAlignment="1">
      <alignment horizontal="right"/>
    </xf>
    <xf numFmtId="0" fontId="32" fillId="3" borderId="0" xfId="13" applyFont="1" applyFill="1" applyAlignment="1">
      <alignment wrapText="1"/>
    </xf>
    <xf numFmtId="2" fontId="149" fillId="3" borderId="40" xfId="13" applyNumberFormat="1" applyFont="1" applyFill="1" applyBorder="1" applyAlignment="1">
      <alignment horizontal="right"/>
    </xf>
    <xf numFmtId="43" fontId="31" fillId="3" borderId="43" xfId="632" applyFont="1" applyFill="1" applyBorder="1" applyAlignment="1">
      <alignment horizontal="right"/>
    </xf>
    <xf numFmtId="1" fontId="31" fillId="3" borderId="43" xfId="632" applyNumberFormat="1" applyFont="1" applyFill="1" applyBorder="1" applyAlignment="1">
      <alignment horizontal="right"/>
    </xf>
    <xf numFmtId="0" fontId="31" fillId="0" borderId="40" xfId="13" applyFont="1" applyBorder="1" applyAlignment="1">
      <alignment horizontal="left" wrapText="1" indent="2"/>
    </xf>
    <xf numFmtId="168" fontId="148" fillId="3" borderId="43" xfId="13" applyNumberFormat="1" applyFont="1" applyFill="1" applyBorder="1" applyAlignment="1">
      <alignment horizontal="right"/>
    </xf>
    <xf numFmtId="168" fontId="148" fillId="3" borderId="43" xfId="625" applyNumberFormat="1" applyFont="1" applyFill="1" applyBorder="1" applyAlignment="1">
      <alignment horizontal="right"/>
    </xf>
    <xf numFmtId="9" fontId="148" fillId="3" borderId="40" xfId="625" applyFont="1" applyFill="1" applyBorder="1" applyAlignment="1">
      <alignment horizontal="right"/>
    </xf>
    <xf numFmtId="176" fontId="149" fillId="3" borderId="0" xfId="302" applyNumberFormat="1" applyFont="1" applyFill="1"/>
    <xf numFmtId="0" fontId="34" fillId="3" borderId="14" xfId="301" applyFont="1" applyFill="1" applyBorder="1" applyAlignment="1">
      <alignment horizontal="right" vertical="center" wrapText="1"/>
    </xf>
    <xf numFmtId="182" fontId="34" fillId="3" borderId="14" xfId="1" applyNumberFormat="1" applyFont="1" applyFill="1" applyBorder="1" applyAlignment="1">
      <alignment horizontal="left" vertical="top" wrapText="1"/>
    </xf>
    <xf numFmtId="168" fontId="34" fillId="3" borderId="14" xfId="3" applyNumberFormat="1" applyFont="1" applyFill="1" applyBorder="1"/>
    <xf numFmtId="3" fontId="32" fillId="3" borderId="14" xfId="3" applyNumberFormat="1" applyFont="1" applyFill="1" applyBorder="1"/>
    <xf numFmtId="182" fontId="34" fillId="3" borderId="14" xfId="1" applyNumberFormat="1" applyFont="1" applyFill="1" applyBorder="1" applyAlignment="1">
      <alignment horizontal="right" vertical="top" wrapText="1"/>
    </xf>
    <xf numFmtId="0" fontId="31" fillId="0" borderId="0" xfId="13" applyFont="1" applyAlignment="1">
      <alignment vertical="center"/>
    </xf>
    <xf numFmtId="0" fontId="32" fillId="0" borderId="40" xfId="13" applyFont="1" applyBorder="1" applyAlignment="1">
      <alignment horizontal="right" vertical="center"/>
    </xf>
    <xf numFmtId="235" fontId="31" fillId="0" borderId="40" xfId="13" applyNumberFormat="1" applyFont="1" applyBorder="1" applyAlignment="1">
      <alignment horizontal="right" vertical="center"/>
    </xf>
    <xf numFmtId="168" fontId="147" fillId="3" borderId="40" xfId="13" applyNumberFormat="1" applyFont="1" applyFill="1" applyBorder="1" applyAlignment="1">
      <alignment horizontal="right"/>
    </xf>
    <xf numFmtId="9" fontId="31" fillId="3" borderId="0" xfId="302" applyNumberFormat="1" applyFont="1" applyFill="1"/>
    <xf numFmtId="176" fontId="146" fillId="3" borderId="0" xfId="302" applyNumberFormat="1" applyFont="1" applyFill="1"/>
    <xf numFmtId="168" fontId="278" fillId="0" borderId="14" xfId="3" applyNumberFormat="1" applyFont="1" applyFill="1" applyBorder="1" applyAlignment="1">
      <alignment horizontal="right" vertical="center"/>
    </xf>
    <xf numFmtId="168" fontId="34" fillId="0" borderId="14" xfId="3" applyNumberFormat="1" applyFont="1" applyFill="1" applyBorder="1" applyAlignment="1">
      <alignment horizontal="right" vertical="center"/>
    </xf>
    <xf numFmtId="9" fontId="146" fillId="3" borderId="0" xfId="632" applyNumberFormat="1" applyFont="1" applyFill="1" applyBorder="1" applyAlignment="1">
      <alignment horizontal="right"/>
    </xf>
    <xf numFmtId="9" fontId="146" fillId="0" borderId="0" xfId="632" applyNumberFormat="1" applyFont="1" applyFill="1" applyBorder="1" applyAlignment="1">
      <alignment horizontal="right"/>
    </xf>
    <xf numFmtId="3" fontId="33" fillId="3" borderId="40" xfId="13" applyNumberFormat="1" applyFont="1" applyFill="1" applyBorder="1" applyAlignment="1">
      <alignment horizontal="right"/>
    </xf>
    <xf numFmtId="177" fontId="31" fillId="3" borderId="43" xfId="13" applyNumberFormat="1" applyFont="1" applyFill="1" applyBorder="1" applyAlignment="1">
      <alignment horizontal="right"/>
    </xf>
    <xf numFmtId="3" fontId="31" fillId="3" borderId="14" xfId="301" applyNumberFormat="1" applyFont="1" applyFill="1" applyBorder="1" applyAlignment="1">
      <alignment horizontal="right" vertical="center"/>
    </xf>
    <xf numFmtId="168" fontId="148" fillId="3" borderId="14" xfId="3" applyNumberFormat="1" applyFont="1" applyFill="1" applyBorder="1" applyAlignment="1">
      <alignment horizontal="right" vertical="center"/>
    </xf>
    <xf numFmtId="235" fontId="149" fillId="3" borderId="43" xfId="13" applyNumberFormat="1" applyFont="1" applyFill="1" applyBorder="1" applyAlignment="1">
      <alignment horizontal="right"/>
    </xf>
    <xf numFmtId="0" fontId="31" fillId="3" borderId="0" xfId="13" applyFont="1" applyFill="1" applyAlignment="1">
      <alignment horizontal="left" wrapText="1"/>
    </xf>
    <xf numFmtId="9" fontId="34" fillId="3" borderId="40" xfId="13" applyNumberFormat="1" applyFont="1" applyFill="1" applyBorder="1" applyAlignment="1">
      <alignment horizontal="right"/>
    </xf>
    <xf numFmtId="9" fontId="279" fillId="3" borderId="40" xfId="13" applyNumberFormat="1" applyFont="1" applyFill="1" applyBorder="1" applyAlignment="1">
      <alignment horizontal="right"/>
    </xf>
    <xf numFmtId="10" fontId="279" fillId="3" borderId="40" xfId="13" applyNumberFormat="1" applyFont="1" applyFill="1" applyBorder="1" applyAlignment="1">
      <alignment horizontal="right"/>
    </xf>
    <xf numFmtId="168" fontId="279" fillId="3" borderId="40" xfId="13" applyNumberFormat="1" applyFont="1" applyFill="1" applyBorder="1" applyAlignment="1">
      <alignment horizontal="right"/>
    </xf>
    <xf numFmtId="9" fontId="34" fillId="3" borderId="0" xfId="625" applyFont="1" applyFill="1" applyBorder="1" applyAlignment="1">
      <alignment horizontal="right"/>
    </xf>
    <xf numFmtId="0" fontId="33" fillId="3" borderId="14" xfId="301" applyFont="1" applyFill="1" applyBorder="1" applyAlignment="1">
      <alignment horizontal="left" vertical="center" wrapText="1"/>
    </xf>
    <xf numFmtId="9" fontId="33" fillId="3" borderId="14" xfId="301" applyNumberFormat="1" applyFont="1" applyFill="1" applyBorder="1" applyAlignment="1">
      <alignment horizontal="right" vertical="center"/>
    </xf>
    <xf numFmtId="1" fontId="33" fillId="3" borderId="14" xfId="13" applyNumberFormat="1" applyFont="1" applyFill="1" applyBorder="1" applyAlignment="1">
      <alignment horizontal="right"/>
    </xf>
    <xf numFmtId="240" fontId="46" fillId="0" borderId="18" xfId="632" applyNumberFormat="1" applyFont="1" applyBorder="1" applyAlignment="1">
      <alignment horizontal="right" vertical="center"/>
    </xf>
    <xf numFmtId="238" fontId="7" fillId="0" borderId="0" xfId="632" applyNumberFormat="1" applyFont="1" applyBorder="1" applyAlignment="1">
      <alignment horizontal="left" vertical="center"/>
    </xf>
    <xf numFmtId="238" fontId="7" fillId="0" borderId="0" xfId="632" applyNumberFormat="1" applyFont="1" applyFill="1" applyAlignment="1">
      <alignment horizontal="right" vertical="center"/>
    </xf>
    <xf numFmtId="9" fontId="46" fillId="0" borderId="18" xfId="625" applyFont="1" applyBorder="1" applyAlignment="1">
      <alignment horizontal="right" vertical="center"/>
    </xf>
    <xf numFmtId="164" fontId="14" fillId="0" borderId="3" xfId="1" applyNumberFormat="1" applyFont="1" applyBorder="1"/>
    <xf numFmtId="164" fontId="46" fillId="13" borderId="3" xfId="1" applyNumberFormat="1" applyFont="1" applyFill="1" applyBorder="1" applyAlignment="1">
      <alignment horizontal="center"/>
    </xf>
    <xf numFmtId="164" fontId="7" fillId="0" borderId="3" xfId="1" applyNumberFormat="1" applyFont="1" applyBorder="1"/>
    <xf numFmtId="318" fontId="154" fillId="65" borderId="0" xfId="0" quotePrefix="1" applyNumberFormat="1" applyFont="1" applyFill="1" applyAlignment="1">
      <alignment horizontal="left" vertical="center"/>
    </xf>
    <xf numFmtId="181" fontId="21" fillId="7" borderId="0" xfId="1" applyNumberFormat="1" applyFont="1" applyFill="1" applyAlignment="1">
      <alignment vertical="center"/>
    </xf>
    <xf numFmtId="178" fontId="4" fillId="7" borderId="0" xfId="1" applyNumberFormat="1" applyFill="1" applyAlignment="1">
      <alignment vertical="center"/>
    </xf>
    <xf numFmtId="181" fontId="4" fillId="7" borderId="0" xfId="1" applyNumberFormat="1" applyFill="1" applyAlignment="1">
      <alignment vertical="center"/>
    </xf>
    <xf numFmtId="9" fontId="4" fillId="7" borderId="0" xfId="1" applyNumberFormat="1" applyFill="1" applyAlignment="1">
      <alignment vertical="center"/>
    </xf>
    <xf numFmtId="0" fontId="52" fillId="0" borderId="0" xfId="16" applyFont="1" applyAlignment="1">
      <alignment horizontal="center"/>
    </xf>
    <xf numFmtId="164" fontId="14" fillId="0" borderId="9" xfId="1" applyNumberFormat="1" applyFont="1" applyBorder="1"/>
    <xf numFmtId="43" fontId="46" fillId="0" borderId="0" xfId="16" applyNumberFormat="1" applyFont="1"/>
    <xf numFmtId="167" fontId="272" fillId="0" borderId="0" xfId="16" applyNumberFormat="1" applyFont="1"/>
    <xf numFmtId="164" fontId="273" fillId="0" borderId="0" xfId="16" applyNumberFormat="1" applyFont="1"/>
    <xf numFmtId="164" fontId="272" fillId="0" borderId="0" xfId="16" applyNumberFormat="1" applyFont="1"/>
    <xf numFmtId="0" fontId="31" fillId="3" borderId="14" xfId="301" applyFont="1" applyFill="1" applyBorder="1" applyAlignment="1">
      <alignment horizontal="left" vertical="center" wrapText="1" indent="1"/>
    </xf>
    <xf numFmtId="0" fontId="277" fillId="0" borderId="0" xfId="0" applyFont="1" applyAlignment="1">
      <alignment vertical="center"/>
    </xf>
    <xf numFmtId="0" fontId="277" fillId="0" borderId="0" xfId="0" applyFont="1" applyAlignment="1">
      <alignment horizontal="right" vertical="center"/>
    </xf>
    <xf numFmtId="168" fontId="277" fillId="0" borderId="0" xfId="625" applyNumberFormat="1" applyFont="1" applyAlignment="1">
      <alignment vertical="center"/>
    </xf>
    <xf numFmtId="238" fontId="277" fillId="0" borderId="0" xfId="0" applyNumberFormat="1" applyFont="1" applyAlignment="1">
      <alignment vertical="center"/>
    </xf>
    <xf numFmtId="3" fontId="277" fillId="0" borderId="0" xfId="0" applyNumberFormat="1" applyFont="1" applyAlignment="1">
      <alignment horizontal="right" vertical="center"/>
    </xf>
    <xf numFmtId="202" fontId="277" fillId="0" borderId="0" xfId="0" applyNumberFormat="1" applyFont="1"/>
    <xf numFmtId="0" fontId="277" fillId="0" borderId="0" xfId="0" applyFont="1"/>
    <xf numFmtId="37" fontId="7" fillId="7" borderId="0" xfId="0" applyNumberFormat="1" applyFont="1" applyFill="1" applyAlignment="1">
      <alignment vertical="center"/>
    </xf>
    <xf numFmtId="164" fontId="45" fillId="0" borderId="16" xfId="16" applyNumberFormat="1" applyFont="1" applyBorder="1"/>
    <xf numFmtId="0" fontId="31" fillId="0" borderId="0" xfId="301" applyFont="1" applyAlignment="1">
      <alignment horizontal="right" vertical="center" wrapText="1"/>
    </xf>
    <xf numFmtId="235" fontId="31" fillId="3" borderId="39" xfId="632" applyNumberFormat="1" applyFont="1" applyFill="1" applyBorder="1" applyAlignment="1">
      <alignment horizontal="right"/>
    </xf>
    <xf numFmtId="9" fontId="33" fillId="0" borderId="39" xfId="625" applyFont="1" applyFill="1" applyBorder="1" applyAlignment="1">
      <alignment horizontal="right"/>
    </xf>
    <xf numFmtId="0" fontId="32" fillId="0" borderId="40" xfId="13" applyFont="1" applyBorder="1" applyAlignment="1">
      <alignment wrapText="1"/>
    </xf>
    <xf numFmtId="1" fontId="146" fillId="0" borderId="0" xfId="13" applyNumberFormat="1" applyFont="1" applyAlignment="1">
      <alignment horizontal="right"/>
    </xf>
    <xf numFmtId="3" fontId="31" fillId="0" borderId="0" xfId="13" applyNumberFormat="1" applyFont="1" applyAlignment="1">
      <alignment horizontal="right"/>
    </xf>
    <xf numFmtId="9" fontId="33" fillId="0" borderId="40" xfId="632" applyNumberFormat="1" applyFont="1" applyFill="1" applyBorder="1" applyAlignment="1">
      <alignment horizontal="right"/>
    </xf>
    <xf numFmtId="9" fontId="31" fillId="3" borderId="40" xfId="625" applyFont="1" applyFill="1" applyBorder="1" applyAlignment="1">
      <alignment horizontal="right"/>
    </xf>
    <xf numFmtId="0" fontId="34" fillId="3" borderId="40" xfId="13" applyFont="1" applyFill="1" applyBorder="1" applyAlignment="1">
      <alignment horizontal="right"/>
    </xf>
    <xf numFmtId="235" fontId="147" fillId="3" borderId="40" xfId="632" applyNumberFormat="1" applyFont="1" applyFill="1" applyBorder="1" applyAlignment="1">
      <alignment horizontal="right"/>
    </xf>
    <xf numFmtId="0" fontId="31" fillId="3" borderId="39" xfId="13" applyFont="1" applyFill="1" applyBorder="1" applyAlignment="1">
      <alignment wrapText="1"/>
    </xf>
    <xf numFmtId="0" fontId="31" fillId="3" borderId="39" xfId="13" applyFont="1" applyFill="1" applyBorder="1" applyAlignment="1">
      <alignment horizontal="left" wrapText="1"/>
    </xf>
    <xf numFmtId="0" fontId="31" fillId="3" borderId="39" xfId="13" applyFont="1" applyFill="1" applyBorder="1" applyAlignment="1">
      <alignment horizontal="right"/>
    </xf>
    <xf numFmtId="2" fontId="31" fillId="3" borderId="39" xfId="13" applyNumberFormat="1" applyFont="1" applyFill="1" applyBorder="1" applyAlignment="1">
      <alignment horizontal="right"/>
    </xf>
    <xf numFmtId="1" fontId="31" fillId="3" borderId="39" xfId="13" applyNumberFormat="1" applyFont="1" applyFill="1" applyBorder="1" applyAlignment="1">
      <alignment horizontal="right"/>
    </xf>
    <xf numFmtId="0" fontId="31" fillId="0" borderId="0" xfId="13" applyFont="1" applyAlignment="1">
      <alignment horizontal="left" wrapText="1"/>
    </xf>
    <xf numFmtId="235" fontId="32" fillId="0" borderId="40" xfId="632" applyNumberFormat="1" applyFont="1" applyFill="1" applyBorder="1" applyAlignment="1">
      <alignment horizontal="right"/>
    </xf>
    <xf numFmtId="2" fontId="33" fillId="3" borderId="40" xfId="13" applyNumberFormat="1" applyFont="1" applyFill="1" applyBorder="1" applyAlignment="1">
      <alignment horizontal="right"/>
    </xf>
    <xf numFmtId="0" fontId="31" fillId="0" borderId="43" xfId="13" applyFont="1" applyBorder="1" applyAlignment="1">
      <alignment horizontal="left" wrapText="1" indent="2"/>
    </xf>
    <xf numFmtId="0" fontId="33" fillId="3" borderId="43" xfId="13" applyFont="1" applyFill="1" applyBorder="1" applyAlignment="1">
      <alignment horizontal="left" wrapText="1" indent="2"/>
    </xf>
    <xf numFmtId="168" fontId="33" fillId="3" borderId="44" xfId="625" applyNumberFormat="1" applyFont="1" applyFill="1" applyBorder="1" applyAlignment="1">
      <alignment horizontal="right"/>
    </xf>
    <xf numFmtId="168" fontId="33" fillId="3" borderId="14" xfId="301" applyNumberFormat="1" applyFont="1" applyFill="1" applyBorder="1" applyAlignment="1">
      <alignment horizontal="right" vertical="center"/>
    </xf>
    <xf numFmtId="9" fontId="148" fillId="0" borderId="39" xfId="625" applyFont="1" applyFill="1" applyBorder="1" applyAlignment="1">
      <alignment horizontal="right"/>
    </xf>
    <xf numFmtId="168" fontId="33" fillId="0" borderId="39" xfId="625" applyNumberFormat="1" applyFont="1" applyFill="1" applyBorder="1" applyAlignment="1">
      <alignment horizontal="right"/>
    </xf>
    <xf numFmtId="9" fontId="149" fillId="3" borderId="40" xfId="625" applyFont="1" applyFill="1" applyBorder="1" applyAlignment="1">
      <alignment horizontal="right"/>
    </xf>
    <xf numFmtId="235" fontId="31" fillId="0" borderId="14" xfId="632" applyNumberFormat="1" applyFont="1" applyFill="1" applyBorder="1"/>
    <xf numFmtId="0" fontId="33" fillId="0" borderId="0" xfId="301" applyFont="1" applyAlignment="1">
      <alignment vertical="center" wrapText="1"/>
    </xf>
    <xf numFmtId="0" fontId="33" fillId="0" borderId="0" xfId="13" applyFont="1" applyAlignment="1">
      <alignment horizontal="right"/>
    </xf>
    <xf numFmtId="1" fontId="31" fillId="3" borderId="0" xfId="13" applyNumberFormat="1" applyFont="1" applyFill="1"/>
    <xf numFmtId="0" fontId="33" fillId="0" borderId="0" xfId="13" applyFont="1"/>
    <xf numFmtId="168" fontId="31" fillId="0" borderId="0" xfId="13" applyNumberFormat="1" applyFont="1" applyAlignment="1">
      <alignment horizontal="right" vertical="center"/>
    </xf>
    <xf numFmtId="238" fontId="46" fillId="0" borderId="18" xfId="632" applyNumberFormat="1" applyFont="1" applyFill="1" applyBorder="1" applyAlignment="1">
      <alignment horizontal="right" vertical="center"/>
    </xf>
    <xf numFmtId="168" fontId="46" fillId="0" borderId="18" xfId="625" applyNumberFormat="1" applyFont="1" applyFill="1" applyBorder="1" applyAlignment="1">
      <alignment vertical="center"/>
    </xf>
    <xf numFmtId="168" fontId="46" fillId="0" borderId="18" xfId="625" applyNumberFormat="1" applyFont="1" applyBorder="1" applyAlignment="1">
      <alignment vertical="center"/>
    </xf>
    <xf numFmtId="9" fontId="46" fillId="0" borderId="18" xfId="0" applyNumberFormat="1" applyFont="1" applyBorder="1" applyAlignment="1">
      <alignment vertical="center"/>
    </xf>
    <xf numFmtId="168" fontId="46" fillId="0" borderId="18" xfId="625" applyNumberFormat="1" applyFont="1" applyBorder="1" applyAlignment="1">
      <alignment horizontal="right" vertical="center"/>
    </xf>
    <xf numFmtId="235" fontId="7" fillId="0" borderId="0" xfId="632" applyNumberFormat="1" applyFont="1" applyBorder="1" applyAlignment="1">
      <alignment horizontal="right" vertical="center"/>
    </xf>
    <xf numFmtId="0" fontId="31" fillId="0" borderId="0" xfId="13" applyFont="1" applyAlignment="1">
      <alignment wrapText="1"/>
    </xf>
    <xf numFmtId="195" fontId="31" fillId="0" borderId="43" xfId="632" applyNumberFormat="1" applyFont="1" applyFill="1" applyBorder="1" applyAlignment="1">
      <alignment horizontal="right"/>
    </xf>
    <xf numFmtId="4" fontId="31" fillId="3" borderId="40" xfId="13" applyNumberFormat="1" applyFont="1" applyFill="1" applyBorder="1" applyAlignment="1">
      <alignment horizontal="right"/>
    </xf>
    <xf numFmtId="181" fontId="59" fillId="0" borderId="0" xfId="639" applyNumberFormat="1" applyFont="1" applyAlignment="1">
      <alignment horizontal="center" vertical="center"/>
    </xf>
    <xf numFmtId="235" fontId="31" fillId="3" borderId="0" xfId="632" applyNumberFormat="1" applyFont="1" applyFill="1" applyBorder="1" applyAlignment="1">
      <alignment horizontal="right"/>
    </xf>
    <xf numFmtId="3" fontId="32" fillId="3" borderId="0" xfId="3" applyNumberFormat="1" applyFont="1" applyFill="1" applyBorder="1" applyAlignment="1">
      <alignment horizontal="right"/>
    </xf>
    <xf numFmtId="0" fontId="33" fillId="3" borderId="0" xfId="13" applyFont="1" applyFill="1" applyAlignment="1">
      <alignment horizontal="right"/>
    </xf>
    <xf numFmtId="235" fontId="31" fillId="0" borderId="0" xfId="13" applyNumberFormat="1" applyFont="1" applyAlignment="1">
      <alignment horizontal="right" vertical="center"/>
    </xf>
    <xf numFmtId="177" fontId="31" fillId="3" borderId="0" xfId="13" applyNumberFormat="1" applyFont="1" applyFill="1" applyAlignment="1">
      <alignment horizontal="right"/>
    </xf>
    <xf numFmtId="168" fontId="33" fillId="3" borderId="0" xfId="625" applyNumberFormat="1" applyFont="1" applyFill="1" applyBorder="1" applyAlignment="1">
      <alignment horizontal="right"/>
    </xf>
    <xf numFmtId="168" fontId="33" fillId="3" borderId="0" xfId="13" applyNumberFormat="1" applyFont="1" applyFill="1" applyAlignment="1">
      <alignment horizontal="right"/>
    </xf>
    <xf numFmtId="43" fontId="31" fillId="3" borderId="0" xfId="632" applyFont="1" applyFill="1" applyBorder="1" applyAlignment="1">
      <alignment horizontal="right"/>
    </xf>
    <xf numFmtId="0" fontId="280" fillId="67" borderId="0" xfId="16" applyFont="1" applyFill="1"/>
    <xf numFmtId="0" fontId="281" fillId="67" borderId="0" xfId="16" applyFont="1" applyFill="1" applyAlignment="1">
      <alignment horizontal="right"/>
    </xf>
    <xf numFmtId="0" fontId="282" fillId="67" borderId="0" xfId="16" applyFont="1" applyFill="1"/>
    <xf numFmtId="0" fontId="153" fillId="67" borderId="0" xfId="16" applyFont="1" applyFill="1"/>
    <xf numFmtId="179" fontId="153" fillId="67" borderId="0" xfId="16" applyNumberFormat="1" applyFont="1" applyFill="1"/>
    <xf numFmtId="179" fontId="153" fillId="67" borderId="0" xfId="16" quotePrefix="1" applyNumberFormat="1" applyFont="1" applyFill="1" applyAlignment="1">
      <alignment horizontal="right"/>
    </xf>
    <xf numFmtId="0" fontId="47" fillId="68" borderId="0" xfId="16" applyFont="1" applyFill="1"/>
    <xf numFmtId="0" fontId="52" fillId="68" borderId="0" xfId="16" applyFont="1" applyFill="1" applyAlignment="1">
      <alignment horizontal="right"/>
    </xf>
    <xf numFmtId="164" fontId="46" fillId="69" borderId="0" xfId="16" applyNumberFormat="1" applyFont="1" applyFill="1"/>
    <xf numFmtId="179" fontId="52" fillId="68" borderId="0" xfId="16" applyNumberFormat="1" applyFont="1" applyFill="1" applyAlignment="1">
      <alignment horizontal="right"/>
    </xf>
    <xf numFmtId="0" fontId="37" fillId="67" borderId="0" xfId="13" applyFont="1" applyFill="1" applyAlignment="1">
      <alignment wrapText="1"/>
    </xf>
    <xf numFmtId="0" fontId="144" fillId="67" borderId="15" xfId="301" applyFont="1" applyFill="1" applyBorder="1" applyAlignment="1">
      <alignment vertical="center" wrapText="1"/>
    </xf>
    <xf numFmtId="175" fontId="144" fillId="67" borderId="15" xfId="301" applyNumberFormat="1" applyFont="1" applyFill="1" applyBorder="1" applyAlignment="1">
      <alignment horizontal="right" vertical="center"/>
    </xf>
    <xf numFmtId="0" fontId="144" fillId="67" borderId="15" xfId="13" applyFont="1" applyFill="1" applyBorder="1" applyAlignment="1">
      <alignment horizontal="right"/>
    </xf>
    <xf numFmtId="0" fontId="144" fillId="67" borderId="0" xfId="13" applyFont="1" applyFill="1" applyAlignment="1">
      <alignment horizontal="right"/>
    </xf>
    <xf numFmtId="0" fontId="32" fillId="68" borderId="14" xfId="301" applyFont="1" applyFill="1" applyBorder="1" applyAlignment="1">
      <alignment vertical="center" wrapText="1"/>
    </xf>
    <xf numFmtId="174" fontId="32" fillId="68" borderId="14" xfId="301" applyNumberFormat="1" applyFont="1" applyFill="1" applyBorder="1" applyAlignment="1">
      <alignment horizontal="right" vertical="center"/>
    </xf>
    <xf numFmtId="235" fontId="32" fillId="68" borderId="14" xfId="632" applyNumberFormat="1" applyFont="1" applyFill="1" applyBorder="1" applyAlignment="1">
      <alignment horizontal="right" vertical="center"/>
    </xf>
    <xf numFmtId="235" fontId="32" fillId="68" borderId="14" xfId="632" applyNumberFormat="1" applyFont="1" applyFill="1" applyBorder="1" applyAlignment="1">
      <alignment horizontal="right"/>
    </xf>
    <xf numFmtId="3" fontId="32" fillId="68" borderId="0" xfId="13" applyNumberFormat="1" applyFont="1" applyFill="1" applyAlignment="1">
      <alignment horizontal="right"/>
    </xf>
    <xf numFmtId="3" fontId="32" fillId="68" borderId="0" xfId="632" applyNumberFormat="1" applyFont="1" applyFill="1" applyBorder="1" applyAlignment="1">
      <alignment horizontal="right" vertical="center"/>
    </xf>
    <xf numFmtId="2" fontId="144" fillId="67" borderId="0" xfId="13" applyNumberFormat="1" applyFont="1" applyFill="1" applyAlignment="1">
      <alignment wrapText="1"/>
    </xf>
    <xf numFmtId="2" fontId="144" fillId="67" borderId="0" xfId="13" applyNumberFormat="1" applyFont="1" applyFill="1" applyAlignment="1">
      <alignment horizontal="left" wrapText="1"/>
    </xf>
    <xf numFmtId="1" fontId="144" fillId="67" borderId="0" xfId="3" applyNumberFormat="1" applyFont="1" applyFill="1" applyBorder="1" applyAlignment="1">
      <alignment horizontal="right"/>
    </xf>
    <xf numFmtId="2" fontId="144" fillId="67" borderId="0" xfId="13" applyNumberFormat="1" applyFont="1" applyFill="1" applyAlignment="1">
      <alignment horizontal="right"/>
    </xf>
    <xf numFmtId="0" fontId="34" fillId="68" borderId="39" xfId="13" applyFont="1" applyFill="1" applyBorder="1" applyAlignment="1">
      <alignment wrapText="1"/>
    </xf>
    <xf numFmtId="0" fontId="34" fillId="68" borderId="39" xfId="13" applyFont="1" applyFill="1" applyBorder="1" applyAlignment="1">
      <alignment horizontal="right"/>
    </xf>
    <xf numFmtId="0" fontId="32" fillId="69" borderId="40" xfId="13" applyFont="1" applyFill="1" applyBorder="1" applyAlignment="1">
      <alignment wrapText="1"/>
    </xf>
    <xf numFmtId="0" fontId="32" fillId="69" borderId="40" xfId="13" applyFont="1" applyFill="1" applyBorder="1" applyAlignment="1">
      <alignment horizontal="right"/>
    </xf>
    <xf numFmtId="0" fontId="32" fillId="69" borderId="0" xfId="13" applyFont="1" applyFill="1" applyAlignment="1">
      <alignment horizontal="right"/>
    </xf>
    <xf numFmtId="177" fontId="32" fillId="69" borderId="40" xfId="13" applyNumberFormat="1" applyFont="1" applyFill="1" applyBorder="1" applyAlignment="1">
      <alignment horizontal="right"/>
    </xf>
    <xf numFmtId="0" fontId="32" fillId="66" borderId="40" xfId="13" applyFont="1" applyFill="1" applyBorder="1" applyAlignment="1">
      <alignment vertical="center" wrapText="1"/>
    </xf>
    <xf numFmtId="0" fontId="32" fillId="66" borderId="40" xfId="13" applyFont="1" applyFill="1" applyBorder="1" applyAlignment="1">
      <alignment horizontal="right" vertical="center"/>
    </xf>
    <xf numFmtId="235" fontId="32" fillId="66" borderId="0" xfId="13" applyNumberFormat="1" applyFont="1" applyFill="1" applyAlignment="1">
      <alignment horizontal="right" vertical="center"/>
    </xf>
    <xf numFmtId="0" fontId="32" fillId="66" borderId="0" xfId="13" applyFont="1" applyFill="1" applyAlignment="1">
      <alignment horizontal="right" vertical="center"/>
    </xf>
    <xf numFmtId="2" fontId="32" fillId="68" borderId="42" xfId="13" applyNumberFormat="1" applyFont="1" applyFill="1" applyBorder="1" applyAlignment="1">
      <alignment wrapText="1"/>
    </xf>
    <xf numFmtId="2" fontId="32" fillId="68" borderId="42" xfId="13" applyNumberFormat="1" applyFont="1" applyFill="1" applyBorder="1" applyAlignment="1">
      <alignment horizontal="left" wrapText="1"/>
    </xf>
    <xf numFmtId="1" fontId="32" fillId="68" borderId="42" xfId="3" applyNumberFormat="1" applyFont="1" applyFill="1" applyBorder="1" applyAlignment="1">
      <alignment horizontal="right"/>
    </xf>
    <xf numFmtId="0" fontId="32" fillId="69" borderId="43" xfId="13" applyFont="1" applyFill="1" applyBorder="1" applyAlignment="1">
      <alignment wrapText="1"/>
    </xf>
    <xf numFmtId="0" fontId="32" fillId="69" borderId="43" xfId="13" applyFont="1" applyFill="1" applyBorder="1" applyAlignment="1">
      <alignment horizontal="right"/>
    </xf>
    <xf numFmtId="235" fontId="32" fillId="69" borderId="43" xfId="13" applyNumberFormat="1" applyFont="1" applyFill="1" applyBorder="1" applyAlignment="1">
      <alignment horizontal="right"/>
    </xf>
    <xf numFmtId="0" fontId="32" fillId="69" borderId="42" xfId="13" applyFont="1" applyFill="1" applyBorder="1" applyAlignment="1">
      <alignment wrapText="1"/>
    </xf>
    <xf numFmtId="0" fontId="32" fillId="69" borderId="42" xfId="13" applyFont="1" applyFill="1" applyBorder="1" applyAlignment="1">
      <alignment horizontal="right"/>
    </xf>
    <xf numFmtId="235" fontId="32" fillId="69" borderId="42" xfId="632" applyNumberFormat="1" applyFont="1" applyFill="1" applyBorder="1" applyAlignment="1">
      <alignment horizontal="right"/>
    </xf>
    <xf numFmtId="0" fontId="32" fillId="66" borderId="42" xfId="13" applyFont="1" applyFill="1" applyBorder="1" applyAlignment="1">
      <alignment wrapText="1"/>
    </xf>
    <xf numFmtId="0" fontId="32" fillId="66" borderId="42" xfId="13" applyFont="1" applyFill="1" applyBorder="1" applyAlignment="1">
      <alignment horizontal="right"/>
    </xf>
    <xf numFmtId="235" fontId="145" fillId="66" borderId="42" xfId="632" applyNumberFormat="1" applyFont="1" applyFill="1" applyBorder="1" applyAlignment="1">
      <alignment horizontal="right"/>
    </xf>
    <xf numFmtId="235" fontId="32" fillId="66" borderId="42" xfId="13" applyNumberFormat="1" applyFont="1" applyFill="1" applyBorder="1" applyAlignment="1">
      <alignment horizontal="right"/>
    </xf>
    <xf numFmtId="235" fontId="32" fillId="66" borderId="42" xfId="632" applyNumberFormat="1" applyFont="1" applyFill="1" applyBorder="1" applyAlignment="1">
      <alignment horizontal="right"/>
    </xf>
    <xf numFmtId="0" fontId="31" fillId="70" borderId="14" xfId="301" applyFont="1" applyFill="1" applyBorder="1" applyAlignment="1">
      <alignment vertical="center" wrapText="1"/>
    </xf>
    <xf numFmtId="3" fontId="31" fillId="70" borderId="0" xfId="13" applyNumberFormat="1" applyFont="1" applyFill="1" applyAlignment="1">
      <alignment horizontal="right"/>
    </xf>
    <xf numFmtId="235" fontId="31" fillId="70" borderId="14" xfId="632" applyNumberFormat="1" applyFont="1" applyFill="1" applyBorder="1" applyAlignment="1">
      <alignment horizontal="right" vertical="center"/>
    </xf>
    <xf numFmtId="2" fontId="283" fillId="67" borderId="0" xfId="13" applyNumberFormat="1" applyFont="1" applyFill="1"/>
    <xf numFmtId="181" fontId="31" fillId="68" borderId="0" xfId="1" applyNumberFormat="1" applyFont="1" applyFill="1" applyAlignment="1">
      <alignment horizontal="left" vertical="top" wrapText="1"/>
    </xf>
    <xf numFmtId="176" fontId="31" fillId="68" borderId="0" xfId="302" applyNumberFormat="1" applyFont="1" applyFill="1"/>
    <xf numFmtId="4" fontId="32" fillId="69" borderId="0" xfId="3" applyNumberFormat="1" applyFont="1" applyFill="1" applyBorder="1" applyAlignment="1">
      <alignment horizontal="right"/>
    </xf>
    <xf numFmtId="0" fontId="31" fillId="69" borderId="0" xfId="13" applyFont="1" applyFill="1"/>
    <xf numFmtId="2" fontId="31" fillId="69" borderId="0" xfId="13" applyNumberFormat="1" applyFont="1" applyFill="1"/>
    <xf numFmtId="9" fontId="32" fillId="69" borderId="0" xfId="3" applyFont="1" applyFill="1" applyBorder="1" applyAlignment="1">
      <alignment horizontal="right"/>
    </xf>
    <xf numFmtId="9" fontId="32" fillId="69" borderId="40" xfId="3" applyFont="1" applyFill="1" applyBorder="1" applyAlignment="1">
      <alignment horizontal="right"/>
    </xf>
    <xf numFmtId="0" fontId="34" fillId="68" borderId="0" xfId="13" applyFont="1" applyFill="1" applyAlignment="1">
      <alignment horizontal="right"/>
    </xf>
    <xf numFmtId="9" fontId="32" fillId="66" borderId="0" xfId="3" applyFont="1" applyFill="1" applyBorder="1" applyAlignment="1">
      <alignment horizontal="right" vertical="center"/>
    </xf>
    <xf numFmtId="3" fontId="32" fillId="69" borderId="0" xfId="13" applyNumberFormat="1" applyFont="1" applyFill="1" applyAlignment="1">
      <alignment horizontal="right"/>
    </xf>
    <xf numFmtId="3" fontId="32" fillId="66" borderId="0" xfId="13" applyNumberFormat="1" applyFont="1" applyFill="1" applyAlignment="1">
      <alignment horizontal="right"/>
    </xf>
    <xf numFmtId="3" fontId="145" fillId="66" borderId="0" xfId="13" applyNumberFormat="1" applyFont="1" applyFill="1" applyAlignment="1">
      <alignment horizontal="right"/>
    </xf>
    <xf numFmtId="235" fontId="32" fillId="66" borderId="0" xfId="632" applyNumberFormat="1" applyFont="1" applyFill="1" applyBorder="1" applyAlignment="1">
      <alignment horizontal="right"/>
    </xf>
    <xf numFmtId="235" fontId="32" fillId="71" borderId="14" xfId="632" applyNumberFormat="1" applyFont="1" applyFill="1" applyBorder="1" applyAlignment="1">
      <alignment horizontal="right"/>
    </xf>
    <xf numFmtId="43" fontId="32" fillId="71" borderId="14" xfId="632" applyFont="1" applyFill="1" applyBorder="1" applyAlignment="1">
      <alignment horizontal="right"/>
    </xf>
    <xf numFmtId="0" fontId="31" fillId="72" borderId="0" xfId="13" applyFont="1" applyFill="1"/>
    <xf numFmtId="0" fontId="32" fillId="72" borderId="0" xfId="13" applyFont="1" applyFill="1"/>
    <xf numFmtId="0" fontId="33" fillId="72" borderId="0" xfId="13" applyFont="1" applyFill="1"/>
    <xf numFmtId="0" fontId="148" fillId="72" borderId="0" xfId="13" applyFont="1" applyFill="1" applyAlignment="1">
      <alignment horizontal="left" indent="1"/>
    </xf>
    <xf numFmtId="0" fontId="34" fillId="72" borderId="0" xfId="13" applyFont="1" applyFill="1"/>
    <xf numFmtId="2" fontId="31" fillId="72" borderId="0" xfId="13" applyNumberFormat="1" applyFont="1" applyFill="1"/>
    <xf numFmtId="2" fontId="33" fillId="72" borderId="0" xfId="13" applyNumberFormat="1" applyFont="1" applyFill="1"/>
    <xf numFmtId="235" fontId="31" fillId="72" borderId="0" xfId="632" applyNumberFormat="1" applyFont="1" applyFill="1" applyBorder="1"/>
    <xf numFmtId="235" fontId="32" fillId="72" borderId="0" xfId="632" applyNumberFormat="1" applyFont="1" applyFill="1" applyBorder="1" applyAlignment="1">
      <alignment vertical="center"/>
    </xf>
    <xf numFmtId="0" fontId="33" fillId="72" borderId="0" xfId="13" applyFont="1" applyFill="1" applyAlignment="1">
      <alignment horizontal="right" vertical="center"/>
    </xf>
    <xf numFmtId="0" fontId="31" fillId="72" borderId="0" xfId="13" applyFont="1" applyFill="1" applyAlignment="1">
      <alignment vertical="center"/>
    </xf>
    <xf numFmtId="9" fontId="33" fillId="72" borderId="0" xfId="625" applyFont="1" applyFill="1" applyBorder="1"/>
    <xf numFmtId="0" fontId="284" fillId="0" borderId="0" xfId="0" applyFont="1"/>
    <xf numFmtId="2" fontId="284" fillId="0" borderId="0" xfId="0" applyNumberFormat="1" applyFont="1"/>
    <xf numFmtId="235" fontId="284" fillId="0" borderId="0" xfId="0" applyNumberFormat="1" applyFont="1" applyAlignment="1">
      <alignment horizontal="right"/>
    </xf>
    <xf numFmtId="0" fontId="284" fillId="0" borderId="0" xfId="0" applyFont="1" applyAlignment="1">
      <alignment horizontal="right"/>
    </xf>
    <xf numFmtId="0" fontId="282" fillId="67" borderId="0" xfId="0" applyFont="1" applyFill="1"/>
    <xf numFmtId="236" fontId="282" fillId="67" borderId="0" xfId="0" applyNumberFormat="1" applyFont="1" applyFill="1" applyAlignment="1">
      <alignment horizontal="right"/>
    </xf>
    <xf numFmtId="0" fontId="285" fillId="68" borderId="0" xfId="0" applyFont="1" applyFill="1"/>
    <xf numFmtId="235" fontId="285" fillId="68" borderId="0" xfId="632" applyNumberFormat="1" applyFont="1" applyFill="1" applyBorder="1"/>
    <xf numFmtId="235" fontId="285" fillId="68" borderId="0" xfId="632" applyNumberFormat="1" applyFont="1" applyFill="1" applyAlignment="1">
      <alignment horizontal="right"/>
    </xf>
    <xf numFmtId="0" fontId="285" fillId="0" borderId="0" xfId="0" applyFont="1"/>
    <xf numFmtId="0" fontId="284" fillId="0" borderId="0" xfId="0" applyFont="1" applyAlignment="1">
      <alignment horizontal="left" indent="1"/>
    </xf>
    <xf numFmtId="235" fontId="284" fillId="0" borderId="0" xfId="632" applyNumberFormat="1" applyFont="1" applyBorder="1"/>
    <xf numFmtId="235" fontId="284" fillId="0" borderId="0" xfId="632" applyNumberFormat="1" applyFont="1" applyAlignment="1">
      <alignment horizontal="right"/>
    </xf>
    <xf numFmtId="1" fontId="284" fillId="0" borderId="0" xfId="0" applyNumberFormat="1" applyFont="1"/>
    <xf numFmtId="0" fontId="286" fillId="0" borderId="0" xfId="0" applyFont="1"/>
    <xf numFmtId="0" fontId="287" fillId="0" borderId="0" xfId="0" applyFont="1"/>
    <xf numFmtId="168" fontId="287" fillId="0" borderId="0" xfId="625" applyNumberFormat="1" applyFont="1" applyBorder="1"/>
    <xf numFmtId="168" fontId="287" fillId="0" borderId="0" xfId="0" applyNumberFormat="1" applyFont="1" applyAlignment="1">
      <alignment horizontal="right"/>
    </xf>
    <xf numFmtId="0" fontId="286" fillId="0" borderId="0" xfId="0" applyFont="1" applyAlignment="1">
      <alignment horizontal="left" indent="1"/>
    </xf>
    <xf numFmtId="168" fontId="286" fillId="0" borderId="0" xfId="625" applyNumberFormat="1" applyFont="1" applyBorder="1"/>
    <xf numFmtId="0" fontId="286" fillId="0" borderId="0" xfId="0" applyFont="1" applyAlignment="1">
      <alignment horizontal="right"/>
    </xf>
    <xf numFmtId="205" fontId="286" fillId="0" borderId="0" xfId="625" applyNumberFormat="1" applyFont="1" applyBorder="1"/>
    <xf numFmtId="205" fontId="286" fillId="0" borderId="0" xfId="625" applyNumberFormat="1" applyFont="1" applyAlignment="1">
      <alignment horizontal="right"/>
    </xf>
    <xf numFmtId="1" fontId="285" fillId="68" borderId="0" xfId="0" applyNumberFormat="1" applyFont="1" applyFill="1"/>
    <xf numFmtId="0" fontId="285" fillId="68" borderId="0" xfId="0" applyFont="1" applyFill="1" applyAlignment="1">
      <alignment horizontal="right"/>
    </xf>
    <xf numFmtId="0" fontId="284" fillId="0" borderId="0" xfId="0" applyFont="1" applyAlignment="1">
      <alignment horizontal="left"/>
    </xf>
    <xf numFmtId="1" fontId="284" fillId="0" borderId="0" xfId="632" applyNumberFormat="1" applyFont="1" applyBorder="1"/>
    <xf numFmtId="1" fontId="284" fillId="0" borderId="0" xfId="0" applyNumberFormat="1" applyFont="1" applyAlignment="1">
      <alignment horizontal="right"/>
    </xf>
    <xf numFmtId="0" fontId="285" fillId="0" borderId="0" xfId="0" applyFont="1" applyAlignment="1">
      <alignment horizontal="right"/>
    </xf>
    <xf numFmtId="0" fontId="287" fillId="0" borderId="0" xfId="0" applyFont="1" applyAlignment="1">
      <alignment horizontal="left" indent="2"/>
    </xf>
    <xf numFmtId="0" fontId="286" fillId="0" borderId="0" xfId="0" applyFont="1" applyAlignment="1">
      <alignment horizontal="left" indent="2"/>
    </xf>
    <xf numFmtId="0" fontId="52" fillId="68" borderId="0" xfId="16" applyFont="1" applyFill="1"/>
    <xf numFmtId="0" fontId="52" fillId="68" borderId="0" xfId="16" applyFont="1" applyFill="1" applyAlignment="1">
      <alignment horizontal="center"/>
    </xf>
    <xf numFmtId="0" fontId="89" fillId="69" borderId="0" xfId="1" applyFont="1" applyFill="1"/>
    <xf numFmtId="164" fontId="79" fillId="69" borderId="0" xfId="1" applyNumberFormat="1" applyFont="1" applyFill="1"/>
    <xf numFmtId="0" fontId="14" fillId="69" borderId="9" xfId="1" applyFont="1" applyFill="1" applyBorder="1"/>
    <xf numFmtId="164" fontId="14" fillId="69" borderId="9" xfId="1" applyNumberFormat="1" applyFont="1" applyFill="1" applyBorder="1"/>
    <xf numFmtId="181" fontId="59" fillId="69" borderId="0" xfId="634" applyNumberFormat="1" applyFont="1" applyFill="1" applyAlignment="1">
      <alignment horizontal="center" vertical="center"/>
    </xf>
    <xf numFmtId="181" fontId="59" fillId="69" borderId="0" xfId="635" applyNumberFormat="1" applyFont="1" applyFill="1" applyAlignment="1">
      <alignment horizontal="center" vertical="center"/>
    </xf>
    <xf numFmtId="181" fontId="288" fillId="67" borderId="0" xfId="1" applyNumberFormat="1" applyFont="1" applyFill="1" applyAlignment="1">
      <alignment horizontal="right" vertical="center"/>
    </xf>
    <xf numFmtId="194" fontId="288" fillId="67" borderId="0" xfId="1" applyNumberFormat="1" applyFont="1" applyFill="1" applyAlignment="1">
      <alignment horizontal="center" vertical="center"/>
    </xf>
    <xf numFmtId="194" fontId="288" fillId="73" borderId="0" xfId="1" applyNumberFormat="1" applyFont="1" applyFill="1" applyAlignment="1">
      <alignment horizontal="center" vertical="center"/>
    </xf>
    <xf numFmtId="194" fontId="288" fillId="67" borderId="0" xfId="635" applyNumberFormat="1" applyFont="1" applyFill="1" applyAlignment="1">
      <alignment horizontal="center" vertical="center"/>
    </xf>
    <xf numFmtId="181" fontId="59" fillId="68" borderId="0" xfId="1" applyNumberFormat="1" applyFont="1" applyFill="1" applyAlignment="1">
      <alignment vertical="center"/>
    </xf>
    <xf numFmtId="181" fontId="61" fillId="74" borderId="0" xfId="1" applyNumberFormat="1" applyFont="1" applyFill="1" applyAlignment="1">
      <alignment vertical="center"/>
    </xf>
    <xf numFmtId="181" fontId="59" fillId="68" borderId="0" xfId="635" applyNumberFormat="1" applyFont="1" applyFill="1">
      <alignment vertical="center"/>
    </xf>
    <xf numFmtId="181" fontId="59" fillId="68" borderId="0" xfId="633" applyNumberFormat="1" applyFont="1" applyFill="1">
      <alignment vertical="center"/>
    </xf>
    <xf numFmtId="181" fontId="59" fillId="68" borderId="0" xfId="0" applyNumberFormat="1" applyFont="1" applyFill="1" applyAlignment="1">
      <alignment vertical="center"/>
    </xf>
    <xf numFmtId="172" fontId="280" fillId="67" borderId="0" xfId="1" applyNumberFormat="1" applyFont="1" applyFill="1" applyAlignment="1" applyProtection="1">
      <alignment horizontal="left"/>
      <protection locked="0"/>
    </xf>
    <xf numFmtId="0" fontId="282" fillId="67" borderId="0" xfId="1" applyFont="1" applyFill="1" applyProtection="1">
      <protection locked="0"/>
    </xf>
    <xf numFmtId="0" fontId="282" fillId="67" borderId="0" xfId="1" applyFont="1" applyFill="1" applyAlignment="1" applyProtection="1">
      <alignment horizontal="right"/>
      <protection locked="0"/>
    </xf>
    <xf numFmtId="172" fontId="282" fillId="67" borderId="0" xfId="1" applyNumberFormat="1" applyFont="1" applyFill="1" applyAlignment="1" applyProtection="1">
      <alignment horizontal="left"/>
      <protection locked="0"/>
    </xf>
    <xf numFmtId="0" fontId="46" fillId="68" borderId="0" xfId="2" applyFont="1" applyFill="1"/>
    <xf numFmtId="0" fontId="7" fillId="68" borderId="0" xfId="2" applyFill="1"/>
    <xf numFmtId="0" fontId="4" fillId="68" borderId="0" xfId="2" applyFont="1" applyFill="1"/>
    <xf numFmtId="0" fontId="4" fillId="68" borderId="0" xfId="1" applyFill="1"/>
    <xf numFmtId="43" fontId="4" fillId="68" borderId="0" xfId="1" applyNumberFormat="1" applyFill="1"/>
    <xf numFmtId="0" fontId="7" fillId="69" borderId="0" xfId="2" applyFill="1"/>
    <xf numFmtId="0" fontId="46" fillId="69" borderId="0" xfId="2" applyFont="1" applyFill="1" applyAlignment="1">
      <alignment horizontal="center"/>
    </xf>
    <xf numFmtId="0" fontId="7" fillId="66" borderId="0" xfId="2" applyFill="1"/>
    <xf numFmtId="0" fontId="7" fillId="66" borderId="3" xfId="2" applyFill="1" applyBorder="1"/>
    <xf numFmtId="0" fontId="46" fillId="66" borderId="5" xfId="2" applyFont="1" applyFill="1" applyBorder="1"/>
    <xf numFmtId="0" fontId="46" fillId="66" borderId="0" xfId="2" applyFont="1" applyFill="1"/>
    <xf numFmtId="0" fontId="72" fillId="68" borderId="23" xfId="1" applyFont="1" applyFill="1" applyBorder="1"/>
    <xf numFmtId="0" fontId="75" fillId="68" borderId="18" xfId="1" applyFont="1" applyFill="1" applyBorder="1"/>
    <xf numFmtId="0" fontId="4" fillId="68" borderId="18" xfId="1" applyFill="1" applyBorder="1"/>
    <xf numFmtId="0" fontId="7" fillId="68" borderId="18" xfId="2" applyFill="1" applyBorder="1"/>
    <xf numFmtId="0" fontId="4" fillId="68" borderId="22" xfId="1" applyFill="1" applyBorder="1"/>
    <xf numFmtId="0" fontId="7" fillId="66" borderId="5" xfId="2" applyFill="1" applyBorder="1"/>
    <xf numFmtId="0" fontId="46" fillId="66" borderId="3" xfId="2" applyFont="1" applyFill="1" applyBorder="1"/>
    <xf numFmtId="0" fontId="46" fillId="66" borderId="21" xfId="2" applyFont="1" applyFill="1" applyBorder="1"/>
    <xf numFmtId="0" fontId="46" fillId="66" borderId="16" xfId="2" applyFont="1" applyFill="1" applyBorder="1"/>
    <xf numFmtId="0" fontId="46" fillId="66" borderId="16" xfId="2" applyFont="1" applyFill="1" applyBorder="1" applyAlignment="1">
      <alignment horizontal="center"/>
    </xf>
    <xf numFmtId="0" fontId="46" fillId="66" borderId="16" xfId="2" quotePrefix="1" applyFont="1" applyFill="1" applyBorder="1" applyAlignment="1">
      <alignment horizontal="right"/>
    </xf>
    <xf numFmtId="0" fontId="46" fillId="66" borderId="16" xfId="2" applyFont="1" applyFill="1" applyBorder="1" applyAlignment="1">
      <alignment horizontal="right"/>
    </xf>
    <xf numFmtId="0" fontId="46" fillId="66" borderId="1" xfId="2" applyFont="1" applyFill="1" applyBorder="1" applyAlignment="1">
      <alignment horizontal="right"/>
    </xf>
    <xf numFmtId="0" fontId="46" fillId="66" borderId="23" xfId="1" applyFont="1" applyFill="1" applyBorder="1"/>
    <xf numFmtId="0" fontId="7" fillId="66" borderId="18" xfId="1" applyFont="1" applyFill="1" applyBorder="1"/>
    <xf numFmtId="0" fontId="46" fillId="66" borderId="18" xfId="1" applyFont="1" applyFill="1" applyBorder="1" applyAlignment="1">
      <alignment horizontal="center"/>
    </xf>
    <xf numFmtId="0" fontId="46" fillId="66" borderId="0" xfId="1" applyFont="1" applyFill="1" applyAlignment="1">
      <alignment horizontal="center"/>
    </xf>
    <xf numFmtId="0" fontId="46" fillId="66" borderId="3" xfId="1" applyFont="1" applyFill="1" applyBorder="1" applyAlignment="1">
      <alignment horizontal="center"/>
    </xf>
    <xf numFmtId="0" fontId="46" fillId="66" borderId="23" xfId="2" applyFont="1" applyFill="1" applyBorder="1"/>
    <xf numFmtId="0" fontId="46" fillId="66" borderId="22" xfId="2" quotePrefix="1" applyFont="1" applyFill="1" applyBorder="1" applyAlignment="1">
      <alignment horizontal="center"/>
    </xf>
    <xf numFmtId="0" fontId="72" fillId="68" borderId="0" xfId="1" applyFont="1" applyFill="1"/>
    <xf numFmtId="0" fontId="7" fillId="66" borderId="29" xfId="17" applyFont="1" applyFill="1" applyBorder="1" applyAlignment="1">
      <alignment horizontal="center" vertical="center"/>
    </xf>
    <xf numFmtId="0" fontId="7" fillId="66" borderId="28" xfId="17" applyFont="1" applyFill="1" applyBorder="1" applyAlignment="1">
      <alignment horizontal="center" vertical="center"/>
    </xf>
    <xf numFmtId="0" fontId="46" fillId="66" borderId="27" xfId="17" applyFont="1" applyFill="1" applyBorder="1" applyAlignment="1">
      <alignment horizontal="center" vertical="center" wrapText="1"/>
    </xf>
    <xf numFmtId="197" fontId="46" fillId="66" borderId="25" xfId="17" applyNumberFormat="1" applyFont="1" applyFill="1" applyBorder="1" applyAlignment="1">
      <alignment horizontal="center" vertical="center"/>
    </xf>
    <xf numFmtId="197" fontId="44" fillId="66" borderId="25" xfId="17" applyNumberFormat="1" applyFont="1" applyFill="1" applyBorder="1" applyAlignment="1">
      <alignment horizontal="center" vertical="center"/>
    </xf>
    <xf numFmtId="196" fontId="46" fillId="66" borderId="24" xfId="17" applyNumberFormat="1" applyFont="1" applyFill="1" applyBorder="1" applyAlignment="1">
      <alignment horizontal="center" vertical="center"/>
    </xf>
    <xf numFmtId="196" fontId="44" fillId="66" borderId="24" xfId="17" applyNumberFormat="1" applyFont="1" applyFill="1" applyBorder="1" applyAlignment="1">
      <alignment horizontal="center" vertical="center"/>
    </xf>
    <xf numFmtId="198" fontId="289" fillId="66" borderId="26" xfId="17" applyNumberFormat="1" applyFont="1" applyFill="1" applyBorder="1" applyAlignment="1">
      <alignment horizontal="center" vertical="center"/>
    </xf>
    <xf numFmtId="0" fontId="290" fillId="67" borderId="0" xfId="0" applyFont="1" applyFill="1" applyAlignment="1">
      <alignment vertical="center"/>
    </xf>
    <xf numFmtId="0" fontId="291" fillId="67" borderId="0" xfId="0" applyFont="1" applyFill="1" applyAlignment="1">
      <alignment horizontal="right" vertical="center"/>
    </xf>
    <xf numFmtId="0" fontId="291" fillId="67" borderId="0" xfId="0" applyFont="1" applyFill="1" applyAlignment="1">
      <alignment vertical="center"/>
    </xf>
    <xf numFmtId="0" fontId="292" fillId="67" borderId="0" xfId="0" applyFont="1" applyFill="1"/>
    <xf numFmtId="0" fontId="291" fillId="67" borderId="16" xfId="0" applyFont="1" applyFill="1" applyBorder="1" applyAlignment="1">
      <alignment horizontal="right" vertical="center"/>
    </xf>
    <xf numFmtId="0" fontId="292" fillId="67" borderId="16" xfId="0" applyFont="1" applyFill="1" applyBorder="1"/>
    <xf numFmtId="0" fontId="46" fillId="68" borderId="9" xfId="0" applyFont="1" applyFill="1" applyBorder="1" applyAlignment="1">
      <alignment vertical="center"/>
    </xf>
    <xf numFmtId="0" fontId="46" fillId="68" borderId="9" xfId="0" applyFont="1" applyFill="1" applyBorder="1" applyAlignment="1">
      <alignment horizontal="right" vertical="center"/>
    </xf>
    <xf numFmtId="0" fontId="46" fillId="68" borderId="9" xfId="0" quotePrefix="1" applyFont="1" applyFill="1" applyBorder="1" applyAlignment="1">
      <alignment horizontal="right" vertical="center" wrapText="1"/>
    </xf>
    <xf numFmtId="9" fontId="46" fillId="68" borderId="0" xfId="625" applyFont="1" applyFill="1" applyBorder="1" applyAlignment="1">
      <alignment horizontal="right" vertical="center"/>
    </xf>
    <xf numFmtId="0" fontId="46" fillId="68" borderId="0" xfId="0" applyFont="1" applyFill="1" applyAlignment="1">
      <alignment horizontal="right" vertical="center"/>
    </xf>
    <xf numFmtId="9" fontId="46" fillId="68" borderId="9" xfId="625" applyFont="1" applyFill="1" applyBorder="1" applyAlignment="1">
      <alignment horizontal="right" vertical="center"/>
    </xf>
    <xf numFmtId="9" fontId="46" fillId="68" borderId="9" xfId="0" applyNumberFormat="1" applyFont="1" applyFill="1" applyBorder="1" applyAlignment="1">
      <alignment horizontal="right" vertical="center"/>
    </xf>
    <xf numFmtId="0" fontId="46" fillId="68" borderId="9" xfId="2" applyFont="1" applyFill="1" applyBorder="1"/>
    <xf numFmtId="0" fontId="46" fillId="68" borderId="9" xfId="2" applyFont="1" applyFill="1" applyBorder="1" applyAlignment="1">
      <alignment horizontal="center"/>
    </xf>
    <xf numFmtId="0" fontId="46" fillId="68" borderId="0" xfId="2" applyFont="1" applyFill="1" applyAlignment="1">
      <alignment horizontal="center"/>
    </xf>
    <xf numFmtId="0" fontId="11" fillId="71" borderId="0" xfId="1" applyFont="1" applyFill="1"/>
    <xf numFmtId="0" fontId="295" fillId="71" borderId="0" xfId="1" applyFont="1" applyFill="1"/>
    <xf numFmtId="164" fontId="295" fillId="71" borderId="0" xfId="1" applyNumberFormat="1" applyFont="1" applyFill="1"/>
    <xf numFmtId="168" fontId="295" fillId="71" borderId="0" xfId="1" applyNumberFormat="1" applyFont="1" applyFill="1"/>
    <xf numFmtId="9" fontId="10" fillId="0" borderId="2" xfId="2" applyNumberFormat="1" applyFont="1" applyBorder="1"/>
    <xf numFmtId="164" fontId="10" fillId="0" borderId="2" xfId="2" applyNumberFormat="1" applyFont="1" applyBorder="1" applyAlignment="1">
      <alignment horizontal="right"/>
    </xf>
    <xf numFmtId="0" fontId="296" fillId="0" borderId="0" xfId="1" applyFont="1"/>
    <xf numFmtId="37" fontId="9" fillId="0" borderId="0" xfId="2" applyNumberFormat="1" applyFont="1"/>
    <xf numFmtId="168" fontId="9" fillId="0" borderId="2" xfId="2" applyNumberFormat="1" applyFont="1" applyBorder="1" applyAlignment="1">
      <alignment horizontal="right"/>
    </xf>
    <xf numFmtId="168" fontId="9" fillId="0" borderId="0" xfId="2" applyNumberFormat="1" applyFont="1" applyAlignment="1">
      <alignment horizontal="right"/>
    </xf>
    <xf numFmtId="9" fontId="9" fillId="0" borderId="2" xfId="2" applyNumberFormat="1" applyFont="1" applyBorder="1" applyAlignment="1">
      <alignment horizontal="left" indent="1"/>
    </xf>
    <xf numFmtId="0" fontId="46" fillId="66" borderId="9" xfId="0" applyFont="1" applyFill="1" applyBorder="1" applyAlignment="1">
      <alignment vertical="center"/>
    </xf>
    <xf numFmtId="0" fontId="46" fillId="66" borderId="9" xfId="0" applyFont="1" applyFill="1" applyBorder="1" applyAlignment="1">
      <alignment horizontal="right" vertical="center"/>
    </xf>
    <xf numFmtId="9" fontId="46" fillId="66" borderId="0" xfId="625" applyFont="1" applyFill="1" applyBorder="1" applyAlignment="1">
      <alignment horizontal="right" vertical="center"/>
    </xf>
    <xf numFmtId="0" fontId="46" fillId="66" borderId="0" xfId="0" applyFont="1" applyFill="1" applyAlignment="1">
      <alignment horizontal="right" vertical="center"/>
    </xf>
    <xf numFmtId="9" fontId="46" fillId="66" borderId="9" xfId="625" applyFont="1" applyFill="1" applyBorder="1" applyAlignment="1">
      <alignment horizontal="right" vertical="center"/>
    </xf>
    <xf numFmtId="168" fontId="46" fillId="66" borderId="9" xfId="625" applyNumberFormat="1" applyFont="1" applyFill="1" applyBorder="1" applyAlignment="1">
      <alignment horizontal="right" vertical="center"/>
    </xf>
    <xf numFmtId="0" fontId="46" fillId="66" borderId="9" xfId="2" applyFont="1" applyFill="1" applyBorder="1"/>
    <xf numFmtId="164" fontId="46" fillId="66" borderId="9" xfId="2" applyNumberFormat="1" applyFont="1" applyFill="1" applyBorder="1" applyAlignment="1">
      <alignment horizontal="right"/>
    </xf>
    <xf numFmtId="164" fontId="46" fillId="66" borderId="0" xfId="2" applyNumberFormat="1" applyFont="1" applyFill="1" applyAlignment="1">
      <alignment horizontal="right"/>
    </xf>
    <xf numFmtId="9" fontId="46" fillId="66" borderId="9" xfId="2" applyNumberFormat="1" applyFont="1" applyFill="1" applyBorder="1" applyAlignment="1">
      <alignment horizontal="right"/>
    </xf>
    <xf numFmtId="0" fontId="46" fillId="69" borderId="9" xfId="2" applyFont="1" applyFill="1" applyBorder="1"/>
    <xf numFmtId="0" fontId="46" fillId="69" borderId="9" xfId="2" applyFont="1" applyFill="1" applyBorder="1" applyAlignment="1">
      <alignment horizontal="center"/>
    </xf>
    <xf numFmtId="9" fontId="46" fillId="69" borderId="9" xfId="2" applyNumberFormat="1" applyFont="1" applyFill="1" applyBorder="1" applyAlignment="1">
      <alignment horizontal="center"/>
    </xf>
    <xf numFmtId="185" fontId="46" fillId="69" borderId="9" xfId="2" applyNumberFormat="1" applyFont="1" applyFill="1" applyBorder="1" applyAlignment="1">
      <alignment horizontal="center"/>
    </xf>
    <xf numFmtId="192" fontId="7" fillId="0" borderId="0" xfId="0" applyNumberFormat="1" applyFont="1" applyAlignment="1">
      <alignment horizontal="right" vertical="center"/>
    </xf>
    <xf numFmtId="0" fontId="282" fillId="67" borderId="18" xfId="16" applyFont="1" applyFill="1" applyBorder="1"/>
    <xf numFmtId="0" fontId="282" fillId="67" borderId="18" xfId="16" applyFont="1" applyFill="1" applyBorder="1" applyAlignment="1">
      <alignment horizontal="right"/>
    </xf>
    <xf numFmtId="0" fontId="282" fillId="67" borderId="18" xfId="16" applyFont="1" applyFill="1" applyBorder="1" applyAlignment="1">
      <alignment horizontal="center"/>
    </xf>
    <xf numFmtId="164" fontId="7" fillId="75" borderId="0" xfId="1" applyNumberFormat="1" applyFont="1" applyFill="1" applyAlignment="1">
      <alignment horizontal="right"/>
    </xf>
    <xf numFmtId="166" fontId="7" fillId="75" borderId="0" xfId="3" applyNumberFormat="1" applyFont="1" applyFill="1" applyBorder="1" applyAlignment="1">
      <alignment horizontal="right"/>
    </xf>
    <xf numFmtId="168" fontId="7" fillId="75" borderId="0" xfId="3" applyNumberFormat="1" applyFont="1" applyFill="1" applyBorder="1" applyAlignment="1">
      <alignment horizontal="right"/>
    </xf>
    <xf numFmtId="184" fontId="7" fillId="75" borderId="0" xfId="1" applyNumberFormat="1" applyFont="1" applyFill="1" applyAlignment="1">
      <alignment horizontal="right"/>
    </xf>
    <xf numFmtId="184" fontId="7" fillId="75" borderId="16" xfId="1" applyNumberFormat="1" applyFont="1" applyFill="1" applyBorder="1" applyAlignment="1">
      <alignment horizontal="right"/>
    </xf>
    <xf numFmtId="41" fontId="148" fillId="3" borderId="14" xfId="13" applyNumberFormat="1" applyFont="1" applyFill="1" applyBorder="1" applyAlignment="1">
      <alignment horizontal="left" wrapText="1" indent="1"/>
    </xf>
    <xf numFmtId="41" fontId="148" fillId="3" borderId="14" xfId="13" applyNumberFormat="1" applyFont="1" applyFill="1" applyBorder="1" applyAlignment="1">
      <alignment horizontal="left" indent="1"/>
    </xf>
    <xf numFmtId="41" fontId="148" fillId="3" borderId="14" xfId="13" applyNumberFormat="1" applyFont="1" applyFill="1" applyBorder="1" applyAlignment="1">
      <alignment horizontal="right"/>
    </xf>
    <xf numFmtId="41" fontId="148" fillId="72" borderId="0" xfId="13" applyNumberFormat="1" applyFont="1" applyFill="1" applyAlignment="1">
      <alignment horizontal="left" indent="1"/>
    </xf>
    <xf numFmtId="41" fontId="148" fillId="3" borderId="14" xfId="13" applyNumberFormat="1" applyFont="1" applyFill="1" applyBorder="1" applyAlignment="1">
      <alignment horizontal="left" wrapText="1" indent="2"/>
    </xf>
    <xf numFmtId="41" fontId="148" fillId="3" borderId="14" xfId="13" applyNumberFormat="1" applyFont="1" applyFill="1" applyBorder="1" applyAlignment="1">
      <alignment horizontal="left" vertical="center" indent="1"/>
    </xf>
    <xf numFmtId="41" fontId="148" fillId="3" borderId="0" xfId="13" applyNumberFormat="1" applyFont="1" applyFill="1" applyAlignment="1">
      <alignment horizontal="left" indent="1"/>
    </xf>
    <xf numFmtId="41" fontId="149" fillId="3" borderId="14" xfId="301" applyNumberFormat="1" applyFont="1" applyFill="1" applyBorder="1" applyAlignment="1">
      <alignment horizontal="left" vertical="center" wrapText="1"/>
    </xf>
    <xf numFmtId="41" fontId="148" fillId="3" borderId="14" xfId="3" applyNumberFormat="1" applyFont="1" applyFill="1" applyBorder="1" applyAlignment="1">
      <alignment horizontal="right" vertical="center"/>
    </xf>
    <xf numFmtId="41" fontId="149" fillId="3" borderId="14" xfId="301" applyNumberFormat="1" applyFont="1" applyFill="1" applyBorder="1" applyAlignment="1">
      <alignment horizontal="right" vertical="center" wrapText="1"/>
    </xf>
    <xf numFmtId="41" fontId="149" fillId="3" borderId="14" xfId="1" applyNumberFormat="1" applyFont="1" applyFill="1" applyBorder="1" applyAlignment="1">
      <alignment horizontal="left" vertical="top" wrapText="1"/>
    </xf>
    <xf numFmtId="41" fontId="149" fillId="3" borderId="14" xfId="302" applyNumberFormat="1" applyFont="1" applyFill="1" applyBorder="1"/>
    <xf numFmtId="41" fontId="149" fillId="72" borderId="0" xfId="13" applyNumberFormat="1" applyFont="1" applyFill="1"/>
    <xf numFmtId="41" fontId="149" fillId="3" borderId="0" xfId="13" applyNumberFormat="1" applyFont="1" applyFill="1"/>
    <xf numFmtId="0" fontId="32" fillId="69" borderId="0" xfId="13" applyFont="1" applyFill="1" applyAlignment="1">
      <alignment wrapText="1"/>
    </xf>
    <xf numFmtId="0" fontId="33" fillId="3" borderId="14" xfId="301" applyFont="1" applyFill="1" applyBorder="1" applyAlignment="1">
      <alignment vertical="center" wrapText="1"/>
    </xf>
    <xf numFmtId="174" fontId="33" fillId="3" borderId="14" xfId="301" applyNumberFormat="1" applyFont="1" applyFill="1" applyBorder="1" applyAlignment="1">
      <alignment horizontal="right" vertical="center"/>
    </xf>
    <xf numFmtId="235" fontId="33" fillId="3" borderId="14" xfId="632" applyNumberFormat="1" applyFont="1" applyFill="1" applyBorder="1" applyAlignment="1">
      <alignment horizontal="right" vertical="center"/>
    </xf>
    <xf numFmtId="235" fontId="33" fillId="3" borderId="14" xfId="632" applyNumberFormat="1" applyFont="1" applyFill="1" applyBorder="1" applyAlignment="1">
      <alignment horizontal="right"/>
    </xf>
    <xf numFmtId="174" fontId="33" fillId="3" borderId="14" xfId="13" applyNumberFormat="1" applyFont="1" applyFill="1" applyBorder="1" applyAlignment="1">
      <alignment horizontal="right" vertical="center"/>
    </xf>
    <xf numFmtId="41" fontId="277" fillId="0" borderId="0" xfId="16" applyNumberFormat="1" applyFont="1"/>
    <xf numFmtId="41" fontId="297" fillId="0" borderId="0" xfId="16" applyNumberFormat="1" applyFont="1"/>
    <xf numFmtId="41" fontId="155" fillId="0" borderId="0" xfId="1" applyNumberFormat="1" applyFont="1"/>
    <xf numFmtId="235" fontId="298" fillId="68" borderId="14" xfId="632" applyNumberFormat="1" applyFont="1" applyFill="1" applyBorder="1" applyAlignment="1">
      <alignment horizontal="right" vertical="center"/>
    </xf>
    <xf numFmtId="235" fontId="299" fillId="3" borderId="14" xfId="632" applyNumberFormat="1" applyFont="1" applyFill="1" applyBorder="1"/>
    <xf numFmtId="235" fontId="299" fillId="3" borderId="14" xfId="632" applyNumberFormat="1" applyFont="1" applyFill="1" applyBorder="1" applyAlignment="1">
      <alignment vertical="center"/>
    </xf>
    <xf numFmtId="235" fontId="149" fillId="3" borderId="14" xfId="632" applyNumberFormat="1" applyFont="1" applyFill="1" applyBorder="1" applyAlignment="1">
      <alignment vertical="center"/>
    </xf>
    <xf numFmtId="235" fontId="299" fillId="64" borderId="14" xfId="632" applyNumberFormat="1" applyFont="1" applyFill="1" applyBorder="1" applyAlignment="1">
      <alignment horizontal="right" vertical="center"/>
    </xf>
    <xf numFmtId="235" fontId="299" fillId="64" borderId="14" xfId="632" applyNumberFormat="1" applyFont="1" applyFill="1" applyBorder="1" applyAlignment="1">
      <alignment horizontal="right"/>
    </xf>
    <xf numFmtId="235" fontId="298" fillId="3" borderId="14" xfId="632" applyNumberFormat="1" applyFont="1" applyFill="1" applyBorder="1" applyAlignment="1">
      <alignment vertical="center"/>
    </xf>
    <xf numFmtId="235" fontId="300" fillId="3" borderId="14" xfId="632" applyNumberFormat="1" applyFont="1" applyFill="1" applyBorder="1" applyAlignment="1">
      <alignment horizontal="right"/>
    </xf>
    <xf numFmtId="235" fontId="149" fillId="3" borderId="40" xfId="632" applyNumberFormat="1" applyFont="1" applyFill="1" applyBorder="1" applyAlignment="1">
      <alignment horizontal="right"/>
    </xf>
    <xf numFmtId="235" fontId="149" fillId="3" borderId="14" xfId="632" applyNumberFormat="1" applyFont="1" applyFill="1" applyBorder="1" applyAlignment="1">
      <alignment horizontal="right"/>
    </xf>
    <xf numFmtId="0" fontId="149" fillId="3" borderId="14" xfId="13" applyFont="1" applyFill="1" applyBorder="1" applyAlignment="1">
      <alignment horizontal="left" wrapText="1"/>
    </xf>
    <xf numFmtId="168" fontId="148" fillId="0" borderId="39" xfId="625" applyNumberFormat="1" applyFont="1" applyFill="1" applyBorder="1" applyAlignment="1">
      <alignment horizontal="right"/>
    </xf>
    <xf numFmtId="235" fontId="31" fillId="69" borderId="40" xfId="632" applyNumberFormat="1" applyFont="1" applyFill="1" applyBorder="1" applyAlignment="1">
      <alignment horizontal="right"/>
    </xf>
    <xf numFmtId="235" fontId="31" fillId="69" borderId="39" xfId="632" applyNumberFormat="1" applyFont="1" applyFill="1" applyBorder="1" applyAlignment="1">
      <alignment horizontal="right"/>
    </xf>
    <xf numFmtId="0" fontId="33" fillId="0" borderId="39" xfId="625" applyNumberFormat="1" applyFont="1" applyFill="1" applyBorder="1" applyAlignment="1">
      <alignment horizontal="right"/>
    </xf>
    <xf numFmtId="181" fontId="32" fillId="0" borderId="0" xfId="1" applyNumberFormat="1" applyFont="1" applyAlignment="1">
      <alignment horizontal="left" vertical="top" wrapText="1"/>
    </xf>
    <xf numFmtId="0" fontId="32" fillId="0" borderId="0" xfId="13" applyFont="1"/>
    <xf numFmtId="164" fontId="301" fillId="0" borderId="0" xfId="16" applyNumberFormat="1" applyFont="1"/>
    <xf numFmtId="3" fontId="146" fillId="3" borderId="43" xfId="13" applyNumberFormat="1" applyFont="1" applyFill="1" applyBorder="1" applyAlignment="1">
      <alignment horizontal="right"/>
    </xf>
    <xf numFmtId="179" fontId="277" fillId="0" borderId="0" xfId="16" applyNumberFormat="1" applyFont="1" applyAlignment="1">
      <alignment horizontal="right"/>
    </xf>
    <xf numFmtId="165" fontId="277" fillId="0" borderId="0" xfId="16" applyNumberFormat="1" applyFont="1"/>
    <xf numFmtId="164" fontId="277" fillId="0" borderId="0" xfId="16" applyNumberFormat="1" applyFont="1"/>
    <xf numFmtId="164" fontId="302" fillId="0" borderId="0" xfId="16" applyNumberFormat="1" applyFont="1"/>
    <xf numFmtId="0" fontId="303" fillId="69" borderId="0" xfId="16" applyFont="1" applyFill="1"/>
    <xf numFmtId="0" fontId="277" fillId="0" borderId="0" xfId="16" applyFont="1" applyAlignment="1">
      <alignment wrapText="1"/>
    </xf>
    <xf numFmtId="0" fontId="304" fillId="69" borderId="0" xfId="16" applyFont="1" applyFill="1" applyAlignment="1">
      <alignment horizontal="right"/>
    </xf>
    <xf numFmtId="0" fontId="155" fillId="0" borderId="0" xfId="1" applyFont="1"/>
    <xf numFmtId="0" fontId="277" fillId="0" borderId="0" xfId="16" applyFont="1"/>
    <xf numFmtId="164" fontId="297" fillId="69" borderId="0" xfId="16" applyNumberFormat="1" applyFont="1" applyFill="1"/>
    <xf numFmtId="1" fontId="301" fillId="0" borderId="0" xfId="0" applyNumberFormat="1" applyFont="1"/>
    <xf numFmtId="235" fontId="301" fillId="0" borderId="0" xfId="632" applyNumberFormat="1" applyFont="1" applyBorder="1"/>
    <xf numFmtId="168" fontId="305" fillId="3" borderId="0" xfId="0" applyNumberFormat="1" applyFont="1" applyFill="1" applyAlignment="1">
      <alignment horizontal="right"/>
    </xf>
    <xf numFmtId="1" fontId="277" fillId="0" borderId="0" xfId="0" applyNumberFormat="1" applyFont="1" applyAlignment="1">
      <alignment horizontal="right"/>
    </xf>
    <xf numFmtId="164" fontId="306" fillId="0" borderId="18" xfId="1" applyNumberFormat="1" applyFont="1" applyBorder="1"/>
    <xf numFmtId="43" fontId="306" fillId="0" borderId="18" xfId="1" applyNumberFormat="1" applyFont="1" applyBorder="1"/>
    <xf numFmtId="164" fontId="306" fillId="0" borderId="0" xfId="1" applyNumberFormat="1" applyFont="1"/>
    <xf numFmtId="164" fontId="307" fillId="0" borderId="0" xfId="1" applyNumberFormat="1" applyFont="1"/>
    <xf numFmtId="0" fontId="34" fillId="68" borderId="0" xfId="13" applyFont="1" applyFill="1" applyAlignment="1">
      <alignment wrapText="1"/>
    </xf>
    <xf numFmtId="0" fontId="33" fillId="3" borderId="0" xfId="13" applyFont="1" applyFill="1" applyAlignment="1">
      <alignment horizontal="left" wrapText="1"/>
    </xf>
    <xf numFmtId="1" fontId="146" fillId="3" borderId="0" xfId="3" applyNumberFormat="1" applyFont="1" applyFill="1" applyBorder="1" applyAlignment="1">
      <alignment horizontal="right"/>
    </xf>
    <xf numFmtId="1" fontId="149" fillId="3" borderId="0" xfId="3" applyNumberFormat="1" applyFont="1" applyFill="1" applyBorder="1" applyAlignment="1">
      <alignment horizontal="right"/>
    </xf>
    <xf numFmtId="0" fontId="32" fillId="66" borderId="0" xfId="13" applyFont="1" applyFill="1" applyAlignment="1">
      <alignment vertical="center" wrapText="1"/>
    </xf>
    <xf numFmtId="3" fontId="146" fillId="3" borderId="0" xfId="13" applyNumberFormat="1" applyFont="1" applyFill="1" applyAlignment="1">
      <alignment horizontal="right"/>
    </xf>
    <xf numFmtId="2" fontId="33" fillId="3" borderId="0" xfId="13" applyNumberFormat="1" applyFont="1" applyFill="1" applyAlignment="1">
      <alignment horizontal="right"/>
    </xf>
    <xf numFmtId="0" fontId="32" fillId="3" borderId="0" xfId="13" applyFont="1" applyFill="1" applyAlignment="1">
      <alignment horizontal="left" wrapText="1"/>
    </xf>
    <xf numFmtId="9" fontId="279" fillId="3" borderId="0" xfId="13" applyNumberFormat="1" applyFont="1" applyFill="1" applyAlignment="1">
      <alignment horizontal="right"/>
    </xf>
    <xf numFmtId="9" fontId="147" fillId="3" borderId="0" xfId="13" applyNumberFormat="1" applyFont="1" applyFill="1" applyAlignment="1">
      <alignment horizontal="right"/>
    </xf>
    <xf numFmtId="0" fontId="32" fillId="0" borderId="40" xfId="13" applyFont="1" applyBorder="1" applyAlignment="1">
      <alignment horizontal="left" wrapText="1"/>
    </xf>
    <xf numFmtId="0" fontId="32" fillId="3" borderId="40" xfId="13" applyFont="1" applyFill="1" applyBorder="1" applyAlignment="1">
      <alignment horizontal="left" wrapText="1" indent="1"/>
    </xf>
    <xf numFmtId="1" fontId="32" fillId="3" borderId="0" xfId="3" applyNumberFormat="1" applyFont="1" applyFill="1" applyBorder="1" applyAlignment="1">
      <alignment horizontal="right"/>
    </xf>
    <xf numFmtId="3" fontId="146" fillId="3" borderId="0" xfId="13" applyNumberFormat="1" applyFont="1" applyFill="1"/>
    <xf numFmtId="3" fontId="31" fillId="3" borderId="0" xfId="13" applyNumberFormat="1" applyFont="1" applyFill="1"/>
    <xf numFmtId="3" fontId="32" fillId="3" borderId="0" xfId="13" applyNumberFormat="1" applyFont="1" applyFill="1"/>
    <xf numFmtId="235" fontId="31" fillId="3" borderId="0" xfId="13" applyNumberFormat="1" applyFont="1" applyFill="1"/>
    <xf numFmtId="3" fontId="145" fillId="3" borderId="0" xfId="3" applyNumberFormat="1" applyFont="1" applyFill="1" applyBorder="1" applyAlignment="1">
      <alignment horizontal="right"/>
    </xf>
    <xf numFmtId="1" fontId="146" fillId="69" borderId="0" xfId="3" applyNumberFormat="1" applyFont="1" applyFill="1" applyBorder="1" applyAlignment="1">
      <alignment horizontal="right"/>
    </xf>
    <xf numFmtId="3" fontId="145" fillId="3" borderId="0" xfId="13" applyNumberFormat="1" applyFont="1" applyFill="1"/>
    <xf numFmtId="9" fontId="31" fillId="0" borderId="0" xfId="302" applyNumberFormat="1" applyFont="1"/>
    <xf numFmtId="9" fontId="32" fillId="3" borderId="0" xfId="632" applyNumberFormat="1" applyFont="1" applyFill="1" applyBorder="1" applyAlignment="1">
      <alignment horizontal="right"/>
    </xf>
    <xf numFmtId="9" fontId="31" fillId="3" borderId="0" xfId="632" applyNumberFormat="1" applyFont="1" applyFill="1" applyBorder="1" applyAlignment="1">
      <alignment horizontal="right"/>
    </xf>
    <xf numFmtId="0" fontId="32" fillId="0" borderId="0" xfId="13" applyFont="1" applyAlignment="1">
      <alignment wrapText="1"/>
    </xf>
    <xf numFmtId="9" fontId="32" fillId="0" borderId="0" xfId="3" applyFont="1" applyFill="1" applyBorder="1" applyAlignment="1">
      <alignment horizontal="right"/>
    </xf>
    <xf numFmtId="1" fontId="149" fillId="69" borderId="0" xfId="3" applyNumberFormat="1" applyFont="1" applyFill="1" applyBorder="1" applyAlignment="1">
      <alignment horizontal="right"/>
    </xf>
    <xf numFmtId="0" fontId="34" fillId="68" borderId="0" xfId="13" applyFont="1" applyFill="1" applyAlignment="1">
      <alignment horizontal="left"/>
    </xf>
    <xf numFmtId="9" fontId="31" fillId="3" borderId="14" xfId="632" applyNumberFormat="1" applyFont="1" applyFill="1" applyBorder="1" applyAlignment="1">
      <alignment horizontal="right" vertical="center"/>
    </xf>
    <xf numFmtId="2" fontId="308" fillId="3" borderId="14" xfId="3" applyNumberFormat="1" applyFont="1" applyFill="1" applyBorder="1" applyAlignment="1">
      <alignment horizontal="right" vertical="center"/>
    </xf>
    <xf numFmtId="0" fontId="69" fillId="67" borderId="0" xfId="2" applyFont="1" applyFill="1" applyAlignment="1">
      <alignment horizontal="right"/>
    </xf>
    <xf numFmtId="0" fontId="80" fillId="68" borderId="0" xfId="2" applyFont="1" applyFill="1" applyAlignment="1">
      <alignment horizontal="left"/>
    </xf>
    <xf numFmtId="0" fontId="80" fillId="68" borderId="0" xfId="2" applyFont="1" applyFill="1" applyAlignment="1">
      <alignment horizontal="right"/>
    </xf>
    <xf numFmtId="0" fontId="14" fillId="66" borderId="0" xfId="2" applyFont="1" applyFill="1"/>
    <xf numFmtId="0" fontId="7" fillId="66" borderId="0" xfId="2" applyFill="1" applyAlignment="1">
      <alignment horizontal="right"/>
    </xf>
    <xf numFmtId="164" fontId="7" fillId="66" borderId="0" xfId="2" applyNumberFormat="1" applyFill="1" applyAlignment="1">
      <alignment horizontal="right"/>
    </xf>
    <xf numFmtId="0" fontId="14" fillId="66" borderId="0" xfId="2" applyFont="1" applyFill="1" applyAlignment="1">
      <alignment horizontal="left"/>
    </xf>
    <xf numFmtId="0" fontId="80" fillId="66" borderId="0" xfId="2" applyFont="1" applyFill="1" applyAlignment="1">
      <alignment horizontal="right"/>
    </xf>
    <xf numFmtId="0" fontId="282" fillId="67" borderId="0" xfId="16" applyFont="1" applyFill="1" applyAlignment="1">
      <alignment horizontal="right"/>
    </xf>
    <xf numFmtId="9" fontId="146" fillId="3" borderId="40" xfId="625" applyFont="1" applyFill="1" applyBorder="1" applyAlignment="1">
      <alignment horizontal="right"/>
    </xf>
    <xf numFmtId="0" fontId="31" fillId="0" borderId="0" xfId="13" applyFont="1" applyAlignment="1">
      <alignment horizontal="left" wrapText="1" indent="2"/>
    </xf>
    <xf numFmtId="0" fontId="31" fillId="3" borderId="0" xfId="13" applyFont="1" applyFill="1" applyAlignment="1">
      <alignment horizontal="left" wrapText="1" indent="3"/>
    </xf>
    <xf numFmtId="168" fontId="31" fillId="3" borderId="40" xfId="625" applyNumberFormat="1" applyFont="1" applyFill="1" applyBorder="1" applyAlignment="1">
      <alignment horizontal="right"/>
    </xf>
    <xf numFmtId="9" fontId="31" fillId="3" borderId="0" xfId="625" applyFont="1" applyFill="1" applyBorder="1" applyAlignment="1">
      <alignment horizontal="right"/>
    </xf>
    <xf numFmtId="1" fontId="33" fillId="3" borderId="0" xfId="13" applyNumberFormat="1" applyFont="1" applyFill="1" applyAlignment="1">
      <alignment horizontal="right"/>
    </xf>
    <xf numFmtId="0" fontId="31" fillId="3" borderId="39" xfId="13" applyFont="1" applyFill="1" applyBorder="1" applyAlignment="1">
      <alignment horizontal="left" wrapText="1" indent="1"/>
    </xf>
    <xf numFmtId="235" fontId="145" fillId="3" borderId="0" xfId="632" applyNumberFormat="1" applyFont="1" applyFill="1" applyBorder="1" applyAlignment="1">
      <alignment horizontal="right"/>
    </xf>
    <xf numFmtId="41" fontId="32" fillId="0" borderId="0" xfId="1" applyNumberFormat="1" applyFont="1" applyAlignment="1">
      <alignment horizontal="left" vertical="top" wrapText="1"/>
    </xf>
    <xf numFmtId="41" fontId="32" fillId="0" borderId="0" xfId="302" applyNumberFormat="1" applyFont="1"/>
    <xf numFmtId="41" fontId="145" fillId="0" borderId="0" xfId="302" applyNumberFormat="1" applyFont="1"/>
    <xf numFmtId="0" fontId="309" fillId="0" borderId="39" xfId="13" applyFont="1" applyBorder="1" applyAlignment="1">
      <alignment horizontal="right"/>
    </xf>
    <xf numFmtId="9" fontId="31" fillId="0" borderId="0" xfId="625" applyFont="1" applyFill="1" applyBorder="1"/>
    <xf numFmtId="181" fontId="32" fillId="3" borderId="0" xfId="1" applyNumberFormat="1" applyFont="1" applyFill="1" applyAlignment="1">
      <alignment horizontal="left" vertical="top" wrapText="1"/>
    </xf>
    <xf numFmtId="176" fontId="32" fillId="3" borderId="0" xfId="302" applyNumberFormat="1" applyFont="1" applyFill="1"/>
    <xf numFmtId="195" fontId="32" fillId="3" borderId="0" xfId="632" applyNumberFormat="1" applyFont="1" applyFill="1" applyBorder="1" applyAlignment="1">
      <alignment horizontal="right"/>
    </xf>
    <xf numFmtId="235" fontId="31" fillId="69" borderId="0" xfId="632" applyNumberFormat="1" applyFont="1" applyFill="1" applyBorder="1" applyAlignment="1">
      <alignment horizontal="right"/>
    </xf>
    <xf numFmtId="0" fontId="32" fillId="3" borderId="39" xfId="13" applyFont="1" applyFill="1" applyBorder="1"/>
    <xf numFmtId="235" fontId="146" fillId="3" borderId="0" xfId="632" applyNumberFormat="1" applyFont="1" applyFill="1" applyBorder="1"/>
    <xf numFmtId="168" fontId="32" fillId="3" borderId="0" xfId="625" applyNumberFormat="1" applyFont="1" applyFill="1" applyBorder="1" applyAlignment="1">
      <alignment horizontal="right"/>
    </xf>
    <xf numFmtId="235" fontId="145" fillId="3" borderId="0" xfId="632" applyNumberFormat="1" applyFont="1" applyFill="1" applyBorder="1"/>
    <xf numFmtId="41" fontId="148" fillId="3" borderId="0" xfId="13" applyNumberFormat="1" applyFont="1" applyFill="1" applyAlignment="1">
      <alignment horizontal="right"/>
    </xf>
    <xf numFmtId="9" fontId="34" fillId="3" borderId="0" xfId="3" applyFont="1" applyFill="1" applyBorder="1" applyAlignment="1">
      <alignment horizontal="right" vertical="center"/>
    </xf>
    <xf numFmtId="9" fontId="33" fillId="3" borderId="0" xfId="3" applyFont="1" applyFill="1" applyBorder="1" applyAlignment="1">
      <alignment horizontal="right" vertical="center"/>
    </xf>
    <xf numFmtId="0" fontId="149" fillId="3" borderId="0" xfId="13" applyFont="1" applyFill="1" applyAlignment="1">
      <alignment horizontal="left" wrapText="1"/>
    </xf>
    <xf numFmtId="174" fontId="31" fillId="3" borderId="0" xfId="301" applyNumberFormat="1" applyFont="1" applyFill="1" applyAlignment="1">
      <alignment horizontal="right" vertical="center"/>
    </xf>
    <xf numFmtId="3" fontId="31" fillId="3" borderId="0" xfId="301" applyNumberFormat="1" applyFont="1" applyFill="1" applyAlignment="1">
      <alignment horizontal="right" vertical="center"/>
    </xf>
    <xf numFmtId="168" fontId="34" fillId="3" borderId="0" xfId="301" applyNumberFormat="1" applyFont="1" applyFill="1" applyAlignment="1">
      <alignment horizontal="right" vertical="center"/>
    </xf>
    <xf numFmtId="9" fontId="33" fillId="3" borderId="0" xfId="301" applyNumberFormat="1" applyFont="1" applyFill="1" applyAlignment="1">
      <alignment horizontal="right" vertical="center"/>
    </xf>
    <xf numFmtId="168" fontId="33" fillId="3" borderId="0" xfId="3" applyNumberFormat="1" applyFont="1" applyFill="1" applyBorder="1" applyAlignment="1">
      <alignment horizontal="right" vertical="center"/>
    </xf>
    <xf numFmtId="10" fontId="33" fillId="3" borderId="0" xfId="3" applyNumberFormat="1" applyFont="1" applyFill="1" applyBorder="1"/>
    <xf numFmtId="168" fontId="33" fillId="3" borderId="0" xfId="3" applyNumberFormat="1" applyFont="1" applyFill="1" applyBorder="1"/>
    <xf numFmtId="3" fontId="32" fillId="3" borderId="0" xfId="3" applyNumberFormat="1" applyFont="1" applyFill="1" applyBorder="1"/>
    <xf numFmtId="41" fontId="149" fillId="3" borderId="0" xfId="302" applyNumberFormat="1" applyFont="1" applyFill="1"/>
    <xf numFmtId="1" fontId="32" fillId="68" borderId="0" xfId="3" applyNumberFormat="1" applyFont="1" applyFill="1" applyBorder="1" applyAlignment="1">
      <alignment horizontal="right"/>
    </xf>
    <xf numFmtId="235" fontId="32" fillId="69" borderId="0" xfId="13" applyNumberFormat="1" applyFont="1" applyFill="1" applyAlignment="1">
      <alignment horizontal="right"/>
    </xf>
    <xf numFmtId="168" fontId="34" fillId="3" borderId="0" xfId="625" applyNumberFormat="1" applyFont="1" applyFill="1" applyBorder="1" applyAlignment="1">
      <alignment horizontal="right"/>
    </xf>
    <xf numFmtId="1" fontId="145" fillId="3" borderId="0" xfId="3" applyNumberFormat="1" applyFont="1" applyFill="1" applyBorder="1" applyAlignment="1">
      <alignment horizontal="right"/>
    </xf>
    <xf numFmtId="2" fontId="32" fillId="3" borderId="40" xfId="13" applyNumberFormat="1" applyFont="1" applyFill="1" applyBorder="1" applyAlignment="1">
      <alignment horizontal="right"/>
    </xf>
    <xf numFmtId="2" fontId="32" fillId="3" borderId="41" xfId="13" applyNumberFormat="1" applyFont="1" applyFill="1" applyBorder="1" applyAlignment="1">
      <alignment horizontal="right"/>
    </xf>
    <xf numFmtId="168" fontId="32" fillId="3" borderId="40" xfId="625" applyNumberFormat="1" applyFont="1" applyFill="1" applyBorder="1" applyAlignment="1">
      <alignment horizontal="right"/>
    </xf>
    <xf numFmtId="235" fontId="146" fillId="3" borderId="14" xfId="632" applyNumberFormat="1" applyFont="1" applyFill="1" applyBorder="1"/>
    <xf numFmtId="235" fontId="310" fillId="3" borderId="0" xfId="632" applyNumberFormat="1" applyFont="1" applyFill="1" applyBorder="1" applyAlignment="1">
      <alignment horizontal="right" vertical="center"/>
    </xf>
    <xf numFmtId="3" fontId="310" fillId="68" borderId="0" xfId="13" applyNumberFormat="1" applyFont="1" applyFill="1" applyAlignment="1">
      <alignment horizontal="right"/>
    </xf>
    <xf numFmtId="235" fontId="311" fillId="3" borderId="0" xfId="632" applyNumberFormat="1" applyFont="1" applyFill="1" applyBorder="1"/>
    <xf numFmtId="235" fontId="311" fillId="3" borderId="14" xfId="632" applyNumberFormat="1" applyFont="1" applyFill="1" applyBorder="1"/>
    <xf numFmtId="322" fontId="148" fillId="3" borderId="14" xfId="3" applyNumberFormat="1" applyFont="1" applyFill="1" applyBorder="1" applyAlignment="1">
      <alignment horizontal="right" vertical="center"/>
    </xf>
    <xf numFmtId="43" fontId="7" fillId="0" borderId="0" xfId="1" applyNumberFormat="1" applyFont="1"/>
    <xf numFmtId="168" fontId="146" fillId="3" borderId="39" xfId="625" applyNumberFormat="1" applyFont="1" applyFill="1" applyBorder="1" applyAlignment="1">
      <alignment horizontal="right"/>
    </xf>
    <xf numFmtId="235" fontId="32" fillId="3" borderId="39" xfId="632" applyNumberFormat="1" applyFont="1" applyFill="1" applyBorder="1" applyAlignment="1">
      <alignment horizontal="right"/>
    </xf>
    <xf numFmtId="0" fontId="32" fillId="0" borderId="40" xfId="13" applyFont="1" applyBorder="1" applyAlignment="1">
      <alignment horizontal="left" vertical="center" wrapText="1"/>
    </xf>
    <xf numFmtId="1" fontId="34" fillId="3" borderId="40" xfId="13" applyNumberFormat="1" applyFont="1" applyFill="1" applyBorder="1" applyAlignment="1">
      <alignment horizontal="right"/>
    </xf>
    <xf numFmtId="2" fontId="34" fillId="3" borderId="40" xfId="13" applyNumberFormat="1" applyFont="1" applyFill="1" applyBorder="1" applyAlignment="1">
      <alignment horizontal="right"/>
    </xf>
    <xf numFmtId="9" fontId="34" fillId="3" borderId="0" xfId="13" applyNumberFormat="1" applyFont="1" applyFill="1" applyAlignment="1">
      <alignment horizontal="right"/>
    </xf>
    <xf numFmtId="0" fontId="32" fillId="0" borderId="40" xfId="13" applyFont="1" applyBorder="1" applyAlignment="1">
      <alignment horizontal="left"/>
    </xf>
    <xf numFmtId="2" fontId="32" fillId="68" borderId="42" xfId="13" applyNumberFormat="1" applyFont="1" applyFill="1" applyBorder="1"/>
    <xf numFmtId="0" fontId="33" fillId="3" borderId="0" xfId="13" applyFont="1" applyFill="1" applyAlignment="1">
      <alignment wrapText="1"/>
    </xf>
    <xf numFmtId="0" fontId="33" fillId="3" borderId="0" xfId="13" applyFont="1" applyFill="1" applyAlignment="1">
      <alignment horizontal="left" wrapText="1" indent="1"/>
    </xf>
    <xf numFmtId="0" fontId="33" fillId="3" borderId="0" xfId="13" applyFont="1" applyFill="1" applyAlignment="1">
      <alignment horizontal="left" indent="1"/>
    </xf>
    <xf numFmtId="0" fontId="33" fillId="3" borderId="0" xfId="13" applyFont="1" applyFill="1" applyAlignment="1">
      <alignment horizontal="left" wrapText="1" indent="2"/>
    </xf>
    <xf numFmtId="0" fontId="34" fillId="3" borderId="0" xfId="13" applyFont="1" applyFill="1" applyAlignment="1">
      <alignment horizontal="left" indent="1"/>
    </xf>
    <xf numFmtId="0" fontId="34" fillId="3" borderId="0" xfId="13" applyFont="1" applyFill="1" applyAlignment="1">
      <alignment wrapText="1"/>
    </xf>
    <xf numFmtId="0" fontId="34" fillId="3" borderId="0" xfId="13" applyFont="1" applyFill="1" applyAlignment="1">
      <alignment horizontal="right"/>
    </xf>
    <xf numFmtId="195" fontId="146" fillId="3" borderId="0" xfId="632" applyNumberFormat="1" applyFont="1" applyFill="1" applyBorder="1" applyAlignment="1">
      <alignment horizontal="right"/>
    </xf>
    <xf numFmtId="0" fontId="312" fillId="76" borderId="0" xfId="1" applyFont="1" applyFill="1"/>
    <xf numFmtId="164" fontId="4" fillId="76" borderId="0" xfId="1" applyNumberFormat="1" applyFill="1"/>
    <xf numFmtId="0" fontId="171" fillId="0" borderId="0" xfId="1" applyFont="1"/>
    <xf numFmtId="0" fontId="313" fillId="0" borderId="0" xfId="1" applyFont="1"/>
    <xf numFmtId="164" fontId="312" fillId="76" borderId="0" xfId="1" applyNumberFormat="1" applyFont="1" applyFill="1" applyAlignment="1">
      <alignment horizontal="right"/>
    </xf>
    <xf numFmtId="0" fontId="312" fillId="76" borderId="0" xfId="1" applyFont="1" applyFill="1" applyAlignment="1">
      <alignment horizontal="right"/>
    </xf>
    <xf numFmtId="9" fontId="4" fillId="0" borderId="0" xfId="625" applyFont="1" applyBorder="1"/>
    <xf numFmtId="195" fontId="4" fillId="0" borderId="0" xfId="632" applyNumberFormat="1" applyFont="1" applyBorder="1"/>
    <xf numFmtId="235" fontId="311" fillId="3" borderId="0" xfId="632" applyNumberFormat="1" applyFont="1" applyFill="1" applyBorder="1" applyAlignment="1">
      <alignment horizontal="right"/>
    </xf>
    <xf numFmtId="235" fontId="314" fillId="3" borderId="0" xfId="632" applyNumberFormat="1" applyFont="1" applyFill="1" applyBorder="1" applyAlignment="1">
      <alignment horizontal="right"/>
    </xf>
    <xf numFmtId="9" fontId="32" fillId="69" borderId="40" xfId="625" applyFont="1" applyFill="1" applyBorder="1" applyAlignment="1">
      <alignment horizontal="right"/>
    </xf>
    <xf numFmtId="43" fontId="32" fillId="3" borderId="0" xfId="632" applyFont="1" applyFill="1" applyBorder="1" applyAlignment="1">
      <alignment horizontal="right"/>
    </xf>
    <xf numFmtId="0" fontId="31" fillId="3" borderId="0" xfId="13" applyFont="1" applyFill="1" applyAlignment="1">
      <alignment horizontal="left" indent="1"/>
    </xf>
    <xf numFmtId="9" fontId="311" fillId="69" borderId="0" xfId="13" applyNumberFormat="1" applyFont="1" applyFill="1" applyAlignment="1">
      <alignment horizontal="right"/>
    </xf>
    <xf numFmtId="9" fontId="149" fillId="69" borderId="0" xfId="13" applyNumberFormat="1" applyFont="1" applyFill="1" applyAlignment="1">
      <alignment horizontal="right"/>
    </xf>
    <xf numFmtId="0" fontId="31" fillId="3" borderId="0" xfId="13" applyFont="1" applyFill="1" applyAlignment="1">
      <alignment horizontal="left" indent="2"/>
    </xf>
    <xf numFmtId="0" fontId="33" fillId="3" borderId="0" xfId="13" applyFont="1" applyFill="1" applyAlignment="1">
      <alignment horizontal="left" indent="2"/>
    </xf>
    <xf numFmtId="43" fontId="33" fillId="3" borderId="0" xfId="632" applyFont="1" applyFill="1" applyBorder="1" applyAlignment="1">
      <alignment horizontal="right"/>
    </xf>
    <xf numFmtId="9" fontId="148" fillId="3" borderId="0" xfId="625" applyFont="1" applyFill="1" applyBorder="1" applyAlignment="1">
      <alignment horizontal="right"/>
    </xf>
    <xf numFmtId="9" fontId="148" fillId="69" borderId="0" xfId="13" applyNumberFormat="1" applyFont="1" applyFill="1" applyAlignment="1">
      <alignment horizontal="right"/>
    </xf>
    <xf numFmtId="43" fontId="32" fillId="69" borderId="0" xfId="13" applyNumberFormat="1" applyFont="1" applyFill="1" applyAlignment="1">
      <alignment horizontal="right"/>
    </xf>
    <xf numFmtId="0" fontId="33" fillId="3" borderId="41" xfId="13" applyFont="1" applyFill="1" applyBorder="1" applyAlignment="1">
      <alignment horizontal="left" wrapText="1"/>
    </xf>
    <xf numFmtId="0" fontId="33" fillId="3" borderId="41" xfId="13" applyFont="1" applyFill="1" applyBorder="1" applyAlignment="1">
      <alignment horizontal="right"/>
    </xf>
    <xf numFmtId="2" fontId="33" fillId="3" borderId="41" xfId="13" applyNumberFormat="1" applyFont="1" applyFill="1" applyBorder="1" applyAlignment="1">
      <alignment horizontal="right"/>
    </xf>
    <xf numFmtId="168" fontId="33" fillId="3" borderId="40" xfId="625" applyNumberFormat="1" applyFont="1" applyFill="1" applyBorder="1" applyAlignment="1">
      <alignment horizontal="right"/>
    </xf>
    <xf numFmtId="168" fontId="7" fillId="0" borderId="0" xfId="625" applyNumberFormat="1" applyFont="1" applyFill="1" applyBorder="1"/>
    <xf numFmtId="168" fontId="146" fillId="3" borderId="0" xfId="625" applyNumberFormat="1" applyFont="1" applyFill="1" applyBorder="1" applyAlignment="1">
      <alignment horizontal="right"/>
    </xf>
    <xf numFmtId="235" fontId="32" fillId="3" borderId="0" xfId="13" applyNumberFormat="1" applyFont="1" applyFill="1" applyAlignment="1">
      <alignment horizontal="right"/>
    </xf>
    <xf numFmtId="0" fontId="31" fillId="3" borderId="41" xfId="13" applyFont="1" applyFill="1" applyBorder="1" applyAlignment="1">
      <alignment horizontal="right"/>
    </xf>
    <xf numFmtId="177" fontId="31" fillId="3" borderId="40" xfId="13" applyNumberFormat="1" applyFont="1" applyFill="1" applyBorder="1" applyAlignment="1">
      <alignment horizontal="right"/>
    </xf>
    <xf numFmtId="10" fontId="146" fillId="3" borderId="0" xfId="13" applyNumberFormat="1" applyFont="1" applyFill="1"/>
    <xf numFmtId="235" fontId="32" fillId="3" borderId="0" xfId="632" applyNumberFormat="1" applyFont="1" applyFill="1" applyBorder="1"/>
    <xf numFmtId="0" fontId="315" fillId="3" borderId="0" xfId="13" applyFont="1" applyFill="1"/>
    <xf numFmtId="0" fontId="32" fillId="3" borderId="0" xfId="13" applyFont="1" applyFill="1" applyAlignment="1">
      <alignment horizontal="left" indent="1"/>
    </xf>
    <xf numFmtId="0" fontId="32" fillId="3" borderId="0" xfId="13" applyFont="1" applyFill="1" applyAlignment="1">
      <alignment horizontal="left" wrapText="1" indent="1"/>
    </xf>
    <xf numFmtId="168" fontId="146" fillId="3" borderId="0" xfId="13" applyNumberFormat="1" applyFont="1" applyFill="1" applyAlignment="1">
      <alignment horizontal="right"/>
    </xf>
    <xf numFmtId="9" fontId="31" fillId="3" borderId="0" xfId="625" applyFont="1" applyFill="1" applyBorder="1"/>
    <xf numFmtId="235" fontId="32" fillId="3" borderId="0" xfId="13" applyNumberFormat="1" applyFont="1" applyFill="1"/>
    <xf numFmtId="168" fontId="31" fillId="3" borderId="0" xfId="625" applyNumberFormat="1" applyFont="1" applyFill="1" applyBorder="1" applyAlignment="1"/>
    <xf numFmtId="3" fontId="31" fillId="3" borderId="0" xfId="3" applyNumberFormat="1" applyFont="1" applyFill="1" applyBorder="1" applyAlignment="1">
      <alignment horizontal="right"/>
    </xf>
    <xf numFmtId="174" fontId="32" fillId="3" borderId="0" xfId="13" applyNumberFormat="1" applyFont="1" applyFill="1"/>
    <xf numFmtId="164" fontId="46" fillId="0" borderId="0" xfId="1" applyNumberFormat="1" applyFont="1" applyAlignment="1">
      <alignment horizontal="right"/>
    </xf>
    <xf numFmtId="167" fontId="7" fillId="0" borderId="16" xfId="1" applyNumberFormat="1" applyFont="1" applyBorder="1" applyAlignment="1">
      <alignment horizontal="right"/>
    </xf>
    <xf numFmtId="166" fontId="272" fillId="0" borderId="0" xfId="3" applyNumberFormat="1" applyFont="1" applyFill="1" applyBorder="1" applyAlignment="1">
      <alignment horizontal="right"/>
    </xf>
    <xf numFmtId="43" fontId="7" fillId="0" borderId="0" xfId="632" applyFont="1"/>
    <xf numFmtId="235" fontId="7" fillId="0" borderId="0" xfId="632" applyNumberFormat="1" applyFont="1"/>
    <xf numFmtId="235" fontId="7" fillId="0" borderId="0" xfId="1" applyNumberFormat="1" applyFont="1"/>
    <xf numFmtId="164" fontId="272" fillId="0" borderId="0" xfId="1" applyNumberFormat="1" applyFont="1" applyAlignment="1">
      <alignment horizontal="right"/>
    </xf>
    <xf numFmtId="164" fontId="316" fillId="0" borderId="0" xfId="1" applyNumberFormat="1" applyFont="1"/>
    <xf numFmtId="235" fontId="272" fillId="0" borderId="0" xfId="632" applyNumberFormat="1" applyFont="1"/>
    <xf numFmtId="235" fontId="149" fillId="3" borderId="39" xfId="632" applyNumberFormat="1" applyFont="1" applyFill="1" applyBorder="1" applyAlignment="1">
      <alignment horizontal="right"/>
    </xf>
    <xf numFmtId="9" fontId="31" fillId="3" borderId="39" xfId="625" applyFont="1" applyFill="1" applyBorder="1" applyAlignment="1">
      <alignment horizontal="right"/>
    </xf>
    <xf numFmtId="0" fontId="32" fillId="3" borderId="39" xfId="13" applyFont="1" applyFill="1" applyBorder="1" applyAlignment="1">
      <alignment wrapText="1"/>
    </xf>
    <xf numFmtId="168" fontId="317" fillId="3" borderId="0" xfId="625" applyNumberFormat="1" applyFont="1" applyFill="1" applyBorder="1" applyAlignment="1">
      <alignment horizontal="right"/>
    </xf>
    <xf numFmtId="235" fontId="32" fillId="7" borderId="0" xfId="13" applyNumberFormat="1" applyFont="1" applyFill="1"/>
    <xf numFmtId="9" fontId="7" fillId="0" borderId="0" xfId="625" applyFont="1"/>
    <xf numFmtId="186" fontId="7" fillId="0" borderId="0" xfId="1" applyNumberFormat="1" applyFont="1"/>
    <xf numFmtId="181" fontId="7" fillId="0" borderId="18" xfId="1" applyNumberFormat="1" applyFont="1" applyBorder="1" applyAlignment="1">
      <alignment horizontal="left" vertical="top"/>
    </xf>
    <xf numFmtId="164" fontId="7" fillId="0" borderId="18" xfId="1" applyNumberFormat="1" applyFont="1" applyBorder="1" applyAlignment="1">
      <alignment horizontal="right"/>
    </xf>
    <xf numFmtId="164" fontId="7" fillId="0" borderId="18" xfId="1" applyNumberFormat="1" applyFont="1" applyBorder="1"/>
    <xf numFmtId="168" fontId="7" fillId="0" borderId="0" xfId="625" applyNumberFormat="1" applyFont="1"/>
    <xf numFmtId="164" fontId="46" fillId="75" borderId="0" xfId="1" applyNumberFormat="1" applyFont="1" applyFill="1" applyAlignment="1">
      <alignment horizontal="right"/>
    </xf>
    <xf numFmtId="181" fontId="46" fillId="0" borderId="18" xfId="1" applyNumberFormat="1" applyFont="1" applyBorder="1" applyAlignment="1">
      <alignment horizontal="left" vertical="top"/>
    </xf>
    <xf numFmtId="164" fontId="46" fillId="75" borderId="18" xfId="1" applyNumberFormat="1" applyFont="1" applyFill="1" applyBorder="1" applyAlignment="1">
      <alignment horizontal="right"/>
    </xf>
    <xf numFmtId="164" fontId="46" fillId="0" borderId="18" xfId="1" applyNumberFormat="1" applyFont="1" applyBorder="1" applyAlignment="1">
      <alignment horizontal="right"/>
    </xf>
    <xf numFmtId="0" fontId="46" fillId="66" borderId="0" xfId="2" applyFont="1" applyFill="1" applyAlignment="1">
      <alignment horizontal="right"/>
    </xf>
    <xf numFmtId="164" fontId="46" fillId="0" borderId="0" xfId="2" applyNumberFormat="1" applyFont="1"/>
    <xf numFmtId="9" fontId="7" fillId="0" borderId="0" xfId="625" applyFont="1" applyFill="1" applyBorder="1"/>
    <xf numFmtId="9" fontId="46" fillId="0" borderId="0" xfId="625" applyFont="1" applyFill="1" applyBorder="1"/>
    <xf numFmtId="0" fontId="50" fillId="0" borderId="0" xfId="2" applyFont="1"/>
    <xf numFmtId="0" fontId="46" fillId="0" borderId="21" xfId="2" applyFont="1" applyBorder="1"/>
    <xf numFmtId="164" fontId="46" fillId="0" borderId="16" xfId="2" applyNumberFormat="1" applyFont="1" applyBorder="1"/>
    <xf numFmtId="164" fontId="46" fillId="0" borderId="1" xfId="2" applyNumberFormat="1" applyFont="1" applyBorder="1"/>
    <xf numFmtId="164" fontId="14" fillId="0" borderId="0" xfId="2" applyNumberFormat="1" applyFont="1"/>
    <xf numFmtId="168" fontId="145" fillId="3" borderId="0" xfId="13" applyNumberFormat="1" applyFont="1" applyFill="1" applyAlignment="1">
      <alignment horizontal="right"/>
    </xf>
    <xf numFmtId="186" fontId="45" fillId="0" borderId="0" xfId="16" applyNumberFormat="1" applyFont="1"/>
    <xf numFmtId="186" fontId="49" fillId="0" borderId="0" xfId="16" applyNumberFormat="1" applyFont="1"/>
    <xf numFmtId="186" fontId="7" fillId="0" borderId="0" xfId="16" applyNumberFormat="1"/>
    <xf numFmtId="186" fontId="46" fillId="0" borderId="18" xfId="16" applyNumberFormat="1" applyFont="1" applyBorder="1"/>
    <xf numFmtId="186" fontId="46" fillId="0" borderId="0" xfId="16" applyNumberFormat="1" applyFont="1"/>
    <xf numFmtId="186" fontId="276" fillId="0" borderId="0" xfId="1" applyNumberFormat="1" applyFont="1"/>
    <xf numFmtId="186" fontId="86" fillId="0" borderId="0" xfId="1" applyNumberFormat="1" applyFont="1"/>
    <xf numFmtId="186" fontId="87" fillId="0" borderId="0" xfId="1" applyNumberFormat="1" applyFont="1"/>
    <xf numFmtId="180" fontId="31" fillId="3" borderId="0" xfId="13" applyNumberFormat="1" applyFont="1" applyFill="1" applyAlignment="1">
      <alignment horizontal="right"/>
    </xf>
    <xf numFmtId="180" fontId="31" fillId="69" borderId="0" xfId="13" applyNumberFormat="1" applyFont="1" applyFill="1" applyAlignment="1">
      <alignment horizontal="right"/>
    </xf>
    <xf numFmtId="323" fontId="32" fillId="3" borderId="0" xfId="13" applyNumberFormat="1" applyFont="1" applyFill="1" applyAlignment="1">
      <alignment horizontal="right"/>
    </xf>
    <xf numFmtId="235" fontId="272" fillId="0" borderId="0" xfId="632" applyNumberFormat="1" applyFont="1" applyBorder="1"/>
    <xf numFmtId="181" fontId="318" fillId="7" borderId="0" xfId="0" applyNumberFormat="1" applyFont="1" applyFill="1" applyAlignment="1">
      <alignment vertical="center"/>
    </xf>
    <xf numFmtId="176" fontId="32" fillId="68" borderId="0" xfId="302" applyNumberFormat="1" applyFont="1" applyFill="1" applyAlignment="1">
      <alignment horizontal="right"/>
    </xf>
    <xf numFmtId="0" fontId="46" fillId="78" borderId="10" xfId="1" applyFont="1" applyFill="1" applyBorder="1"/>
    <xf numFmtId="0" fontId="46" fillId="78" borderId="9" xfId="1" applyFont="1" applyFill="1" applyBorder="1"/>
    <xf numFmtId="0" fontId="46" fillId="78" borderId="9" xfId="1" applyFont="1" applyFill="1" applyBorder="1" applyAlignment="1">
      <alignment horizontal="right"/>
    </xf>
    <xf numFmtId="0" fontId="46" fillId="78" borderId="8" xfId="1" applyFont="1" applyFill="1" applyBorder="1" applyAlignment="1">
      <alignment horizontal="right"/>
    </xf>
    <xf numFmtId="0" fontId="272" fillId="0" borderId="0" xfId="1" applyFont="1"/>
    <xf numFmtId="195" fontId="149" fillId="3" borderId="0" xfId="632" applyNumberFormat="1" applyFont="1" applyFill="1" applyBorder="1" applyAlignment="1">
      <alignment horizontal="right"/>
    </xf>
    <xf numFmtId="0" fontId="32" fillId="3" borderId="40" xfId="13" applyFont="1" applyFill="1" applyBorder="1" applyAlignment="1">
      <alignment horizontal="left" wrapText="1" indent="2"/>
    </xf>
    <xf numFmtId="1" fontId="34" fillId="3" borderId="0" xfId="13" applyNumberFormat="1" applyFont="1" applyFill="1" applyAlignment="1">
      <alignment horizontal="right"/>
    </xf>
    <xf numFmtId="195" fontId="145" fillId="3" borderId="0" xfId="632" applyNumberFormat="1" applyFont="1" applyFill="1" applyBorder="1" applyAlignment="1">
      <alignment horizontal="right"/>
    </xf>
    <xf numFmtId="9" fontId="146" fillId="3" borderId="0" xfId="625" applyFont="1" applyFill="1" applyBorder="1" applyAlignment="1">
      <alignment horizontal="right"/>
    </xf>
    <xf numFmtId="9" fontId="31" fillId="69" borderId="0" xfId="13" applyNumberFormat="1" applyFont="1" applyFill="1" applyAlignment="1">
      <alignment horizontal="right"/>
    </xf>
    <xf numFmtId="202" fontId="146" fillId="3" borderId="0" xfId="13" applyNumberFormat="1" applyFont="1" applyFill="1" applyAlignment="1">
      <alignment horizontal="right"/>
    </xf>
    <xf numFmtId="9" fontId="32" fillId="3" borderId="0" xfId="13" applyNumberFormat="1" applyFont="1" applyFill="1" applyAlignment="1">
      <alignment horizontal="right"/>
    </xf>
    <xf numFmtId="4" fontId="32" fillId="3" borderId="0" xfId="13" applyNumberFormat="1" applyFont="1" applyFill="1" applyAlignment="1">
      <alignment horizontal="right"/>
    </xf>
    <xf numFmtId="202" fontId="32" fillId="3" borderId="0" xfId="13" applyNumberFormat="1" applyFont="1" applyFill="1" applyAlignment="1">
      <alignment horizontal="right"/>
    </xf>
    <xf numFmtId="0" fontId="31" fillId="3" borderId="0" xfId="13" applyFont="1" applyFill="1" applyAlignment="1">
      <alignment horizontal="left" wrapText="1" indent="2"/>
    </xf>
    <xf numFmtId="235" fontId="311" fillId="3" borderId="0" xfId="13" applyNumberFormat="1" applyFont="1" applyFill="1" applyAlignment="1">
      <alignment horizontal="right"/>
    </xf>
    <xf numFmtId="235" fontId="317" fillId="3" borderId="39" xfId="632" applyNumberFormat="1" applyFont="1" applyFill="1" applyBorder="1" applyAlignment="1">
      <alignment horizontal="right"/>
    </xf>
    <xf numFmtId="9" fontId="149" fillId="3" borderId="0" xfId="13" applyNumberFormat="1" applyFont="1" applyFill="1" applyAlignment="1">
      <alignment horizontal="right"/>
    </xf>
    <xf numFmtId="168" fontId="31" fillId="3" borderId="0" xfId="13" applyNumberFormat="1" applyFont="1" applyFill="1" applyAlignment="1">
      <alignment horizontal="right"/>
    </xf>
    <xf numFmtId="168" fontId="311" fillId="3" borderId="0" xfId="13" applyNumberFormat="1" applyFont="1" applyFill="1" applyAlignment="1">
      <alignment horizontal="right"/>
    </xf>
    <xf numFmtId="37" fontId="0" fillId="0" borderId="0" xfId="0" applyNumberFormat="1"/>
    <xf numFmtId="0" fontId="0" fillId="0" borderId="0" xfId="0" quotePrefix="1"/>
    <xf numFmtId="0" fontId="319" fillId="0" borderId="0" xfId="2" applyFont="1" applyAlignment="1">
      <alignment horizontal="right"/>
    </xf>
    <xf numFmtId="0" fontId="312" fillId="0" borderId="0" xfId="2" applyFont="1" applyAlignment="1">
      <alignment horizontal="right"/>
    </xf>
    <xf numFmtId="0" fontId="312" fillId="68" borderId="0" xfId="1" applyFont="1" applyFill="1" applyAlignment="1">
      <alignment horizontal="right"/>
    </xf>
    <xf numFmtId="0" fontId="312" fillId="68" borderId="0" xfId="2" applyFont="1" applyFill="1" applyAlignment="1">
      <alignment horizontal="right"/>
    </xf>
    <xf numFmtId="275" fontId="73" fillId="0" borderId="0" xfId="632" applyNumberFormat="1" applyFont="1" applyFill="1" applyBorder="1"/>
    <xf numFmtId="9" fontId="320" fillId="0" borderId="0" xfId="625" applyFont="1" applyFill="1" applyBorder="1"/>
    <xf numFmtId="9" fontId="321" fillId="0" borderId="0" xfId="625" applyFont="1" applyFill="1" applyBorder="1"/>
    <xf numFmtId="9" fontId="76" fillId="0" borderId="0" xfId="625" applyFont="1" applyFill="1" applyBorder="1"/>
    <xf numFmtId="9" fontId="90" fillId="0" borderId="0" xfId="625" applyFont="1" applyFill="1"/>
    <xf numFmtId="0" fontId="153" fillId="67" borderId="0" xfId="2" applyFont="1" applyFill="1"/>
    <xf numFmtId="317" fontId="153" fillId="67" borderId="0" xfId="2" quotePrefix="1" applyNumberFormat="1" applyFont="1" applyFill="1" applyAlignment="1">
      <alignment horizontal="right"/>
    </xf>
    <xf numFmtId="1" fontId="153" fillId="67" borderId="0" xfId="2" quotePrefix="1" applyNumberFormat="1" applyFont="1" applyFill="1" applyAlignment="1">
      <alignment horizontal="right"/>
    </xf>
    <xf numFmtId="317" fontId="153" fillId="67" borderId="0" xfId="2" applyNumberFormat="1" applyFont="1" applyFill="1" applyAlignment="1">
      <alignment horizontal="right"/>
    </xf>
    <xf numFmtId="275" fontId="297" fillId="0" borderId="0" xfId="632" applyNumberFormat="1" applyFont="1" applyFill="1" applyBorder="1"/>
    <xf numFmtId="235" fontId="4" fillId="0" borderId="0" xfId="632" applyNumberFormat="1" applyFont="1" applyFill="1" applyBorder="1"/>
    <xf numFmtId="0" fontId="47" fillId="68" borderId="0" xfId="2" applyFont="1" applyFill="1"/>
    <xf numFmtId="195" fontId="47" fillId="68" borderId="0" xfId="632" applyNumberFormat="1" applyFont="1" applyFill="1" applyBorder="1"/>
    <xf numFmtId="0" fontId="52" fillId="66" borderId="0" xfId="2" applyFont="1" applyFill="1"/>
    <xf numFmtId="0" fontId="54" fillId="66" borderId="0" xfId="2" applyFont="1" applyFill="1"/>
    <xf numFmtId="168" fontId="52" fillId="66" borderId="0" xfId="2" applyNumberFormat="1" applyFont="1" applyFill="1"/>
    <xf numFmtId="195" fontId="47" fillId="68" borderId="75" xfId="632" applyNumberFormat="1" applyFont="1" applyFill="1" applyBorder="1"/>
    <xf numFmtId="9" fontId="31" fillId="3" borderId="14" xfId="625" applyFont="1" applyFill="1" applyBorder="1" applyAlignment="1">
      <alignment horizontal="left" wrapText="1" indent="1"/>
    </xf>
    <xf numFmtId="164" fontId="7" fillId="0" borderId="22" xfId="2" applyNumberFormat="1" applyBorder="1"/>
    <xf numFmtId="164" fontId="46" fillId="0" borderId="8" xfId="2" applyNumberFormat="1" applyFont="1" applyBorder="1"/>
    <xf numFmtId="165" fontId="70" fillId="0" borderId="3" xfId="3" applyNumberFormat="1" applyFont="1" applyFill="1" applyBorder="1" applyAlignment="1" applyProtection="1">
      <alignment horizontal="right"/>
      <protection locked="0"/>
    </xf>
    <xf numFmtId="0" fontId="52" fillId="68" borderId="20" xfId="2" applyFont="1" applyFill="1" applyBorder="1"/>
    <xf numFmtId="0" fontId="52" fillId="68" borderId="30" xfId="2" applyFont="1" applyFill="1" applyBorder="1"/>
    <xf numFmtId="43" fontId="0" fillId="0" borderId="0" xfId="0" applyNumberFormat="1"/>
    <xf numFmtId="195" fontId="0" fillId="0" borderId="0" xfId="632" applyNumberFormat="1" applyFont="1"/>
    <xf numFmtId="235" fontId="0" fillId="0" borderId="0" xfId="632" applyNumberFormat="1" applyFont="1"/>
    <xf numFmtId="168" fontId="0" fillId="0" borderId="0" xfId="0" applyNumberFormat="1"/>
    <xf numFmtId="14" fontId="0" fillId="0" borderId="0" xfId="0" applyNumberFormat="1"/>
    <xf numFmtId="10" fontId="0" fillId="0" borderId="0" xfId="0" applyNumberFormat="1"/>
    <xf numFmtId="0" fontId="284" fillId="0" borderId="0" xfId="0" applyFont="1" applyAlignment="1">
      <alignment wrapText="1"/>
    </xf>
    <xf numFmtId="0" fontId="284" fillId="0" borderId="0" xfId="0" applyFont="1" applyAlignment="1">
      <alignment horizontal="center" wrapText="1"/>
    </xf>
    <xf numFmtId="9" fontId="1" fillId="0" borderId="0" xfId="625" applyFont="1"/>
    <xf numFmtId="0" fontId="1" fillId="0" borderId="0" xfId="0" applyFont="1" applyAlignment="1">
      <alignment horizontal="right"/>
    </xf>
    <xf numFmtId="235" fontId="1" fillId="0" borderId="0" xfId="632" applyNumberFormat="1" applyFont="1"/>
    <xf numFmtId="0" fontId="1" fillId="77" borderId="0" xfId="0" applyFont="1" applyFill="1" applyAlignment="1">
      <alignment horizontal="right"/>
    </xf>
    <xf numFmtId="9" fontId="1" fillId="77" borderId="0" xfId="625" applyFont="1" applyFill="1"/>
    <xf numFmtId="235" fontId="1" fillId="77" borderId="0" xfId="632" applyNumberFormat="1" applyFont="1" applyFill="1"/>
    <xf numFmtId="0" fontId="1" fillId="77" borderId="0" xfId="0" applyFont="1" applyFill="1"/>
    <xf numFmtId="0" fontId="154" fillId="0" borderId="0" xfId="0" applyFont="1"/>
    <xf numFmtId="9" fontId="154" fillId="0" borderId="0" xfId="625" applyFont="1" applyBorder="1"/>
    <xf numFmtId="235" fontId="154" fillId="0" borderId="0" xfId="632" applyNumberFormat="1" applyFont="1" applyBorder="1"/>
    <xf numFmtId="0" fontId="154" fillId="0" borderId="18" xfId="0" applyFont="1" applyBorder="1"/>
    <xf numFmtId="235" fontId="154" fillId="0" borderId="18" xfId="632" applyNumberFormat="1" applyFont="1" applyBorder="1"/>
    <xf numFmtId="0" fontId="153" fillId="27" borderId="0" xfId="0" applyFont="1" applyFill="1" applyAlignment="1">
      <alignment horizontal="right" vertical="top" wrapText="1"/>
    </xf>
    <xf numFmtId="0" fontId="285" fillId="0" borderId="18" xfId="0" applyFont="1" applyBorder="1" applyAlignment="1">
      <alignment vertical="top" wrapText="1"/>
    </xf>
    <xf numFmtId="235" fontId="285" fillId="0" borderId="18" xfId="632" applyNumberFormat="1" applyFont="1" applyBorder="1" applyAlignment="1">
      <alignment horizontal="center" vertical="top" wrapText="1"/>
    </xf>
    <xf numFmtId="0" fontId="285" fillId="0" borderId="18" xfId="0" applyFont="1" applyBorder="1" applyAlignment="1">
      <alignment horizontal="center" vertical="top" wrapText="1"/>
    </xf>
    <xf numFmtId="37" fontId="285" fillId="0" borderId="18" xfId="0" applyNumberFormat="1" applyFont="1" applyBorder="1" applyAlignment="1">
      <alignment horizontal="center" vertical="top" wrapText="1"/>
    </xf>
    <xf numFmtId="0" fontId="285" fillId="0" borderId="18" xfId="0" applyFont="1" applyBorder="1" applyAlignment="1">
      <alignment horizontal="right" vertical="top"/>
    </xf>
    <xf numFmtId="0" fontId="322" fillId="0" borderId="0" xfId="5305" applyFont="1"/>
    <xf numFmtId="0" fontId="284" fillId="77" borderId="0" xfId="0" applyFont="1" applyFill="1" applyAlignment="1">
      <alignment vertical="top" wrapText="1"/>
    </xf>
    <xf numFmtId="37" fontId="284" fillId="77" borderId="0" xfId="632" applyNumberFormat="1" applyFont="1" applyFill="1" applyAlignment="1">
      <alignment horizontal="center" vertical="top" wrapText="1"/>
    </xf>
    <xf numFmtId="0" fontId="284" fillId="77" borderId="0" xfId="0" applyFont="1" applyFill="1" applyAlignment="1">
      <alignment horizontal="center" vertical="top" wrapText="1"/>
    </xf>
    <xf numFmtId="15" fontId="284" fillId="77" borderId="0" xfId="0" applyNumberFormat="1" applyFont="1" applyFill="1" applyAlignment="1">
      <alignment vertical="top" wrapText="1"/>
    </xf>
    <xf numFmtId="17" fontId="284" fillId="77" borderId="0" xfId="0" applyNumberFormat="1" applyFont="1" applyFill="1" applyAlignment="1">
      <alignment vertical="top" wrapText="1"/>
    </xf>
    <xf numFmtId="0" fontId="284" fillId="0" borderId="0" xfId="0" applyFont="1" applyAlignment="1">
      <alignment vertical="top" wrapText="1"/>
    </xf>
    <xf numFmtId="37" fontId="284" fillId="0" borderId="0" xfId="632" applyNumberFormat="1" applyFont="1" applyAlignment="1">
      <alignment horizontal="center" vertical="top" wrapText="1"/>
    </xf>
    <xf numFmtId="0" fontId="284" fillId="0" borderId="0" xfId="0" applyFont="1" applyAlignment="1">
      <alignment horizontal="center" vertical="top" wrapText="1"/>
    </xf>
    <xf numFmtId="15" fontId="284" fillId="0" borderId="0" xfId="0" applyNumberFormat="1" applyFont="1" applyAlignment="1">
      <alignment vertical="top" wrapText="1"/>
    </xf>
    <xf numFmtId="17" fontId="284" fillId="0" borderId="0" xfId="0" applyNumberFormat="1" applyFont="1" applyAlignment="1">
      <alignment vertical="top" wrapText="1"/>
    </xf>
    <xf numFmtId="0" fontId="284" fillId="0" borderId="76" xfId="0" applyFont="1" applyBorder="1" applyAlignment="1">
      <alignment vertical="top" wrapText="1"/>
    </xf>
    <xf numFmtId="37" fontId="284" fillId="0" borderId="76" xfId="632" applyNumberFormat="1" applyFont="1" applyBorder="1" applyAlignment="1">
      <alignment horizontal="center" vertical="top" wrapText="1"/>
    </xf>
    <xf numFmtId="0" fontId="284" fillId="0" borderId="76" xfId="0" applyFont="1" applyBorder="1" applyAlignment="1">
      <alignment horizontal="center" vertical="top" wrapText="1"/>
    </xf>
    <xf numFmtId="15" fontId="284" fillId="0" borderId="76" xfId="0" applyNumberFormat="1" applyFont="1" applyBorder="1" applyAlignment="1">
      <alignment vertical="top" wrapText="1"/>
    </xf>
    <xf numFmtId="17" fontId="284" fillId="0" borderId="76" xfId="0" applyNumberFormat="1" applyFont="1" applyBorder="1" applyAlignment="1">
      <alignment vertical="top" wrapText="1"/>
    </xf>
    <xf numFmtId="17" fontId="284" fillId="77" borderId="0" xfId="0" applyNumberFormat="1" applyFont="1" applyFill="1" applyAlignment="1">
      <alignment horizontal="center" vertical="top" wrapText="1"/>
    </xf>
    <xf numFmtId="17" fontId="284" fillId="0" borderId="0" xfId="0" applyNumberFormat="1" applyFont="1" applyAlignment="1">
      <alignment horizontal="center" vertical="top" wrapText="1"/>
    </xf>
    <xf numFmtId="0" fontId="284" fillId="65" borderId="0" xfId="0" applyFont="1" applyFill="1" applyAlignment="1">
      <alignment vertical="top" wrapText="1"/>
    </xf>
    <xf numFmtId="0" fontId="284" fillId="65" borderId="0" xfId="0" applyFont="1" applyFill="1" applyAlignment="1">
      <alignment horizontal="center" vertical="top" wrapText="1"/>
    </xf>
    <xf numFmtId="0" fontId="69" fillId="27" borderId="0" xfId="0" applyFont="1" applyFill="1" applyAlignment="1">
      <alignment wrapText="1"/>
    </xf>
    <xf numFmtId="0" fontId="69" fillId="27" borderId="0" xfId="0" applyFont="1" applyFill="1" applyAlignment="1">
      <alignment horizontal="center" wrapText="1"/>
    </xf>
    <xf numFmtId="0" fontId="282" fillId="27" borderId="0" xfId="0" applyFont="1" applyFill="1" applyAlignment="1">
      <alignment vertical="top"/>
    </xf>
    <xf numFmtId="0" fontId="7" fillId="0" borderId="0" xfId="1" applyFont="1" applyAlignment="1">
      <alignment horizontal="left" indent="2"/>
    </xf>
    <xf numFmtId="0" fontId="7" fillId="0" borderId="0" xfId="1" applyFont="1" applyAlignment="1">
      <alignment horizontal="left" indent="3"/>
    </xf>
    <xf numFmtId="235" fontId="38" fillId="3" borderId="0" xfId="632" applyNumberFormat="1" applyFont="1" applyFill="1"/>
    <xf numFmtId="0" fontId="33" fillId="3" borderId="40" xfId="13" applyFont="1" applyFill="1" applyBorder="1" applyAlignment="1">
      <alignment horizontal="left" wrapText="1" indent="2"/>
    </xf>
    <xf numFmtId="164" fontId="323" fillId="0" borderId="0" xfId="16" applyNumberFormat="1" applyFont="1"/>
    <xf numFmtId="43" fontId="31" fillId="3" borderId="0" xfId="632" applyFont="1" applyFill="1" applyAlignment="1">
      <alignment horizontal="right"/>
    </xf>
    <xf numFmtId="9" fontId="33" fillId="3" borderId="0" xfId="625" applyFont="1" applyFill="1" applyAlignment="1">
      <alignment horizontal="right"/>
    </xf>
    <xf numFmtId="0" fontId="324" fillId="0" borderId="0" xfId="0" applyFont="1"/>
    <xf numFmtId="235" fontId="7" fillId="0" borderId="0" xfId="625" applyNumberFormat="1" applyFont="1"/>
    <xf numFmtId="43" fontId="272" fillId="0" borderId="0" xfId="632" applyFont="1"/>
    <xf numFmtId="9" fontId="46" fillId="0" borderId="0" xfId="1" applyNumberFormat="1" applyFont="1"/>
    <xf numFmtId="235" fontId="46" fillId="0" borderId="0" xfId="1" applyNumberFormat="1" applyFont="1"/>
    <xf numFmtId="235" fontId="273" fillId="0" borderId="0" xfId="632" applyNumberFormat="1" applyFont="1"/>
    <xf numFmtId="0" fontId="46" fillId="0" borderId="0" xfId="1" applyFont="1" applyAlignment="1">
      <alignment horizontal="left" indent="1"/>
    </xf>
    <xf numFmtId="4" fontId="272" fillId="0" borderId="0" xfId="632" applyNumberFormat="1" applyFont="1"/>
    <xf numFmtId="43" fontId="32" fillId="71" borderId="0" xfId="632" applyFont="1" applyFill="1" applyBorder="1" applyAlignment="1">
      <alignment horizontal="right"/>
    </xf>
    <xf numFmtId="235" fontId="32" fillId="68" borderId="0" xfId="632" applyNumberFormat="1" applyFont="1" applyFill="1" applyBorder="1" applyAlignment="1">
      <alignment horizontal="right"/>
    </xf>
    <xf numFmtId="235" fontId="33" fillId="3" borderId="0" xfId="632" applyNumberFormat="1" applyFont="1" applyFill="1" applyBorder="1" applyAlignment="1">
      <alignment horizontal="right" vertical="center"/>
    </xf>
    <xf numFmtId="235" fontId="149" fillId="3" borderId="0" xfId="632" applyNumberFormat="1" applyFont="1" applyFill="1" applyBorder="1" applyAlignment="1">
      <alignment horizontal="right"/>
    </xf>
    <xf numFmtId="168" fontId="33" fillId="3" borderId="0" xfId="301" applyNumberFormat="1" applyFont="1" applyFill="1" applyAlignment="1">
      <alignment horizontal="right" vertical="center"/>
    </xf>
    <xf numFmtId="10" fontId="148" fillId="3" borderId="0" xfId="3" applyNumberFormat="1" applyFont="1" applyFill="1" applyBorder="1"/>
    <xf numFmtId="235" fontId="299" fillId="3" borderId="0" xfId="632" applyNumberFormat="1" applyFont="1" applyFill="1" applyBorder="1"/>
    <xf numFmtId="235" fontId="299" fillId="3" borderId="0" xfId="632" applyNumberFormat="1" applyFont="1" applyFill="1" applyBorder="1" applyAlignment="1">
      <alignment vertical="center"/>
    </xf>
    <xf numFmtId="235" fontId="149" fillId="3" borderId="0" xfId="632" applyNumberFormat="1" applyFont="1" applyFill="1" applyBorder="1" applyAlignment="1">
      <alignment vertical="center"/>
    </xf>
    <xf numFmtId="235" fontId="299" fillId="64" borderId="0" xfId="632" applyNumberFormat="1" applyFont="1" applyFill="1" applyBorder="1" applyAlignment="1">
      <alignment horizontal="right"/>
    </xf>
    <xf numFmtId="235" fontId="298" fillId="3" borderId="0" xfId="632" applyNumberFormat="1" applyFont="1" applyFill="1" applyBorder="1" applyAlignment="1">
      <alignment vertical="center"/>
    </xf>
    <xf numFmtId="168" fontId="33" fillId="0" borderId="0" xfId="625" applyNumberFormat="1" applyFont="1" applyFill="1" applyBorder="1" applyAlignment="1">
      <alignment horizontal="right"/>
    </xf>
    <xf numFmtId="168" fontId="148" fillId="0" borderId="0" xfId="625" applyNumberFormat="1" applyFont="1" applyFill="1" applyBorder="1" applyAlignment="1">
      <alignment horizontal="right"/>
    </xf>
    <xf numFmtId="9" fontId="33" fillId="0" borderId="0" xfId="625" applyFont="1" applyFill="1" applyBorder="1" applyAlignment="1">
      <alignment horizontal="right"/>
    </xf>
    <xf numFmtId="9" fontId="148" fillId="0" borderId="0" xfId="625" applyFont="1" applyFill="1" applyBorder="1" applyAlignment="1">
      <alignment horizontal="right"/>
    </xf>
    <xf numFmtId="235" fontId="31" fillId="0" borderId="0" xfId="632" applyNumberFormat="1" applyFont="1" applyFill="1" applyBorder="1" applyAlignment="1">
      <alignment horizontal="right"/>
    </xf>
    <xf numFmtId="9" fontId="33" fillId="0" borderId="0" xfId="632" applyNumberFormat="1" applyFont="1" applyFill="1" applyBorder="1" applyAlignment="1">
      <alignment horizontal="right"/>
    </xf>
    <xf numFmtId="9" fontId="33" fillId="69" borderId="0" xfId="625" applyFont="1" applyFill="1" applyBorder="1" applyAlignment="1">
      <alignment horizontal="right"/>
    </xf>
    <xf numFmtId="2" fontId="149" fillId="3" borderId="0" xfId="13" applyNumberFormat="1" applyFont="1" applyFill="1" applyAlignment="1">
      <alignment horizontal="right"/>
    </xf>
    <xf numFmtId="235" fontId="317" fillId="3" borderId="0" xfId="632" applyNumberFormat="1" applyFont="1" applyFill="1" applyBorder="1" applyAlignment="1">
      <alignment horizontal="right"/>
    </xf>
    <xf numFmtId="9" fontId="149" fillId="3" borderId="0" xfId="625" applyFont="1" applyFill="1" applyBorder="1" applyAlignment="1">
      <alignment horizontal="right"/>
    </xf>
    <xf numFmtId="235" fontId="32" fillId="0" borderId="0" xfId="632" applyNumberFormat="1" applyFont="1" applyFill="1" applyBorder="1" applyAlignment="1">
      <alignment horizontal="right"/>
    </xf>
    <xf numFmtId="168" fontId="34" fillId="3" borderId="0" xfId="13" applyNumberFormat="1" applyFont="1" applyFill="1" applyAlignment="1">
      <alignment horizontal="right"/>
    </xf>
    <xf numFmtId="168" fontId="148" fillId="3" borderId="0" xfId="13" applyNumberFormat="1" applyFont="1" applyFill="1" applyAlignment="1">
      <alignment horizontal="right"/>
    </xf>
    <xf numFmtId="168" fontId="148" fillId="3" borderId="0" xfId="625" applyNumberFormat="1" applyFont="1" applyFill="1" applyBorder="1" applyAlignment="1">
      <alignment horizontal="right"/>
    </xf>
    <xf numFmtId="235" fontId="32" fillId="69" borderId="0" xfId="632" applyNumberFormat="1" applyFont="1" applyFill="1" applyBorder="1" applyAlignment="1">
      <alignment horizontal="right"/>
    </xf>
    <xf numFmtId="0" fontId="32" fillId="66" borderId="0" xfId="13" applyFont="1" applyFill="1" applyAlignment="1">
      <alignment horizontal="right"/>
    </xf>
    <xf numFmtId="0" fontId="31" fillId="3" borderId="5" xfId="13" applyFont="1" applyFill="1" applyBorder="1" applyAlignment="1">
      <alignment horizontal="right"/>
    </xf>
    <xf numFmtId="235" fontId="31" fillId="3" borderId="77" xfId="632" applyNumberFormat="1" applyFont="1" applyFill="1" applyBorder="1" applyAlignment="1">
      <alignment horizontal="right"/>
    </xf>
    <xf numFmtId="43" fontId="32" fillId="71" borderId="77" xfId="632" applyFont="1" applyFill="1" applyBorder="1" applyAlignment="1">
      <alignment horizontal="right"/>
    </xf>
    <xf numFmtId="9" fontId="33" fillId="3" borderId="5" xfId="625" applyFont="1" applyFill="1" applyBorder="1" applyAlignment="1">
      <alignment horizontal="right"/>
    </xf>
    <xf numFmtId="0" fontId="144" fillId="67" borderId="5" xfId="13" applyFont="1" applyFill="1" applyBorder="1" applyAlignment="1">
      <alignment horizontal="right"/>
    </xf>
    <xf numFmtId="235" fontId="32" fillId="68" borderId="77" xfId="632" applyNumberFormat="1" applyFont="1" applyFill="1" applyBorder="1" applyAlignment="1">
      <alignment horizontal="right"/>
    </xf>
    <xf numFmtId="235" fontId="33" fillId="3" borderId="77" xfId="632" applyNumberFormat="1" applyFont="1" applyFill="1" applyBorder="1" applyAlignment="1">
      <alignment horizontal="right" vertical="center"/>
    </xf>
    <xf numFmtId="41" fontId="148" fillId="3" borderId="77" xfId="13" applyNumberFormat="1" applyFont="1" applyFill="1" applyBorder="1" applyAlignment="1">
      <alignment horizontal="right"/>
    </xf>
    <xf numFmtId="9" fontId="34" fillId="3" borderId="77" xfId="3" applyFont="1" applyFill="1" applyBorder="1" applyAlignment="1">
      <alignment horizontal="right" vertical="center"/>
    </xf>
    <xf numFmtId="9" fontId="33" fillId="3" borderId="77" xfId="3" applyFont="1" applyFill="1" applyBorder="1" applyAlignment="1">
      <alignment horizontal="right" vertical="center"/>
    </xf>
    <xf numFmtId="235" fontId="32" fillId="3" borderId="77" xfId="632" applyNumberFormat="1" applyFont="1" applyFill="1" applyBorder="1" applyAlignment="1">
      <alignment horizontal="right"/>
    </xf>
    <xf numFmtId="235" fontId="149" fillId="3" borderId="77" xfId="632" applyNumberFormat="1" applyFont="1" applyFill="1" applyBorder="1" applyAlignment="1">
      <alignment horizontal="right"/>
    </xf>
    <xf numFmtId="235" fontId="32" fillId="3" borderId="77" xfId="632" applyNumberFormat="1" applyFont="1" applyFill="1" applyBorder="1" applyAlignment="1">
      <alignment horizontal="right" vertical="center"/>
    </xf>
    <xf numFmtId="168" fontId="33" fillId="3" borderId="77" xfId="301" applyNumberFormat="1" applyFont="1" applyFill="1" applyBorder="1" applyAlignment="1">
      <alignment horizontal="right" vertical="center"/>
    </xf>
    <xf numFmtId="235" fontId="31" fillId="3" borderId="77" xfId="632" applyNumberFormat="1" applyFont="1" applyFill="1" applyBorder="1"/>
    <xf numFmtId="10" fontId="148" fillId="3" borderId="77" xfId="3" applyNumberFormat="1" applyFont="1" applyFill="1" applyBorder="1"/>
    <xf numFmtId="168" fontId="33" fillId="3" borderId="77" xfId="3" applyNumberFormat="1" applyFont="1" applyFill="1" applyBorder="1"/>
    <xf numFmtId="235" fontId="299" fillId="3" borderId="77" xfId="632" applyNumberFormat="1" applyFont="1" applyFill="1" applyBorder="1"/>
    <xf numFmtId="235" fontId="299" fillId="3" borderId="77" xfId="632" applyNumberFormat="1" applyFont="1" applyFill="1" applyBorder="1" applyAlignment="1">
      <alignment vertical="center"/>
    </xf>
    <xf numFmtId="235" fontId="149" fillId="3" borderId="77" xfId="632" applyNumberFormat="1" applyFont="1" applyFill="1" applyBorder="1" applyAlignment="1">
      <alignment vertical="center"/>
    </xf>
    <xf numFmtId="235" fontId="299" fillId="64" borderId="77" xfId="632" applyNumberFormat="1" applyFont="1" applyFill="1" applyBorder="1" applyAlignment="1">
      <alignment horizontal="right"/>
    </xf>
    <xf numFmtId="235" fontId="298" fillId="3" borderId="77" xfId="632" applyNumberFormat="1" applyFont="1" applyFill="1" applyBorder="1" applyAlignment="1">
      <alignment vertical="center"/>
    </xf>
    <xf numFmtId="168" fontId="33" fillId="3" borderId="77" xfId="3" applyNumberFormat="1" applyFont="1" applyFill="1" applyBorder="1" applyAlignment="1">
      <alignment horizontal="right" vertical="center"/>
    </xf>
    <xf numFmtId="176" fontId="31" fillId="3" borderId="77" xfId="302" applyNumberFormat="1" applyFont="1" applyFill="1" applyBorder="1"/>
    <xf numFmtId="41" fontId="149" fillId="3" borderId="77" xfId="302" applyNumberFormat="1" applyFont="1" applyFill="1" applyBorder="1"/>
    <xf numFmtId="176" fontId="31" fillId="0" borderId="5" xfId="302" applyNumberFormat="1" applyFont="1" applyBorder="1"/>
    <xf numFmtId="2" fontId="144" fillId="67" borderId="5" xfId="13" applyNumberFormat="1" applyFont="1" applyFill="1" applyBorder="1" applyAlignment="1">
      <alignment horizontal="right"/>
    </xf>
    <xf numFmtId="0" fontId="34" fillId="68" borderId="78" xfId="13" applyFont="1" applyFill="1" applyBorder="1" applyAlignment="1">
      <alignment horizontal="right"/>
    </xf>
    <xf numFmtId="0" fontId="32" fillId="69" borderId="5" xfId="13" applyFont="1" applyFill="1" applyBorder="1" applyAlignment="1">
      <alignment horizontal="right"/>
    </xf>
    <xf numFmtId="235" fontId="32" fillId="3" borderId="79" xfId="632" applyNumberFormat="1" applyFont="1" applyFill="1" applyBorder="1" applyAlignment="1">
      <alignment horizontal="right"/>
    </xf>
    <xf numFmtId="235" fontId="31" fillId="3" borderId="79" xfId="632" applyNumberFormat="1" applyFont="1" applyFill="1" applyBorder="1" applyAlignment="1">
      <alignment horizontal="right"/>
    </xf>
    <xf numFmtId="9" fontId="33" fillId="3" borderId="79" xfId="625" applyFont="1" applyFill="1" applyBorder="1" applyAlignment="1">
      <alignment horizontal="right"/>
    </xf>
    <xf numFmtId="235" fontId="31" fillId="3" borderId="78" xfId="632" applyNumberFormat="1" applyFont="1" applyFill="1" applyBorder="1" applyAlignment="1">
      <alignment horizontal="right"/>
    </xf>
    <xf numFmtId="168" fontId="148" fillId="0" borderId="78" xfId="625" applyNumberFormat="1" applyFont="1" applyFill="1" applyBorder="1" applyAlignment="1">
      <alignment horizontal="right"/>
    </xf>
    <xf numFmtId="9" fontId="33" fillId="0" borderId="78" xfId="625" applyFont="1" applyFill="1" applyBorder="1" applyAlignment="1">
      <alignment horizontal="right"/>
    </xf>
    <xf numFmtId="9" fontId="148" fillId="0" borderId="78" xfId="625" applyFont="1" applyFill="1" applyBorder="1" applyAlignment="1">
      <alignment horizontal="right"/>
    </xf>
    <xf numFmtId="9" fontId="148" fillId="3" borderId="79" xfId="625" applyFont="1" applyFill="1" applyBorder="1" applyAlignment="1">
      <alignment horizontal="right"/>
    </xf>
    <xf numFmtId="235" fontId="31" fillId="0" borderId="79" xfId="632" applyNumberFormat="1" applyFont="1" applyFill="1" applyBorder="1" applyAlignment="1">
      <alignment horizontal="right"/>
    </xf>
    <xf numFmtId="9" fontId="33" fillId="0" borderId="79" xfId="632" applyNumberFormat="1" applyFont="1" applyFill="1" applyBorder="1" applyAlignment="1">
      <alignment horizontal="right"/>
    </xf>
    <xf numFmtId="0" fontId="31" fillId="3" borderId="79" xfId="13" applyFont="1" applyFill="1" applyBorder="1" applyAlignment="1">
      <alignment horizontal="left" wrapText="1" indent="1"/>
    </xf>
    <xf numFmtId="235" fontId="32" fillId="3" borderId="5" xfId="632" applyNumberFormat="1" applyFont="1" applyFill="1" applyBorder="1" applyAlignment="1">
      <alignment horizontal="right"/>
    </xf>
    <xf numFmtId="168" fontId="31" fillId="3" borderId="79" xfId="625" applyNumberFormat="1" applyFont="1" applyFill="1" applyBorder="1" applyAlignment="1">
      <alignment horizontal="right"/>
    </xf>
    <xf numFmtId="235" fontId="149" fillId="3" borderId="79" xfId="632" applyNumberFormat="1" applyFont="1" applyFill="1" applyBorder="1" applyAlignment="1">
      <alignment horizontal="right"/>
    </xf>
    <xf numFmtId="235" fontId="31" fillId="3" borderId="5" xfId="632" applyNumberFormat="1" applyFont="1" applyFill="1" applyBorder="1" applyAlignment="1">
      <alignment horizontal="right"/>
    </xf>
    <xf numFmtId="168" fontId="31" fillId="3" borderId="5" xfId="625" applyNumberFormat="1" applyFont="1" applyFill="1" applyBorder="1" applyAlignment="1">
      <alignment horizontal="right"/>
    </xf>
    <xf numFmtId="2" fontId="149" fillId="3" borderId="79" xfId="13" applyNumberFormat="1" applyFont="1" applyFill="1" applyBorder="1" applyAlignment="1">
      <alignment horizontal="right"/>
    </xf>
    <xf numFmtId="0" fontId="32" fillId="69" borderId="79" xfId="13" applyFont="1" applyFill="1" applyBorder="1" applyAlignment="1">
      <alignment horizontal="right"/>
    </xf>
    <xf numFmtId="9" fontId="31" fillId="0" borderId="5" xfId="632" applyNumberFormat="1" applyFont="1" applyFill="1" applyBorder="1" applyAlignment="1">
      <alignment horizontal="right"/>
    </xf>
    <xf numFmtId="235" fontId="146" fillId="3" borderId="5" xfId="632" applyNumberFormat="1" applyFont="1" applyFill="1" applyBorder="1" applyAlignment="1">
      <alignment horizontal="right"/>
    </xf>
    <xf numFmtId="2" fontId="31" fillId="3" borderId="5" xfId="13" applyNumberFormat="1" applyFont="1" applyFill="1" applyBorder="1" applyAlignment="1">
      <alignment horizontal="right"/>
    </xf>
    <xf numFmtId="3" fontId="31" fillId="3" borderId="79" xfId="13" applyNumberFormat="1" applyFont="1" applyFill="1" applyBorder="1" applyAlignment="1">
      <alignment horizontal="right"/>
    </xf>
    <xf numFmtId="3" fontId="31" fillId="0" borderId="5" xfId="13" applyNumberFormat="1" applyFont="1" applyBorder="1" applyAlignment="1">
      <alignment horizontal="right"/>
    </xf>
    <xf numFmtId="1" fontId="31" fillId="3" borderId="79" xfId="13" applyNumberFormat="1" applyFont="1" applyFill="1" applyBorder="1" applyAlignment="1">
      <alignment horizontal="right"/>
    </xf>
    <xf numFmtId="2" fontId="31" fillId="3" borderId="78" xfId="13" applyNumberFormat="1" applyFont="1" applyFill="1" applyBorder="1" applyAlignment="1">
      <alignment horizontal="right"/>
    </xf>
    <xf numFmtId="235" fontId="317" fillId="3" borderId="78" xfId="632" applyNumberFormat="1" applyFont="1" applyFill="1" applyBorder="1" applyAlignment="1">
      <alignment horizontal="right"/>
    </xf>
    <xf numFmtId="235" fontId="149" fillId="3" borderId="78" xfId="632" applyNumberFormat="1" applyFont="1" applyFill="1" applyBorder="1" applyAlignment="1">
      <alignment horizontal="right"/>
    </xf>
    <xf numFmtId="168" fontId="31" fillId="3" borderId="78" xfId="625" applyNumberFormat="1" applyFont="1" applyFill="1" applyBorder="1" applyAlignment="1">
      <alignment horizontal="right"/>
    </xf>
    <xf numFmtId="9" fontId="31" fillId="3" borderId="78" xfId="625" applyFont="1" applyFill="1" applyBorder="1" applyAlignment="1">
      <alignment horizontal="right"/>
    </xf>
    <xf numFmtId="9" fontId="149" fillId="3" borderId="79" xfId="625" applyFont="1" applyFill="1" applyBorder="1" applyAlignment="1">
      <alignment horizontal="right"/>
    </xf>
    <xf numFmtId="2" fontId="31" fillId="3" borderId="79" xfId="13" applyNumberFormat="1" applyFont="1" applyFill="1" applyBorder="1" applyAlignment="1">
      <alignment horizontal="right"/>
    </xf>
    <xf numFmtId="2" fontId="31" fillId="3" borderId="80" xfId="13" applyNumberFormat="1" applyFont="1" applyFill="1" applyBorder="1" applyAlignment="1">
      <alignment horizontal="right"/>
    </xf>
    <xf numFmtId="235" fontId="32" fillId="66" borderId="5" xfId="13" applyNumberFormat="1" applyFont="1" applyFill="1" applyBorder="1" applyAlignment="1">
      <alignment horizontal="right" vertical="center"/>
    </xf>
    <xf numFmtId="235" fontId="146" fillId="3" borderId="79" xfId="632" applyNumberFormat="1" applyFont="1" applyFill="1" applyBorder="1" applyAlignment="1">
      <alignment horizontal="right"/>
    </xf>
    <xf numFmtId="1" fontId="32" fillId="3" borderId="5" xfId="13" applyNumberFormat="1" applyFont="1" applyFill="1" applyBorder="1" applyAlignment="1">
      <alignment horizontal="right"/>
    </xf>
    <xf numFmtId="9" fontId="33" fillId="3" borderId="80" xfId="13" applyNumberFormat="1" applyFont="1" applyFill="1" applyBorder="1" applyAlignment="1">
      <alignment horizontal="right"/>
    </xf>
    <xf numFmtId="9" fontId="33" fillId="3" borderId="79" xfId="13" applyNumberFormat="1" applyFont="1" applyFill="1" applyBorder="1" applyAlignment="1">
      <alignment horizontal="right"/>
    </xf>
    <xf numFmtId="235" fontId="145" fillId="3" borderId="79" xfId="632" applyNumberFormat="1" applyFont="1" applyFill="1" applyBorder="1" applyAlignment="1">
      <alignment horizontal="right"/>
    </xf>
    <xf numFmtId="9" fontId="33" fillId="3" borderId="5" xfId="13" applyNumberFormat="1" applyFont="1" applyFill="1" applyBorder="1" applyAlignment="1">
      <alignment horizontal="right"/>
    </xf>
    <xf numFmtId="0" fontId="32" fillId="66" borderId="5" xfId="13" applyFont="1" applyFill="1" applyBorder="1" applyAlignment="1">
      <alignment horizontal="right" vertical="center"/>
    </xf>
    <xf numFmtId="235" fontId="32" fillId="0" borderId="79" xfId="632" applyNumberFormat="1" applyFont="1" applyFill="1" applyBorder="1" applyAlignment="1">
      <alignment horizontal="right"/>
    </xf>
    <xf numFmtId="1" fontId="34" fillId="3" borderId="79" xfId="13" applyNumberFormat="1" applyFont="1" applyFill="1" applyBorder="1" applyAlignment="1">
      <alignment horizontal="right"/>
    </xf>
    <xf numFmtId="1" fontId="33" fillId="3" borderId="79" xfId="13" applyNumberFormat="1" applyFont="1" applyFill="1" applyBorder="1" applyAlignment="1">
      <alignment horizontal="right"/>
    </xf>
    <xf numFmtId="168" fontId="33" fillId="3" borderId="5" xfId="13" applyNumberFormat="1" applyFont="1" applyFill="1" applyBorder="1" applyAlignment="1">
      <alignment horizontal="right"/>
    </xf>
    <xf numFmtId="1" fontId="32" fillId="68" borderId="81" xfId="3" applyNumberFormat="1" applyFont="1" applyFill="1" applyBorder="1" applyAlignment="1">
      <alignment horizontal="right"/>
    </xf>
    <xf numFmtId="235" fontId="32" fillId="69" borderId="82" xfId="13" applyNumberFormat="1" applyFont="1" applyFill="1" applyBorder="1" applyAlignment="1">
      <alignment horizontal="right"/>
    </xf>
    <xf numFmtId="3" fontId="31" fillId="3" borderId="82" xfId="13" applyNumberFormat="1" applyFont="1" applyFill="1" applyBorder="1" applyAlignment="1">
      <alignment horizontal="right"/>
    </xf>
    <xf numFmtId="0" fontId="31" fillId="3" borderId="82" xfId="13" applyFont="1" applyFill="1" applyBorder="1" applyAlignment="1">
      <alignment horizontal="right"/>
    </xf>
    <xf numFmtId="168" fontId="34" fillId="3" borderId="82" xfId="13" applyNumberFormat="1" applyFont="1" applyFill="1" applyBorder="1" applyAlignment="1">
      <alignment horizontal="right"/>
    </xf>
    <xf numFmtId="168" fontId="148" fillId="3" borderId="82" xfId="13" applyNumberFormat="1" applyFont="1" applyFill="1" applyBorder="1" applyAlignment="1">
      <alignment horizontal="right"/>
    </xf>
    <xf numFmtId="168" fontId="148" fillId="3" borderId="82" xfId="625" applyNumberFormat="1" applyFont="1" applyFill="1" applyBorder="1" applyAlignment="1">
      <alignment horizontal="right"/>
    </xf>
    <xf numFmtId="9" fontId="33" fillId="3" borderId="82" xfId="625" applyFont="1" applyFill="1" applyBorder="1" applyAlignment="1">
      <alignment horizontal="right"/>
    </xf>
    <xf numFmtId="202" fontId="146" fillId="3" borderId="5" xfId="13" applyNumberFormat="1" applyFont="1" applyFill="1" applyBorder="1" applyAlignment="1">
      <alignment horizontal="right"/>
    </xf>
    <xf numFmtId="202" fontId="32" fillId="3" borderId="5" xfId="13" applyNumberFormat="1" applyFont="1" applyFill="1" applyBorder="1" applyAlignment="1">
      <alignment horizontal="right"/>
    </xf>
    <xf numFmtId="235" fontId="32" fillId="69" borderId="81" xfId="632" applyNumberFormat="1" applyFont="1" applyFill="1" applyBorder="1" applyAlignment="1">
      <alignment horizontal="right"/>
    </xf>
    <xf numFmtId="168" fontId="34" fillId="3" borderId="82" xfId="625" applyNumberFormat="1" applyFont="1" applyFill="1" applyBorder="1" applyAlignment="1">
      <alignment horizontal="right"/>
    </xf>
    <xf numFmtId="9" fontId="33" fillId="0" borderId="82" xfId="625" applyFont="1" applyFill="1" applyBorder="1" applyAlignment="1">
      <alignment horizontal="right"/>
    </xf>
    <xf numFmtId="0" fontId="32" fillId="66" borderId="81" xfId="13" applyFont="1" applyFill="1" applyBorder="1" applyAlignment="1">
      <alignment horizontal="right"/>
    </xf>
    <xf numFmtId="0" fontId="33" fillId="3" borderId="82" xfId="13" applyFont="1" applyFill="1" applyBorder="1" applyAlignment="1">
      <alignment horizontal="right"/>
    </xf>
    <xf numFmtId="235" fontId="31" fillId="3" borderId="5" xfId="13" applyNumberFormat="1" applyFont="1" applyFill="1" applyBorder="1"/>
    <xf numFmtId="43" fontId="32" fillId="69" borderId="5" xfId="13" applyNumberFormat="1" applyFont="1" applyFill="1" applyBorder="1" applyAlignment="1">
      <alignment horizontal="right"/>
    </xf>
    <xf numFmtId="9" fontId="31" fillId="3" borderId="5" xfId="625" applyFont="1" applyFill="1" applyBorder="1" applyAlignment="1">
      <alignment horizontal="right"/>
    </xf>
    <xf numFmtId="43" fontId="31" fillId="3" borderId="5" xfId="13" applyNumberFormat="1" applyFont="1" applyFill="1" applyBorder="1" applyAlignment="1">
      <alignment horizontal="right"/>
    </xf>
    <xf numFmtId="9" fontId="148" fillId="69" borderId="5" xfId="13" applyNumberFormat="1" applyFont="1" applyFill="1" applyBorder="1" applyAlignment="1">
      <alignment horizontal="right"/>
    </xf>
    <xf numFmtId="9" fontId="148" fillId="3" borderId="5" xfId="625" applyFont="1" applyFill="1" applyBorder="1" applyAlignment="1">
      <alignment horizontal="right"/>
    </xf>
    <xf numFmtId="0" fontId="32" fillId="3" borderId="5" xfId="13" applyFont="1" applyFill="1" applyBorder="1" applyAlignment="1">
      <alignment horizontal="right"/>
    </xf>
    <xf numFmtId="9" fontId="31" fillId="69" borderId="5" xfId="13" applyNumberFormat="1" applyFont="1" applyFill="1" applyBorder="1" applyAlignment="1">
      <alignment horizontal="right"/>
    </xf>
    <xf numFmtId="0" fontId="34" fillId="3" borderId="5" xfId="13" applyFont="1" applyFill="1" applyBorder="1" applyAlignment="1">
      <alignment horizontal="right"/>
    </xf>
    <xf numFmtId="0" fontId="33" fillId="3" borderId="5" xfId="13" applyFont="1" applyFill="1" applyBorder="1" applyAlignment="1">
      <alignment horizontal="right"/>
    </xf>
    <xf numFmtId="180" fontId="31" fillId="69" borderId="5" xfId="13" applyNumberFormat="1" applyFont="1" applyFill="1" applyBorder="1" applyAlignment="1">
      <alignment horizontal="right"/>
    </xf>
    <xf numFmtId="323" fontId="32" fillId="3" borderId="5" xfId="13" applyNumberFormat="1" applyFont="1" applyFill="1" applyBorder="1" applyAlignment="1">
      <alignment horizontal="right"/>
    </xf>
    <xf numFmtId="235" fontId="31" fillId="3" borderId="5" xfId="13" applyNumberFormat="1" applyFont="1" applyFill="1" applyBorder="1" applyAlignment="1">
      <alignment horizontal="right"/>
    </xf>
    <xf numFmtId="168" fontId="31" fillId="3" borderId="5" xfId="13" applyNumberFormat="1" applyFont="1" applyFill="1" applyBorder="1" applyAlignment="1">
      <alignment horizontal="right"/>
    </xf>
    <xf numFmtId="168" fontId="33" fillId="3" borderId="5" xfId="625" applyNumberFormat="1" applyFont="1" applyFill="1" applyBorder="1" applyAlignment="1">
      <alignment horizontal="right"/>
    </xf>
    <xf numFmtId="168" fontId="7" fillId="0" borderId="0" xfId="1" applyNumberFormat="1" applyFont="1"/>
    <xf numFmtId="235" fontId="277" fillId="7" borderId="0" xfId="1" applyNumberFormat="1" applyFont="1" applyFill="1"/>
    <xf numFmtId="0" fontId="46" fillId="0" borderId="0" xfId="1" applyFont="1" applyAlignment="1">
      <alignment horizontal="left" indent="2"/>
    </xf>
    <xf numFmtId="168" fontId="34" fillId="0" borderId="39" xfId="625" applyNumberFormat="1" applyFont="1" applyFill="1" applyBorder="1" applyAlignment="1">
      <alignment horizontal="right"/>
    </xf>
    <xf numFmtId="168" fontId="34" fillId="0" borderId="78" xfId="625" applyNumberFormat="1" applyFont="1" applyFill="1" applyBorder="1" applyAlignment="1">
      <alignment horizontal="right"/>
    </xf>
    <xf numFmtId="9" fontId="34" fillId="0" borderId="78" xfId="625" applyFont="1" applyFill="1" applyBorder="1" applyAlignment="1">
      <alignment horizontal="right"/>
    </xf>
    <xf numFmtId="3" fontId="148" fillId="3" borderId="79" xfId="625" applyNumberFormat="1" applyFont="1" applyFill="1" applyBorder="1" applyAlignment="1">
      <alignment horizontal="right"/>
    </xf>
    <xf numFmtId="3" fontId="148" fillId="3" borderId="40" xfId="625" applyNumberFormat="1" applyFont="1" applyFill="1" applyBorder="1" applyAlignment="1">
      <alignment horizontal="right"/>
    </xf>
    <xf numFmtId="3" fontId="148" fillId="3" borderId="0" xfId="625" applyNumberFormat="1" applyFont="1" applyFill="1" applyBorder="1" applyAlignment="1">
      <alignment horizontal="right"/>
    </xf>
    <xf numFmtId="235" fontId="148" fillId="3" borderId="0" xfId="625" applyNumberFormat="1" applyFont="1" applyFill="1" applyBorder="1" applyAlignment="1">
      <alignment horizontal="right"/>
    </xf>
    <xf numFmtId="3" fontId="33" fillId="3" borderId="40" xfId="625" applyNumberFormat="1" applyFont="1" applyFill="1" applyBorder="1" applyAlignment="1">
      <alignment horizontal="right"/>
    </xf>
    <xf numFmtId="0" fontId="34" fillId="3" borderId="40" xfId="13" applyFont="1" applyFill="1" applyBorder="1" applyAlignment="1">
      <alignment wrapText="1"/>
    </xf>
    <xf numFmtId="235" fontId="279" fillId="3" borderId="40" xfId="632" applyNumberFormat="1" applyFont="1" applyFill="1" applyBorder="1" applyAlignment="1">
      <alignment horizontal="right"/>
    </xf>
    <xf numFmtId="9" fontId="34" fillId="3" borderId="40" xfId="625" applyFont="1" applyFill="1" applyBorder="1" applyAlignment="1">
      <alignment horizontal="right"/>
    </xf>
    <xf numFmtId="9" fontId="34" fillId="3" borderId="79" xfId="625" applyFont="1" applyFill="1" applyBorder="1" applyAlignment="1">
      <alignment horizontal="right"/>
    </xf>
    <xf numFmtId="9" fontId="147" fillId="69" borderId="79" xfId="625" applyFont="1" applyFill="1" applyBorder="1" applyAlignment="1">
      <alignment horizontal="right"/>
    </xf>
    <xf numFmtId="9" fontId="147" fillId="69" borderId="40" xfId="625" applyFont="1" applyFill="1" applyBorder="1" applyAlignment="1">
      <alignment horizontal="right"/>
    </xf>
    <xf numFmtId="235" fontId="32" fillId="0" borderId="39" xfId="13" applyNumberFormat="1" applyFont="1" applyBorder="1" applyAlignment="1">
      <alignment horizontal="right"/>
    </xf>
    <xf numFmtId="235" fontId="145" fillId="0" borderId="39" xfId="13" applyNumberFormat="1" applyFont="1" applyBorder="1" applyAlignment="1">
      <alignment horizontal="right"/>
    </xf>
    <xf numFmtId="235" fontId="32" fillId="69" borderId="78" xfId="13" applyNumberFormat="1" applyFont="1" applyFill="1" applyBorder="1" applyAlignment="1">
      <alignment horizontal="right"/>
    </xf>
    <xf numFmtId="235" fontId="32" fillId="69" borderId="39" xfId="13" applyNumberFormat="1" applyFont="1" applyFill="1" applyBorder="1" applyAlignment="1">
      <alignment horizontal="right"/>
    </xf>
    <xf numFmtId="176" fontId="32" fillId="0" borderId="0" xfId="302" applyNumberFormat="1" applyFont="1"/>
    <xf numFmtId="4" fontId="40" fillId="0" borderId="0" xfId="16" applyNumberFormat="1" applyFont="1"/>
    <xf numFmtId="186" fontId="277" fillId="7" borderId="0" xfId="16" applyNumberFormat="1" applyFont="1" applyFill="1"/>
    <xf numFmtId="164" fontId="45" fillId="69" borderId="0" xfId="16" applyNumberFormat="1" applyFont="1" applyFill="1"/>
    <xf numFmtId="9" fontId="146" fillId="3" borderId="79" xfId="632" applyNumberFormat="1" applyFont="1" applyFill="1" applyBorder="1" applyAlignment="1">
      <alignment horizontal="right"/>
    </xf>
    <xf numFmtId="9" fontId="145" fillId="3" borderId="0" xfId="632" applyNumberFormat="1" applyFont="1" applyFill="1" applyBorder="1" applyAlignment="1">
      <alignment horizontal="right"/>
    </xf>
    <xf numFmtId="195" fontId="145" fillId="69" borderId="0" xfId="632" applyNumberFormat="1" applyFont="1" applyFill="1" applyBorder="1" applyAlignment="1">
      <alignment horizontal="right"/>
    </xf>
    <xf numFmtId="9" fontId="145" fillId="69" borderId="0" xfId="632" applyNumberFormat="1" applyFont="1" applyFill="1" applyBorder="1" applyAlignment="1">
      <alignment horizontal="right"/>
    </xf>
    <xf numFmtId="9" fontId="147" fillId="3" borderId="0" xfId="632" applyNumberFormat="1" applyFont="1" applyFill="1" applyBorder="1" applyAlignment="1">
      <alignment horizontal="right"/>
    </xf>
    <xf numFmtId="4" fontId="147" fillId="3" borderId="0" xfId="632" applyNumberFormat="1" applyFont="1" applyFill="1" applyBorder="1" applyAlignment="1">
      <alignment horizontal="right"/>
    </xf>
    <xf numFmtId="0" fontId="325" fillId="0" borderId="0" xfId="0" applyFont="1"/>
    <xf numFmtId="4" fontId="146" fillId="3" borderId="0" xfId="632" applyNumberFormat="1" applyFont="1" applyFill="1" applyBorder="1" applyAlignment="1">
      <alignment horizontal="right"/>
    </xf>
    <xf numFmtId="9" fontId="33" fillId="3" borderId="0" xfId="632" applyNumberFormat="1" applyFont="1" applyFill="1" applyBorder="1" applyAlignment="1">
      <alignment horizontal="right"/>
    </xf>
    <xf numFmtId="9" fontId="325" fillId="0" borderId="0" xfId="0" applyNumberFormat="1" applyFont="1"/>
    <xf numFmtId="9" fontId="145" fillId="3" borderId="0" xfId="632" applyNumberFormat="1" applyFont="1" applyFill="1" applyBorder="1" applyAlignment="1">
      <alignment horizontal="left"/>
    </xf>
    <xf numFmtId="235" fontId="46" fillId="0" borderId="0" xfId="632" applyNumberFormat="1" applyFont="1"/>
    <xf numFmtId="9" fontId="32" fillId="3" borderId="40" xfId="13" applyNumberFormat="1" applyFont="1" applyFill="1" applyBorder="1" applyAlignment="1">
      <alignment horizontal="right"/>
    </xf>
    <xf numFmtId="9" fontId="31" fillId="3" borderId="40" xfId="13" applyNumberFormat="1" applyFont="1" applyFill="1" applyBorder="1" applyAlignment="1">
      <alignment horizontal="right"/>
    </xf>
    <xf numFmtId="0" fontId="32" fillId="0" borderId="40" xfId="13" applyFont="1" applyBorder="1"/>
    <xf numFmtId="0" fontId="31" fillId="0" borderId="40" xfId="13" applyFont="1" applyBorder="1"/>
    <xf numFmtId="9" fontId="146" fillId="3" borderId="0" xfId="632" applyNumberFormat="1" applyFont="1" applyFill="1" applyBorder="1" applyAlignment="1">
      <alignment horizontal="left"/>
    </xf>
    <xf numFmtId="9" fontId="31" fillId="3" borderId="0" xfId="625" applyFont="1" applyFill="1" applyAlignment="1">
      <alignment horizontal="right"/>
    </xf>
    <xf numFmtId="9" fontId="146" fillId="69" borderId="0" xfId="632" applyNumberFormat="1" applyFont="1" applyFill="1" applyBorder="1" applyAlignment="1">
      <alignment horizontal="right"/>
    </xf>
    <xf numFmtId="235" fontId="32" fillId="3" borderId="0" xfId="632" applyNumberFormat="1" applyFont="1" applyFill="1" applyBorder="1" applyAlignment="1">
      <alignment horizontal="left"/>
    </xf>
    <xf numFmtId="0" fontId="326" fillId="0" borderId="40" xfId="13" applyFont="1" applyBorder="1" applyAlignment="1">
      <alignment horizontal="left" wrapText="1"/>
    </xf>
    <xf numFmtId="195" fontId="31" fillId="3" borderId="0" xfId="632" applyNumberFormat="1" applyFont="1" applyFill="1" applyAlignment="1">
      <alignment horizontal="right"/>
    </xf>
    <xf numFmtId="195" fontId="32" fillId="3" borderId="0" xfId="632" applyNumberFormat="1" applyFont="1" applyFill="1" applyAlignment="1">
      <alignment horizontal="right"/>
    </xf>
    <xf numFmtId="9" fontId="148" fillId="69" borderId="80" xfId="13" applyNumberFormat="1" applyFont="1" applyFill="1" applyBorder="1" applyAlignment="1">
      <alignment horizontal="right"/>
    </xf>
    <xf numFmtId="9" fontId="148" fillId="69" borderId="41" xfId="13" applyNumberFormat="1" applyFont="1" applyFill="1" applyBorder="1" applyAlignment="1">
      <alignment horizontal="right"/>
    </xf>
    <xf numFmtId="235" fontId="31" fillId="69" borderId="79" xfId="632" applyNumberFormat="1" applyFont="1" applyFill="1" applyBorder="1" applyAlignment="1">
      <alignment horizontal="right"/>
    </xf>
    <xf numFmtId="235" fontId="146" fillId="0" borderId="79" xfId="632" applyNumberFormat="1" applyFont="1" applyFill="1" applyBorder="1" applyAlignment="1">
      <alignment horizontal="right"/>
    </xf>
    <xf numFmtId="168" fontId="147" fillId="69" borderId="5" xfId="13" applyNumberFormat="1" applyFont="1" applyFill="1" applyBorder="1" applyAlignment="1">
      <alignment horizontal="right"/>
    </xf>
    <xf numFmtId="168" fontId="147" fillId="69" borderId="0" xfId="13" applyNumberFormat="1" applyFont="1" applyFill="1" applyAlignment="1">
      <alignment horizontal="right"/>
    </xf>
    <xf numFmtId="235" fontId="31" fillId="69" borderId="5" xfId="632" applyNumberFormat="1" applyFont="1" applyFill="1" applyBorder="1" applyAlignment="1">
      <alignment horizontal="right"/>
    </xf>
    <xf numFmtId="235" fontId="31" fillId="0" borderId="5" xfId="632" applyNumberFormat="1" applyFont="1" applyFill="1" applyBorder="1" applyAlignment="1">
      <alignment horizontal="right"/>
    </xf>
    <xf numFmtId="235" fontId="31" fillId="3" borderId="0" xfId="632" applyNumberFormat="1" applyFont="1" applyFill="1" applyAlignment="1">
      <alignment horizontal="right"/>
    </xf>
    <xf numFmtId="43" fontId="7" fillId="0" borderId="0" xfId="632" applyFont="1" applyFill="1" applyBorder="1" applyAlignment="1">
      <alignment horizontal="right"/>
    </xf>
    <xf numFmtId="235" fontId="46" fillId="0" borderId="18" xfId="632" applyNumberFormat="1" applyFont="1" applyBorder="1" applyAlignment="1">
      <alignment horizontal="left" vertical="top"/>
    </xf>
    <xf numFmtId="235" fontId="46" fillId="75" borderId="18" xfId="632" applyNumberFormat="1" applyFont="1" applyFill="1" applyBorder="1" applyAlignment="1">
      <alignment horizontal="right"/>
    </xf>
    <xf numFmtId="235" fontId="46" fillId="0" borderId="18" xfId="632" applyNumberFormat="1" applyFont="1" applyBorder="1" applyAlignment="1">
      <alignment horizontal="right"/>
    </xf>
    <xf numFmtId="0" fontId="7" fillId="3" borderId="5" xfId="1" applyFont="1" applyFill="1" applyBorder="1"/>
    <xf numFmtId="0" fontId="282" fillId="67" borderId="5" xfId="16" applyFont="1" applyFill="1" applyBorder="1" applyAlignment="1">
      <alignment horizontal="right"/>
    </xf>
    <xf numFmtId="164" fontId="274" fillId="0" borderId="5" xfId="1" applyNumberFormat="1" applyFont="1" applyBorder="1" applyAlignment="1">
      <alignment horizontal="right"/>
    </xf>
    <xf numFmtId="165" fontId="7" fillId="0" borderId="5" xfId="3" applyNumberFormat="1" applyFont="1" applyFill="1" applyBorder="1" applyAlignment="1">
      <alignment horizontal="right"/>
    </xf>
    <xf numFmtId="164" fontId="7" fillId="0" borderId="23" xfId="1" applyNumberFormat="1" applyFont="1" applyBorder="1" applyAlignment="1">
      <alignment horizontal="right"/>
    </xf>
    <xf numFmtId="166" fontId="7" fillId="0" borderId="5" xfId="3" applyNumberFormat="1" applyFont="1" applyFill="1" applyBorder="1" applyAlignment="1">
      <alignment horizontal="right"/>
    </xf>
    <xf numFmtId="164" fontId="7" fillId="0" borderId="23" xfId="1" applyNumberFormat="1" applyFont="1" applyBorder="1"/>
    <xf numFmtId="164" fontId="275" fillId="0" borderId="5" xfId="1" applyNumberFormat="1" applyFont="1" applyBorder="1" applyAlignment="1">
      <alignment horizontal="right"/>
    </xf>
    <xf numFmtId="167" fontId="274" fillId="0" borderId="5" xfId="1" applyNumberFormat="1" applyFont="1" applyBorder="1" applyAlignment="1">
      <alignment horizontal="right"/>
    </xf>
    <xf numFmtId="167" fontId="274" fillId="0" borderId="21" xfId="1" applyNumberFormat="1" applyFont="1" applyBorder="1" applyAlignment="1">
      <alignment horizontal="right"/>
    </xf>
    <xf numFmtId="164" fontId="46" fillId="75" borderId="5" xfId="1" applyNumberFormat="1" applyFont="1" applyFill="1" applyBorder="1" applyAlignment="1">
      <alignment horizontal="right"/>
    </xf>
    <xf numFmtId="166" fontId="7" fillId="75" borderId="5" xfId="3" applyNumberFormat="1" applyFont="1" applyFill="1" applyBorder="1" applyAlignment="1">
      <alignment horizontal="right"/>
    </xf>
    <xf numFmtId="164" fontId="7" fillId="75" borderId="5" xfId="1" applyNumberFormat="1" applyFont="1" applyFill="1" applyBorder="1" applyAlignment="1">
      <alignment horizontal="right"/>
    </xf>
    <xf numFmtId="235" fontId="46" fillId="75" borderId="23" xfId="632" applyNumberFormat="1" applyFont="1" applyFill="1" applyBorder="1" applyAlignment="1">
      <alignment horizontal="right"/>
    </xf>
    <xf numFmtId="164" fontId="46" fillId="75" borderId="23" xfId="1" applyNumberFormat="1" applyFont="1" applyFill="1" applyBorder="1" applyAlignment="1">
      <alignment horizontal="right"/>
    </xf>
    <xf numFmtId="168" fontId="7" fillId="75" borderId="5" xfId="3" applyNumberFormat="1" applyFont="1" applyFill="1" applyBorder="1" applyAlignment="1">
      <alignment horizontal="right"/>
    </xf>
    <xf numFmtId="184" fontId="7" fillId="75" borderId="5" xfId="1" applyNumberFormat="1" applyFont="1" applyFill="1" applyBorder="1" applyAlignment="1">
      <alignment horizontal="right"/>
    </xf>
    <xf numFmtId="184" fontId="7" fillId="75" borderId="21" xfId="1" applyNumberFormat="1" applyFont="1" applyFill="1" applyBorder="1" applyAlignment="1">
      <alignment horizontal="right"/>
    </xf>
    <xf numFmtId="43" fontId="7" fillId="0" borderId="5" xfId="1" applyNumberFormat="1" applyFont="1" applyBorder="1"/>
    <xf numFmtId="168" fontId="7" fillId="0" borderId="5" xfId="625" applyNumberFormat="1" applyFont="1" applyBorder="1"/>
    <xf numFmtId="0" fontId="46" fillId="78" borderId="10" xfId="1" applyFont="1" applyFill="1" applyBorder="1" applyAlignment="1">
      <alignment horizontal="right"/>
    </xf>
    <xf numFmtId="235" fontId="272" fillId="0" borderId="5" xfId="632" applyNumberFormat="1" applyFont="1" applyBorder="1"/>
    <xf numFmtId="9" fontId="7" fillId="0" borderId="5" xfId="625" applyFont="1" applyBorder="1"/>
    <xf numFmtId="4" fontId="272" fillId="0" borderId="5" xfId="632" applyNumberFormat="1" applyFont="1" applyBorder="1"/>
    <xf numFmtId="235" fontId="7" fillId="0" borderId="5" xfId="1" applyNumberFormat="1" applyFont="1" applyBorder="1"/>
    <xf numFmtId="0" fontId="272" fillId="0" borderId="5" xfId="1" applyFont="1" applyBorder="1"/>
    <xf numFmtId="235" fontId="46" fillId="0" borderId="5" xfId="1" applyNumberFormat="1" applyFont="1" applyBorder="1"/>
    <xf numFmtId="235" fontId="273" fillId="0" borderId="5" xfId="632" applyNumberFormat="1" applyFont="1" applyBorder="1"/>
    <xf numFmtId="9" fontId="46" fillId="0" borderId="5" xfId="1" applyNumberFormat="1" applyFont="1" applyBorder="1"/>
    <xf numFmtId="9" fontId="7" fillId="0" borderId="5" xfId="1" applyNumberFormat="1" applyFont="1" applyBorder="1"/>
    <xf numFmtId="235" fontId="7" fillId="0" borderId="5" xfId="632" applyNumberFormat="1" applyFont="1" applyBorder="1"/>
    <xf numFmtId="0" fontId="282" fillId="67" borderId="23" xfId="16" applyFont="1" applyFill="1" applyBorder="1" applyAlignment="1">
      <alignment horizontal="right"/>
    </xf>
    <xf numFmtId="43" fontId="272" fillId="0" borderId="5" xfId="632" applyFont="1" applyBorder="1"/>
    <xf numFmtId="0" fontId="46" fillId="0" borderId="5" xfId="1" applyFont="1" applyBorder="1"/>
    <xf numFmtId="166" fontId="277" fillId="0" borderId="0" xfId="3" applyNumberFormat="1" applyFont="1" applyFill="1" applyBorder="1" applyAlignment="1">
      <alignment horizontal="right"/>
    </xf>
    <xf numFmtId="168" fontId="277" fillId="0" borderId="0" xfId="3" applyNumberFormat="1" applyFont="1" applyFill="1" applyBorder="1" applyAlignment="1">
      <alignment horizontal="right"/>
    </xf>
    <xf numFmtId="235" fontId="0" fillId="0" borderId="0" xfId="0" applyNumberFormat="1"/>
    <xf numFmtId="195" fontId="0" fillId="7" borderId="0" xfId="632" applyNumberFormat="1" applyFont="1" applyFill="1"/>
    <xf numFmtId="1" fontId="7" fillId="0" borderId="0" xfId="1" applyNumberFormat="1" applyFont="1"/>
    <xf numFmtId="9" fontId="317" fillId="3" borderId="0" xfId="632" applyNumberFormat="1" applyFont="1" applyFill="1" applyBorder="1" applyAlignment="1">
      <alignment horizontal="right"/>
    </xf>
    <xf numFmtId="168" fontId="147" fillId="69" borderId="79" xfId="625" applyNumberFormat="1" applyFont="1" applyFill="1" applyBorder="1" applyAlignment="1">
      <alignment horizontal="right"/>
    </xf>
    <xf numFmtId="168" fontId="147" fillId="69" borderId="40" xfId="625" applyNumberFormat="1" applyFont="1" applyFill="1" applyBorder="1" applyAlignment="1">
      <alignment horizontal="right"/>
    </xf>
    <xf numFmtId="168" fontId="277" fillId="0" borderId="0" xfId="625" applyNumberFormat="1" applyFont="1"/>
    <xf numFmtId="195" fontId="146" fillId="69" borderId="0" xfId="632" applyNumberFormat="1" applyFont="1" applyFill="1" applyBorder="1" applyAlignment="1">
      <alignment horizontal="right"/>
    </xf>
    <xf numFmtId="0" fontId="33" fillId="0" borderId="40" xfId="13" applyFont="1" applyBorder="1" applyAlignment="1">
      <alignment horizontal="left" indent="1"/>
    </xf>
    <xf numFmtId="195" fontId="33" fillId="3" borderId="0" xfId="632" applyNumberFormat="1" applyFont="1" applyFill="1" applyBorder="1" applyAlignment="1">
      <alignment horizontal="right"/>
    </xf>
    <xf numFmtId="235" fontId="147" fillId="3" borderId="0" xfId="632" applyNumberFormat="1" applyFont="1" applyFill="1" applyBorder="1" applyAlignment="1">
      <alignment horizontal="right"/>
    </xf>
    <xf numFmtId="0" fontId="33" fillId="0" borderId="0" xfId="13" applyFont="1" applyAlignment="1">
      <alignment horizontal="left" indent="1"/>
    </xf>
    <xf numFmtId="0" fontId="32" fillId="3" borderId="0" xfId="13" applyFont="1" applyFill="1" applyAlignment="1">
      <alignment horizontal="left" wrapText="1" indent="2"/>
    </xf>
    <xf numFmtId="235" fontId="146" fillId="69" borderId="0" xfId="632" applyNumberFormat="1" applyFont="1" applyFill="1" applyBorder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3" fontId="0" fillId="0" borderId="0" xfId="0" applyNumberFormat="1"/>
    <xf numFmtId="168" fontId="0" fillId="0" borderId="0" xfId="625" applyNumberFormat="1" applyFont="1"/>
    <xf numFmtId="0" fontId="31" fillId="0" borderId="40" xfId="13" applyFont="1" applyBorder="1" applyAlignment="1">
      <alignment horizontal="left" indent="1"/>
    </xf>
    <xf numFmtId="235" fontId="323" fillId="0" borderId="0" xfId="632" applyNumberFormat="1" applyFont="1"/>
    <xf numFmtId="0" fontId="31" fillId="3" borderId="0" xfId="13" applyFont="1" applyFill="1" applyAlignment="1">
      <alignment horizontal="left"/>
    </xf>
    <xf numFmtId="0" fontId="32" fillId="3" borderId="0" xfId="13" applyFont="1" applyFill="1" applyAlignment="1">
      <alignment horizontal="left"/>
    </xf>
    <xf numFmtId="0" fontId="33" fillId="3" borderId="0" xfId="13" applyFont="1" applyFill="1" applyAlignment="1">
      <alignment horizontal="left"/>
    </xf>
    <xf numFmtId="0" fontId="315" fillId="0" borderId="40" xfId="13" applyFont="1" applyBorder="1"/>
    <xf numFmtId="0" fontId="272" fillId="69" borderId="0" xfId="0" applyFont="1" applyFill="1"/>
    <xf numFmtId="168" fontId="1" fillId="0" borderId="0" xfId="625" applyNumberFormat="1" applyFont="1"/>
    <xf numFmtId="0" fontId="1" fillId="0" borderId="0" xfId="0" applyFont="1" applyAlignment="1">
      <alignment horizontal="left" indent="1"/>
    </xf>
    <xf numFmtId="9" fontId="287" fillId="0" borderId="0" xfId="625" applyFont="1"/>
    <xf numFmtId="0" fontId="272" fillId="0" borderId="0" xfId="0" applyFont="1"/>
    <xf numFmtId="0" fontId="1" fillId="0" borderId="18" xfId="0" applyFont="1" applyBorder="1"/>
    <xf numFmtId="235" fontId="154" fillId="0" borderId="0" xfId="632" applyNumberFormat="1" applyFont="1"/>
    <xf numFmtId="235" fontId="1" fillId="0" borderId="18" xfId="632" applyNumberFormat="1" applyFont="1" applyBorder="1"/>
    <xf numFmtId="0" fontId="270" fillId="0" borderId="0" xfId="0" applyFont="1"/>
    <xf numFmtId="235" fontId="31" fillId="3" borderId="82" xfId="632" applyNumberFormat="1" applyFont="1" applyFill="1" applyBorder="1" applyAlignment="1">
      <alignment horizontal="right"/>
    </xf>
    <xf numFmtId="0" fontId="284" fillId="0" borderId="0" xfId="0" applyFont="1" applyAlignment="1">
      <alignment horizontal="center"/>
    </xf>
    <xf numFmtId="235" fontId="284" fillId="0" borderId="0" xfId="632" applyNumberFormat="1" applyFont="1" applyAlignment="1">
      <alignment wrapText="1"/>
    </xf>
    <xf numFmtId="0" fontId="285" fillId="0" borderId="0" xfId="0" applyFont="1" applyAlignment="1">
      <alignment horizontal="center" wrapText="1"/>
    </xf>
    <xf numFmtId="0" fontId="287" fillId="0" borderId="0" xfId="0" applyFont="1" applyAlignment="1">
      <alignment horizontal="center" wrapText="1"/>
    </xf>
    <xf numFmtId="9" fontId="287" fillId="0" borderId="0" xfId="625" applyFont="1" applyAlignment="1">
      <alignment wrapText="1"/>
    </xf>
    <xf numFmtId="0" fontId="287" fillId="0" borderId="0" xfId="0" applyFont="1" applyAlignment="1">
      <alignment horizontal="left"/>
    </xf>
    <xf numFmtId="0" fontId="285" fillId="0" borderId="0" xfId="0" applyFont="1" applyAlignment="1">
      <alignment horizontal="left"/>
    </xf>
    <xf numFmtId="9" fontId="285" fillId="0" borderId="0" xfId="625" applyFont="1" applyAlignment="1">
      <alignment horizontal="right" wrapText="1"/>
    </xf>
    <xf numFmtId="0" fontId="282" fillId="67" borderId="0" xfId="0" applyFont="1" applyFill="1" applyAlignment="1">
      <alignment vertical="top" wrapText="1"/>
    </xf>
    <xf numFmtId="0" fontId="282" fillId="67" borderId="0" xfId="0" applyFont="1" applyFill="1" applyAlignment="1">
      <alignment horizontal="right" vertical="top" wrapText="1"/>
    </xf>
    <xf numFmtId="0" fontId="282" fillId="67" borderId="0" xfId="0" applyFont="1" applyFill="1" applyAlignment="1">
      <alignment vertical="top"/>
    </xf>
    <xf numFmtId="0" fontId="69" fillId="67" borderId="0" xfId="0" applyFont="1" applyFill="1"/>
    <xf numFmtId="0" fontId="154" fillId="0" borderId="10" xfId="0" applyFont="1" applyBorder="1"/>
    <xf numFmtId="0" fontId="1" fillId="0" borderId="9" xfId="0" applyFont="1" applyBorder="1"/>
    <xf numFmtId="235" fontId="154" fillId="0" borderId="9" xfId="632" applyNumberFormat="1" applyFont="1" applyBorder="1"/>
    <xf numFmtId="235" fontId="154" fillId="0" borderId="8" xfId="632" applyNumberFormat="1" applyFont="1" applyBorder="1"/>
    <xf numFmtId="235" fontId="324" fillId="0" borderId="0" xfId="632" applyNumberFormat="1" applyFont="1"/>
    <xf numFmtId="235" fontId="3" fillId="0" borderId="0" xfId="632" applyNumberFormat="1" applyFont="1"/>
    <xf numFmtId="235" fontId="285" fillId="0" borderId="0" xfId="632" applyNumberFormat="1" applyFont="1"/>
    <xf numFmtId="235" fontId="284" fillId="0" borderId="0" xfId="632" applyNumberFormat="1" applyFont="1"/>
    <xf numFmtId="9" fontId="284" fillId="0" borderId="0" xfId="625" applyFont="1"/>
    <xf numFmtId="235" fontId="284" fillId="0" borderId="0" xfId="0" applyNumberFormat="1" applyFont="1"/>
    <xf numFmtId="0" fontId="69" fillId="67" borderId="0" xfId="0" applyFont="1" applyFill="1" applyAlignment="1">
      <alignment horizontal="right"/>
    </xf>
    <xf numFmtId="0" fontId="284" fillId="68" borderId="0" xfId="0" applyFont="1" applyFill="1"/>
    <xf numFmtId="0" fontId="284" fillId="68" borderId="0" xfId="0" applyFont="1" applyFill="1" applyAlignment="1">
      <alignment horizontal="right"/>
    </xf>
    <xf numFmtId="0" fontId="284" fillId="77" borderId="0" xfId="0" applyFont="1" applyFill="1"/>
    <xf numFmtId="0" fontId="284" fillId="77" borderId="0" xfId="0" applyFont="1" applyFill="1" applyAlignment="1">
      <alignment horizontal="right"/>
    </xf>
    <xf numFmtId="0" fontId="328" fillId="0" borderId="0" xfId="0" applyFont="1"/>
    <xf numFmtId="0" fontId="285" fillId="0" borderId="0" xfId="0" applyFont="1" applyAlignment="1">
      <alignment horizontal="left" indent="1"/>
    </xf>
    <xf numFmtId="0" fontId="284" fillId="0" borderId="0" xfId="0" applyFont="1" applyAlignment="1">
      <alignment horizontal="left" indent="2"/>
    </xf>
    <xf numFmtId="9" fontId="285" fillId="0" borderId="0" xfId="0" applyNumberFormat="1" applyFont="1"/>
    <xf numFmtId="0" fontId="329" fillId="0" borderId="0" xfId="0" applyFont="1"/>
    <xf numFmtId="0" fontId="284" fillId="0" borderId="0" xfId="0" quotePrefix="1" applyFont="1" applyAlignment="1">
      <alignment horizontal="left" indent="1"/>
    </xf>
    <xf numFmtId="0" fontId="285" fillId="0" borderId="18" xfId="0" applyFont="1" applyBorder="1" applyAlignment="1">
      <alignment horizontal="left" indent="1"/>
    </xf>
    <xf numFmtId="0" fontId="285" fillId="0" borderId="18" xfId="0" applyFont="1" applyBorder="1"/>
    <xf numFmtId="235" fontId="285" fillId="0" borderId="18" xfId="632" applyNumberFormat="1" applyFont="1" applyBorder="1"/>
    <xf numFmtId="235" fontId="285" fillId="0" borderId="18" xfId="0" applyNumberFormat="1" applyFont="1" applyBorder="1"/>
    <xf numFmtId="0" fontId="285" fillId="0" borderId="23" xfId="0" applyFont="1" applyBorder="1"/>
    <xf numFmtId="235" fontId="285" fillId="0" borderId="22" xfId="0" applyNumberFormat="1" applyFont="1" applyBorder="1"/>
    <xf numFmtId="0" fontId="284" fillId="0" borderId="21" xfId="0" quotePrefix="1" applyFont="1" applyBorder="1"/>
    <xf numFmtId="0" fontId="284" fillId="0" borderId="16" xfId="0" applyFont="1" applyBorder="1"/>
    <xf numFmtId="9" fontId="284" fillId="0" borderId="16" xfId="625" applyFont="1" applyBorder="1"/>
    <xf numFmtId="9" fontId="284" fillId="0" borderId="1" xfId="625" applyFont="1" applyBorder="1"/>
    <xf numFmtId="0" fontId="286" fillId="78" borderId="0" xfId="0" applyFont="1" applyFill="1"/>
    <xf numFmtId="168" fontId="286" fillId="78" borderId="0" xfId="625" applyNumberFormat="1" applyFont="1" applyFill="1"/>
    <xf numFmtId="9" fontId="147" fillId="79" borderId="78" xfId="625" applyFont="1" applyFill="1" applyBorder="1" applyAlignment="1">
      <alignment horizontal="right"/>
    </xf>
    <xf numFmtId="9" fontId="147" fillId="79" borderId="39" xfId="625" applyFont="1" applyFill="1" applyBorder="1" applyAlignment="1">
      <alignment horizontal="right"/>
    </xf>
    <xf numFmtId="164" fontId="330" fillId="0" borderId="0" xfId="1" applyNumberFormat="1" applyFont="1"/>
    <xf numFmtId="3" fontId="145" fillId="0" borderId="0" xfId="3" applyNumberFormat="1" applyFont="1" applyFill="1" applyBorder="1" applyAlignment="1">
      <alignment horizontal="right"/>
    </xf>
    <xf numFmtId="1" fontId="31" fillId="0" borderId="0" xfId="13" applyNumberFormat="1" applyFont="1" applyAlignment="1">
      <alignment horizontal="right"/>
    </xf>
    <xf numFmtId="186" fontId="274" fillId="0" borderId="0" xfId="1" applyNumberFormat="1" applyFont="1" applyAlignment="1">
      <alignment horizontal="right"/>
    </xf>
    <xf numFmtId="235" fontId="46" fillId="0" borderId="18" xfId="632" applyNumberFormat="1" applyFont="1" applyFill="1" applyBorder="1" applyAlignment="1">
      <alignment horizontal="right"/>
    </xf>
    <xf numFmtId="9" fontId="272" fillId="0" borderId="5" xfId="625" applyFont="1" applyBorder="1"/>
    <xf numFmtId="238" fontId="7" fillId="0" borderId="0" xfId="632" applyNumberFormat="1" applyFont="1" applyFill="1" applyAlignment="1">
      <alignment horizontal="left" vertical="center" indent="1"/>
    </xf>
    <xf numFmtId="186" fontId="46" fillId="0" borderId="0" xfId="1" applyNumberFormat="1" applyFont="1" applyAlignment="1">
      <alignment horizontal="right"/>
    </xf>
    <xf numFmtId="186" fontId="46" fillId="75" borderId="5" xfId="1" applyNumberFormat="1" applyFont="1" applyFill="1" applyBorder="1" applyAlignment="1">
      <alignment horizontal="right"/>
    </xf>
    <xf numFmtId="164" fontId="7" fillId="7" borderId="0" xfId="16" applyNumberFormat="1" applyFill="1"/>
    <xf numFmtId="164" fontId="272" fillId="7" borderId="0" xfId="16" applyNumberFormat="1" applyFont="1" applyFill="1"/>
    <xf numFmtId="185" fontId="272" fillId="7" borderId="0" xfId="16" applyNumberFormat="1" applyFont="1" applyFill="1"/>
    <xf numFmtId="166" fontId="272" fillId="7" borderId="0" xfId="16" applyNumberFormat="1" applyFont="1" applyFill="1"/>
    <xf numFmtId="168" fontId="4" fillId="0" borderId="0" xfId="1" applyNumberFormat="1"/>
    <xf numFmtId="238" fontId="46" fillId="0" borderId="0" xfId="632" applyNumberFormat="1" applyFont="1" applyFill="1" applyAlignment="1">
      <alignment horizontal="left" vertical="center"/>
    </xf>
    <xf numFmtId="238" fontId="7" fillId="0" borderId="0" xfId="632" applyNumberFormat="1" applyFont="1" applyAlignment="1">
      <alignment horizontal="left" vertical="center" indent="1"/>
    </xf>
    <xf numFmtId="238" fontId="7" fillId="0" borderId="0" xfId="632" applyNumberFormat="1" applyFont="1" applyBorder="1" applyAlignment="1">
      <alignment horizontal="left" vertical="center" indent="1"/>
    </xf>
    <xf numFmtId="3" fontId="34" fillId="3" borderId="0" xfId="3" applyNumberFormat="1" applyFont="1" applyFill="1" applyBorder="1" applyAlignment="1">
      <alignment horizontal="right"/>
    </xf>
    <xf numFmtId="235" fontId="34" fillId="3" borderId="40" xfId="632" applyNumberFormat="1" applyFont="1" applyFill="1" applyBorder="1" applyAlignment="1">
      <alignment horizontal="right"/>
    </xf>
    <xf numFmtId="235" fontId="34" fillId="3" borderId="0" xfId="632" applyNumberFormat="1" applyFont="1" applyFill="1" applyBorder="1" applyAlignment="1">
      <alignment horizontal="right"/>
    </xf>
    <xf numFmtId="235" fontId="272" fillId="0" borderId="0" xfId="1" applyNumberFormat="1" applyFont="1"/>
    <xf numFmtId="9" fontId="76" fillId="0" borderId="5" xfId="625" applyFont="1" applyBorder="1"/>
    <xf numFmtId="9" fontId="76" fillId="0" borderId="0" xfId="625" applyFont="1"/>
    <xf numFmtId="164" fontId="313" fillId="0" borderId="0" xfId="1" applyNumberFormat="1" applyFont="1"/>
    <xf numFmtId="9" fontId="312" fillId="0" borderId="0" xfId="625" applyFont="1" applyBorder="1"/>
    <xf numFmtId="9" fontId="14" fillId="0" borderId="0" xfId="1" applyNumberFormat="1" applyFont="1"/>
    <xf numFmtId="191" fontId="7" fillId="0" borderId="5" xfId="3" applyNumberFormat="1" applyFont="1" applyFill="1" applyBorder="1"/>
    <xf numFmtId="164" fontId="7" fillId="0" borderId="5" xfId="16" applyNumberFormat="1" applyBorder="1"/>
    <xf numFmtId="164" fontId="46" fillId="0" borderId="5" xfId="16" applyNumberFormat="1" applyFont="1" applyBorder="1"/>
    <xf numFmtId="164" fontId="272" fillId="0" borderId="5" xfId="16" applyNumberFormat="1" applyFont="1" applyBorder="1"/>
    <xf numFmtId="167" fontId="277" fillId="0" borderId="5" xfId="16" applyNumberFormat="1" applyFont="1" applyBorder="1"/>
    <xf numFmtId="9" fontId="4" fillId="0" borderId="0" xfId="625" applyFont="1"/>
    <xf numFmtId="9" fontId="312" fillId="0" borderId="0" xfId="625" applyFont="1"/>
    <xf numFmtId="9" fontId="52" fillId="0" borderId="0" xfId="625" applyFont="1" applyAlignment="1">
      <alignment horizontal="right"/>
    </xf>
    <xf numFmtId="9" fontId="49" fillId="0" borderId="0" xfId="625" applyFont="1"/>
    <xf numFmtId="0" fontId="331" fillId="0" borderId="0" xfId="0" applyFont="1" applyAlignment="1">
      <alignment horizontal="center" wrapText="1"/>
    </xf>
    <xf numFmtId="0" fontId="154" fillId="68" borderId="0" xfId="0" applyFont="1" applyFill="1" applyAlignment="1">
      <alignment horizontal="right"/>
    </xf>
    <xf numFmtId="17" fontId="284" fillId="0" borderId="0" xfId="0" applyNumberFormat="1" applyFont="1" applyAlignment="1">
      <alignment horizontal="right"/>
    </xf>
    <xf numFmtId="235" fontId="284" fillId="77" borderId="0" xfId="632" applyNumberFormat="1" applyFont="1" applyFill="1"/>
    <xf numFmtId="9" fontId="46" fillId="0" borderId="0" xfId="625" applyFont="1"/>
    <xf numFmtId="15" fontId="31" fillId="3" borderId="0" xfId="13" applyNumberFormat="1" applyFont="1" applyFill="1" applyAlignment="1">
      <alignment wrapText="1"/>
    </xf>
    <xf numFmtId="9" fontId="31" fillId="3" borderId="0" xfId="625" applyFont="1" applyFill="1"/>
    <xf numFmtId="235" fontId="285" fillId="0" borderId="0" xfId="632" applyNumberFormat="1" applyFont="1" applyAlignment="1">
      <alignment wrapText="1"/>
    </xf>
    <xf numFmtId="235" fontId="284" fillId="0" borderId="0" xfId="632" applyNumberFormat="1" applyFont="1" applyAlignment="1">
      <alignment horizontal="center" vertical="top" wrapText="1"/>
    </xf>
    <xf numFmtId="235" fontId="284" fillId="77" borderId="0" xfId="632" applyNumberFormat="1" applyFont="1" applyFill="1" applyAlignment="1">
      <alignment horizontal="center" vertical="top" wrapText="1"/>
    </xf>
    <xf numFmtId="235" fontId="284" fillId="0" borderId="76" xfId="632" applyNumberFormat="1" applyFont="1" applyBorder="1" applyAlignment="1">
      <alignment horizontal="center" vertical="top" wrapText="1"/>
    </xf>
    <xf numFmtId="9" fontId="32" fillId="3" borderId="0" xfId="625" applyFont="1" applyFill="1" applyBorder="1" applyAlignment="1">
      <alignment horizontal="right"/>
    </xf>
    <xf numFmtId="0" fontId="287" fillId="0" borderId="0" xfId="0" applyFont="1" applyAlignment="1">
      <alignment horizontal="left" indent="1"/>
    </xf>
    <xf numFmtId="168" fontId="287" fillId="0" borderId="0" xfId="625" applyNumberFormat="1" applyFont="1"/>
    <xf numFmtId="0" fontId="33" fillId="0" borderId="40" xfId="13" applyFont="1" applyBorder="1" applyAlignment="1">
      <alignment horizontal="left"/>
    </xf>
    <xf numFmtId="235" fontId="7" fillId="0" borderId="5" xfId="632" applyNumberFormat="1" applyFont="1" applyFill="1" applyBorder="1" applyAlignment="1">
      <alignment horizontal="right"/>
    </xf>
    <xf numFmtId="235" fontId="7" fillId="0" borderId="0" xfId="632" applyNumberFormat="1" applyFont="1" applyFill="1" applyBorder="1" applyAlignment="1">
      <alignment horizontal="right"/>
    </xf>
    <xf numFmtId="181" fontId="7" fillId="0" borderId="0" xfId="1" applyNumberFormat="1" applyFont="1" applyAlignment="1">
      <alignment horizontal="left" vertical="top" indent="1"/>
    </xf>
    <xf numFmtId="9" fontId="0" fillId="0" borderId="0" xfId="625" applyFont="1"/>
    <xf numFmtId="0" fontId="284" fillId="0" borderId="0" xfId="0" applyFont="1" applyAlignment="1">
      <alignment vertical="center"/>
    </xf>
    <xf numFmtId="235" fontId="284" fillId="0" borderId="0" xfId="632" applyNumberFormat="1" applyFont="1" applyAlignment="1">
      <alignment vertical="center"/>
    </xf>
    <xf numFmtId="235" fontId="284" fillId="0" borderId="0" xfId="0" applyNumberFormat="1" applyFont="1" applyAlignment="1">
      <alignment vertical="center"/>
    </xf>
    <xf numFmtId="37" fontId="284" fillId="0" borderId="0" xfId="0" applyNumberFormat="1" applyFont="1" applyAlignment="1">
      <alignment vertical="center"/>
    </xf>
    <xf numFmtId="0" fontId="285" fillId="68" borderId="0" xfId="0" applyFont="1" applyFill="1" applyAlignment="1">
      <alignment vertical="top"/>
    </xf>
    <xf numFmtId="0" fontId="285" fillId="68" borderId="0" xfId="0" applyFont="1" applyFill="1" applyAlignment="1">
      <alignment horizontal="right" vertical="top"/>
    </xf>
    <xf numFmtId="235" fontId="285" fillId="68" borderId="0" xfId="632" applyNumberFormat="1" applyFont="1" applyFill="1" applyAlignment="1">
      <alignment horizontal="right" wrapText="1"/>
    </xf>
    <xf numFmtId="0" fontId="285" fillId="68" borderId="0" xfId="0" applyFont="1" applyFill="1" applyAlignment="1">
      <alignment horizontal="right" wrapText="1"/>
    </xf>
    <xf numFmtId="0" fontId="285" fillId="77" borderId="0" xfId="0" applyFont="1" applyFill="1" applyAlignment="1">
      <alignment vertical="center"/>
    </xf>
    <xf numFmtId="0" fontId="284" fillId="77" borderId="0" xfId="0" applyFont="1" applyFill="1" applyAlignment="1">
      <alignment vertical="center"/>
    </xf>
    <xf numFmtId="235" fontId="284" fillId="77" borderId="0" xfId="632" applyNumberFormat="1" applyFont="1" applyFill="1" applyAlignment="1">
      <alignment vertical="center"/>
    </xf>
    <xf numFmtId="0" fontId="285" fillId="77" borderId="0" xfId="0" applyFont="1" applyFill="1" applyAlignment="1">
      <alignment horizontal="right" vertical="center" wrapText="1"/>
    </xf>
    <xf numFmtId="0" fontId="285" fillId="68" borderId="0" xfId="0" applyFont="1" applyFill="1" applyAlignment="1">
      <alignment vertical="top" wrapText="1"/>
    </xf>
    <xf numFmtId="235" fontId="284" fillId="77" borderId="0" xfId="632" applyNumberFormat="1" applyFont="1" applyFill="1" applyAlignment="1">
      <alignment horizontal="right" vertical="center" wrapText="1"/>
    </xf>
    <xf numFmtId="0" fontId="285" fillId="0" borderId="18" xfId="0" applyFont="1" applyBorder="1" applyAlignment="1">
      <alignment vertical="center"/>
    </xf>
    <xf numFmtId="0" fontId="284" fillId="0" borderId="18" xfId="0" applyFont="1" applyBorder="1" applyAlignment="1">
      <alignment vertical="center"/>
    </xf>
    <xf numFmtId="325" fontId="285" fillId="0" borderId="18" xfId="632" applyNumberFormat="1" applyFont="1" applyBorder="1" applyAlignment="1">
      <alignment vertical="center"/>
    </xf>
    <xf numFmtId="325" fontId="285" fillId="0" borderId="18" xfId="632" applyNumberFormat="1" applyFont="1" applyBorder="1" applyAlignment="1">
      <alignment horizontal="right" vertical="center"/>
    </xf>
    <xf numFmtId="325" fontId="0" fillId="0" borderId="0" xfId="0" applyNumberFormat="1"/>
    <xf numFmtId="235" fontId="285" fillId="0" borderId="18" xfId="0" applyNumberFormat="1" applyFont="1" applyBorder="1" applyAlignment="1">
      <alignment horizontal="center" vertical="top" wrapText="1"/>
    </xf>
    <xf numFmtId="195" fontId="1" fillId="0" borderId="0" xfId="632" applyNumberFormat="1" applyFont="1"/>
    <xf numFmtId="164" fontId="332" fillId="0" borderId="0" xfId="1" applyNumberFormat="1" applyFont="1"/>
    <xf numFmtId="164" fontId="76" fillId="0" borderId="0" xfId="16" applyNumberFormat="1" applyFont="1" applyAlignment="1">
      <alignment horizontal="left" indent="1"/>
    </xf>
    <xf numFmtId="164" fontId="333" fillId="0" borderId="0" xfId="16" applyNumberFormat="1" applyFont="1"/>
    <xf numFmtId="9" fontId="76" fillId="0" borderId="0" xfId="16" applyNumberFormat="1" applyFont="1"/>
    <xf numFmtId="164" fontId="320" fillId="0" borderId="0" xfId="16" applyNumberFormat="1" applyFont="1"/>
    <xf numFmtId="164" fontId="90" fillId="0" borderId="0" xfId="1" applyNumberFormat="1" applyFont="1"/>
    <xf numFmtId="0" fontId="334" fillId="0" borderId="0" xfId="1" applyFont="1"/>
    <xf numFmtId="0" fontId="335" fillId="0" borderId="0" xfId="1" applyFont="1" applyAlignment="1">
      <alignment horizontal="left" indent="1"/>
    </xf>
    <xf numFmtId="164" fontId="335" fillId="0" borderId="0" xfId="1" applyNumberFormat="1" applyFont="1"/>
    <xf numFmtId="9" fontId="335" fillId="0" borderId="0" xfId="1" applyNumberFormat="1" applyFont="1"/>
    <xf numFmtId="0" fontId="319" fillId="0" borderId="0" xfId="1" applyFont="1"/>
    <xf numFmtId="0" fontId="312" fillId="0" borderId="0" xfId="1" applyFont="1"/>
    <xf numFmtId="164" fontId="312" fillId="0" borderId="0" xfId="1" applyNumberFormat="1" applyFont="1"/>
    <xf numFmtId="9" fontId="336" fillId="0" borderId="0" xfId="1" applyNumberFormat="1" applyFont="1"/>
    <xf numFmtId="0" fontId="46" fillId="66" borderId="0" xfId="2" applyFont="1" applyFill="1" applyAlignment="1">
      <alignment horizontal="center"/>
    </xf>
    <xf numFmtId="166" fontId="7" fillId="0" borderId="0" xfId="2" applyNumberFormat="1"/>
    <xf numFmtId="199" fontId="7" fillId="0" borderId="0" xfId="2" applyNumberFormat="1"/>
    <xf numFmtId="166" fontId="46" fillId="66" borderId="0" xfId="2" applyNumberFormat="1" applyFont="1" applyFill="1"/>
    <xf numFmtId="199" fontId="69" fillId="3" borderId="0" xfId="2" applyNumberFormat="1" applyFont="1" applyFill="1"/>
    <xf numFmtId="0" fontId="77" fillId="3" borderId="0" xfId="2" applyFont="1" applyFill="1"/>
    <xf numFmtId="166" fontId="7" fillId="3" borderId="0" xfId="2" applyNumberFormat="1" applyFill="1"/>
    <xf numFmtId="186" fontId="47" fillId="68" borderId="83" xfId="2" applyNumberFormat="1" applyFont="1" applyFill="1" applyBorder="1"/>
    <xf numFmtId="0" fontId="155" fillId="0" borderId="3" xfId="1" applyFont="1" applyBorder="1"/>
    <xf numFmtId="240" fontId="46" fillId="0" borderId="0" xfId="632" applyNumberFormat="1" applyFont="1" applyAlignment="1">
      <alignment horizontal="right" vertical="center"/>
    </xf>
    <xf numFmtId="0" fontId="31" fillId="3" borderId="39" xfId="13" applyFont="1" applyFill="1" applyBorder="1"/>
    <xf numFmtId="1" fontId="31" fillId="3" borderId="78" xfId="13" applyNumberFormat="1" applyFont="1" applyFill="1" applyBorder="1" applyAlignment="1">
      <alignment horizontal="right"/>
    </xf>
    <xf numFmtId="37" fontId="8" fillId="0" borderId="5" xfId="2" applyNumberFormat="1" applyFont="1" applyBorder="1"/>
    <xf numFmtId="0" fontId="295" fillId="71" borderId="5" xfId="1" applyFont="1" applyFill="1" applyBorder="1"/>
    <xf numFmtId="164" fontId="10" fillId="0" borderId="72" xfId="2" applyNumberFormat="1" applyFont="1" applyBorder="1" applyAlignment="1">
      <alignment horizontal="right"/>
    </xf>
    <xf numFmtId="168" fontId="9" fillId="0" borderId="72" xfId="2" applyNumberFormat="1" applyFont="1" applyBorder="1" applyAlignment="1">
      <alignment horizontal="right"/>
    </xf>
    <xf numFmtId="0" fontId="5" fillId="0" borderId="5" xfId="1" applyFont="1" applyBorder="1"/>
    <xf numFmtId="0" fontId="10" fillId="68" borderId="5" xfId="2" applyFont="1" applyFill="1" applyBorder="1" applyAlignment="1">
      <alignment horizontal="center"/>
    </xf>
    <xf numFmtId="0" fontId="11" fillId="0" borderId="5" xfId="1" applyFont="1" applyBorder="1"/>
    <xf numFmtId="0" fontId="296" fillId="0" borderId="5" xfId="1" applyFont="1" applyBorder="1"/>
    <xf numFmtId="168" fontId="8" fillId="0" borderId="5" xfId="1" applyNumberFormat="1" applyFont="1" applyBorder="1"/>
    <xf numFmtId="168" fontId="8" fillId="0" borderId="5" xfId="2" applyNumberFormat="1" applyFont="1" applyBorder="1" applyAlignment="1">
      <alignment vertical="center"/>
    </xf>
    <xf numFmtId="168" fontId="295" fillId="71" borderId="5" xfId="1" applyNumberFormat="1" applyFont="1" applyFill="1" applyBorder="1"/>
    <xf numFmtId="0" fontId="8" fillId="0" borderId="3" xfId="1" applyFont="1" applyBorder="1"/>
    <xf numFmtId="37" fontId="8" fillId="0" borderId="3" xfId="2" applyNumberFormat="1" applyFont="1" applyBorder="1"/>
    <xf numFmtId="0" fontId="295" fillId="71" borderId="3" xfId="1" applyFont="1" applyFill="1" applyBorder="1"/>
    <xf numFmtId="164" fontId="10" fillId="0" borderId="3" xfId="2" applyNumberFormat="1" applyFont="1" applyBorder="1" applyAlignment="1">
      <alignment horizontal="right"/>
    </xf>
    <xf numFmtId="168" fontId="9" fillId="0" borderId="3" xfId="2" applyNumberFormat="1" applyFont="1" applyBorder="1" applyAlignment="1">
      <alignment horizontal="right"/>
    </xf>
    <xf numFmtId="0" fontId="5" fillId="0" borderId="3" xfId="1" applyFont="1" applyBorder="1"/>
    <xf numFmtId="0" fontId="9" fillId="0" borderId="0" xfId="1" applyFont="1"/>
    <xf numFmtId="0" fontId="10" fillId="66" borderId="5" xfId="2" applyFont="1" applyFill="1" applyBorder="1" applyAlignment="1">
      <alignment horizontal="right"/>
    </xf>
    <xf numFmtId="0" fontId="337" fillId="0" borderId="5" xfId="2" applyFont="1" applyBorder="1"/>
    <xf numFmtId="9" fontId="337" fillId="0" borderId="5" xfId="2" applyNumberFormat="1" applyFont="1" applyBorder="1"/>
    <xf numFmtId="9" fontId="4" fillId="0" borderId="0" xfId="2" applyNumberFormat="1" applyFont="1"/>
    <xf numFmtId="0" fontId="7" fillId="0" borderId="0" xfId="2" applyAlignment="1">
      <alignment horizontal="left" indent="1"/>
    </xf>
    <xf numFmtId="0" fontId="46" fillId="78" borderId="0" xfId="2" applyFont="1" applyFill="1"/>
    <xf numFmtId="0" fontId="46" fillId="76" borderId="0" xfId="2" applyFont="1" applyFill="1"/>
    <xf numFmtId="0" fontId="46" fillId="76" borderId="0" xfId="2" applyFont="1" applyFill="1" applyAlignment="1">
      <alignment horizontal="center"/>
    </xf>
    <xf numFmtId="0" fontId="7" fillId="0" borderId="0" xfId="2" applyAlignment="1">
      <alignment horizontal="left"/>
    </xf>
    <xf numFmtId="0" fontId="85" fillId="0" borderId="0" xfId="2" applyFont="1" applyAlignment="1">
      <alignment horizontal="left"/>
    </xf>
    <xf numFmtId="0" fontId="76" fillId="0" borderId="0" xfId="2" applyFont="1" applyAlignment="1">
      <alignment horizontal="left" indent="1"/>
    </xf>
    <xf numFmtId="0" fontId="76" fillId="0" borderId="0" xfId="2" applyFont="1"/>
    <xf numFmtId="9" fontId="76" fillId="0" borderId="0" xfId="2" applyNumberFormat="1" applyFont="1"/>
    <xf numFmtId="0" fontId="46" fillId="78" borderId="0" xfId="2" applyFont="1" applyFill="1" applyAlignment="1">
      <alignment horizontal="right"/>
    </xf>
    <xf numFmtId="0" fontId="46" fillId="76" borderId="0" xfId="2" applyFont="1" applyFill="1" applyAlignment="1">
      <alignment horizontal="right"/>
    </xf>
    <xf numFmtId="327" fontId="76" fillId="0" borderId="0" xfId="632" applyNumberFormat="1" applyFont="1"/>
    <xf numFmtId="168" fontId="7" fillId="0" borderId="0" xfId="5104" applyNumberFormat="1" applyFont="1"/>
    <xf numFmtId="9" fontId="7" fillId="0" borderId="0" xfId="5104" applyFont="1"/>
    <xf numFmtId="0" fontId="1" fillId="65" borderId="0" xfId="0" applyFont="1" applyFill="1" applyAlignment="1">
      <alignment horizontal="left" vertical="center" indent="2"/>
    </xf>
    <xf numFmtId="9" fontId="7" fillId="0" borderId="2" xfId="2" applyNumberFormat="1" applyBorder="1" applyAlignment="1">
      <alignment horizontal="left" indent="1"/>
    </xf>
    <xf numFmtId="9" fontId="282" fillId="67" borderId="0" xfId="625" applyFont="1" applyFill="1" applyProtection="1">
      <protection locked="0"/>
    </xf>
    <xf numFmtId="9" fontId="46" fillId="68" borderId="9" xfId="625" applyFont="1" applyFill="1" applyBorder="1" applyAlignment="1">
      <alignment horizontal="center"/>
    </xf>
    <xf numFmtId="9" fontId="46" fillId="66" borderId="9" xfId="625" applyFont="1" applyFill="1" applyBorder="1" applyAlignment="1">
      <alignment horizontal="right"/>
    </xf>
    <xf numFmtId="9" fontId="7" fillId="0" borderId="2" xfId="625" applyFont="1" applyBorder="1" applyAlignment="1">
      <alignment horizontal="right"/>
    </xf>
    <xf numFmtId="9" fontId="7" fillId="0" borderId="0" xfId="625" applyFont="1" applyAlignment="1">
      <alignment horizontal="right"/>
    </xf>
    <xf numFmtId="9" fontId="7" fillId="0" borderId="2" xfId="625" applyFont="1" applyBorder="1"/>
    <xf numFmtId="9" fontId="71" fillId="2" borderId="9" xfId="625" applyFont="1" applyFill="1" applyBorder="1" applyAlignment="1" applyProtection="1">
      <alignment horizontal="right"/>
      <protection locked="0"/>
    </xf>
    <xf numFmtId="9" fontId="70" fillId="0" borderId="0" xfId="625" applyFont="1" applyFill="1" applyBorder="1" applyAlignment="1" applyProtection="1">
      <alignment horizontal="right"/>
      <protection locked="0"/>
    </xf>
    <xf numFmtId="9" fontId="46" fillId="76" borderId="0" xfId="625" applyFont="1" applyFill="1"/>
    <xf numFmtId="9" fontId="46" fillId="78" borderId="0" xfId="625" applyFont="1" applyFill="1"/>
    <xf numFmtId="9" fontId="284" fillId="0" borderId="0" xfId="3" applyFont="1" applyFill="1"/>
    <xf numFmtId="9" fontId="285" fillId="0" borderId="0" xfId="3" applyFont="1" applyFill="1"/>
    <xf numFmtId="168" fontId="70" fillId="0" borderId="0" xfId="625" applyNumberFormat="1" applyFont="1" applyFill="1" applyBorder="1" applyAlignment="1" applyProtection="1">
      <alignment horizontal="right"/>
      <protection locked="0"/>
    </xf>
    <xf numFmtId="168" fontId="70" fillId="0" borderId="2" xfId="625" applyNumberFormat="1" applyFont="1" applyFill="1" applyBorder="1" applyAlignment="1" applyProtection="1">
      <alignment horizontal="right"/>
      <protection locked="0"/>
    </xf>
    <xf numFmtId="235" fontId="146" fillId="80" borderId="40" xfId="632" applyNumberFormat="1" applyFont="1" applyFill="1" applyBorder="1" applyAlignment="1">
      <alignment horizontal="right"/>
    </xf>
    <xf numFmtId="235" fontId="146" fillId="80" borderId="0" xfId="632" applyNumberFormat="1" applyFont="1" applyFill="1" applyBorder="1" applyAlignment="1">
      <alignment horizontal="right"/>
    </xf>
    <xf numFmtId="9" fontId="148" fillId="69" borderId="40" xfId="625" applyFont="1" applyFill="1" applyBorder="1" applyAlignment="1">
      <alignment horizontal="right"/>
    </xf>
    <xf numFmtId="195" fontId="146" fillId="0" borderId="0" xfId="632" applyNumberFormat="1" applyFont="1" applyFill="1" applyBorder="1" applyAlignment="1">
      <alignment horizontal="right"/>
    </xf>
    <xf numFmtId="0" fontId="31" fillId="0" borderId="40" xfId="13" applyFont="1" applyBorder="1" applyAlignment="1">
      <alignment horizontal="left" wrapText="1" indent="1"/>
    </xf>
    <xf numFmtId="235" fontId="339" fillId="0" borderId="40" xfId="632" applyNumberFormat="1" applyFont="1" applyFill="1" applyBorder="1" applyAlignment="1">
      <alignment horizontal="right"/>
    </xf>
    <xf numFmtId="9" fontId="284" fillId="0" borderId="2" xfId="625" applyFont="1" applyBorder="1" applyAlignment="1">
      <alignment horizontal="right"/>
    </xf>
    <xf numFmtId="0" fontId="14" fillId="0" borderId="84" xfId="2" applyFont="1" applyBorder="1"/>
    <xf numFmtId="0" fontId="7" fillId="0" borderId="85" xfId="2" applyBorder="1"/>
    <xf numFmtId="49" fontId="14" fillId="0" borderId="86" xfId="2" applyNumberFormat="1" applyFont="1" applyBorder="1" applyAlignment="1">
      <alignment horizontal="center"/>
    </xf>
    <xf numFmtId="0" fontId="14" fillId="0" borderId="87" xfId="2" applyFont="1" applyBorder="1" applyAlignment="1">
      <alignment horizontal="center"/>
    </xf>
    <xf numFmtId="0" fontId="46" fillId="68" borderId="88" xfId="2" applyFont="1" applyFill="1" applyBorder="1" applyAlignment="1">
      <alignment horizontal="center"/>
    </xf>
    <xf numFmtId="0" fontId="46" fillId="68" borderId="89" xfId="2" applyFont="1" applyFill="1" applyBorder="1" applyAlignment="1">
      <alignment horizontal="center"/>
    </xf>
    <xf numFmtId="0" fontId="4" fillId="0" borderId="86" xfId="1" applyBorder="1"/>
    <xf numFmtId="0" fontId="4" fillId="0" borderId="87" xfId="1" applyBorder="1"/>
    <xf numFmtId="164" fontId="46" fillId="66" borderId="88" xfId="2" applyNumberFormat="1" applyFont="1" applyFill="1" applyBorder="1" applyAlignment="1">
      <alignment horizontal="right"/>
    </xf>
    <xf numFmtId="164" fontId="46" fillId="66" borderId="89" xfId="2" applyNumberFormat="1" applyFont="1" applyFill="1" applyBorder="1" applyAlignment="1">
      <alignment horizontal="right"/>
    </xf>
    <xf numFmtId="164" fontId="7" fillId="0" borderId="86" xfId="2" applyNumberFormat="1" applyBorder="1"/>
    <xf numFmtId="164" fontId="7" fillId="0" borderId="87" xfId="2" applyNumberFormat="1" applyBorder="1"/>
    <xf numFmtId="164" fontId="7" fillId="0" borderId="90" xfId="2" applyNumberFormat="1" applyBorder="1" applyAlignment="1">
      <alignment horizontal="right"/>
    </xf>
    <xf numFmtId="164" fontId="7" fillId="0" borderId="91" xfId="2" applyNumberFormat="1" applyBorder="1" applyAlignment="1">
      <alignment horizontal="right"/>
    </xf>
    <xf numFmtId="164" fontId="7" fillId="3" borderId="86" xfId="2" applyNumberFormat="1" applyFill="1" applyBorder="1" applyAlignment="1">
      <alignment horizontal="right"/>
    </xf>
    <xf numFmtId="164" fontId="7" fillId="3" borderId="87" xfId="2" applyNumberFormat="1" applyFill="1" applyBorder="1" applyAlignment="1">
      <alignment horizontal="right"/>
    </xf>
    <xf numFmtId="164" fontId="7" fillId="0" borderId="86" xfId="2" applyNumberFormat="1" applyBorder="1" applyAlignment="1">
      <alignment horizontal="right"/>
    </xf>
    <xf numFmtId="164" fontId="7" fillId="0" borderId="87" xfId="2" applyNumberFormat="1" applyBorder="1" applyAlignment="1">
      <alignment horizontal="right"/>
    </xf>
    <xf numFmtId="37" fontId="7" fillId="0" borderId="90" xfId="2" applyNumberFormat="1" applyBorder="1"/>
    <xf numFmtId="37" fontId="7" fillId="0" borderId="91" xfId="2" applyNumberFormat="1" applyBorder="1"/>
    <xf numFmtId="167" fontId="14" fillId="2" borderId="88" xfId="2" applyNumberFormat="1" applyFont="1" applyFill="1" applyBorder="1"/>
    <xf numFmtId="167" fontId="14" fillId="2" borderId="89" xfId="2" applyNumberFormat="1" applyFont="1" applyFill="1" applyBorder="1"/>
    <xf numFmtId="9" fontId="7" fillId="0" borderId="86" xfId="625" applyFont="1" applyBorder="1"/>
    <xf numFmtId="9" fontId="7" fillId="0" borderId="87" xfId="625" applyFont="1" applyBorder="1"/>
    <xf numFmtId="0" fontId="7" fillId="0" borderId="86" xfId="2" applyBorder="1"/>
    <xf numFmtId="0" fontId="7" fillId="0" borderId="87" xfId="2" applyBorder="1"/>
    <xf numFmtId="0" fontId="46" fillId="69" borderId="88" xfId="2" applyFont="1" applyFill="1" applyBorder="1" applyAlignment="1">
      <alignment horizontal="center"/>
    </xf>
    <xf numFmtId="0" fontId="46" fillId="69" borderId="89" xfId="2" applyFont="1" applyFill="1" applyBorder="1" applyAlignment="1">
      <alignment horizontal="center"/>
    </xf>
    <xf numFmtId="168" fontId="70" fillId="0" borderId="86" xfId="625" applyNumberFormat="1" applyFont="1" applyFill="1" applyBorder="1" applyAlignment="1" applyProtection="1">
      <alignment horizontal="right"/>
      <protection locked="0"/>
    </xf>
    <xf numFmtId="168" fontId="70" fillId="0" borderId="87" xfId="625" applyNumberFormat="1" applyFont="1" applyFill="1" applyBorder="1" applyAlignment="1" applyProtection="1">
      <alignment horizontal="right"/>
      <protection locked="0"/>
    </xf>
    <xf numFmtId="168" fontId="70" fillId="0" borderId="90" xfId="625" applyNumberFormat="1" applyFont="1" applyFill="1" applyBorder="1" applyAlignment="1" applyProtection="1">
      <alignment horizontal="right"/>
      <protection locked="0"/>
    </xf>
    <xf numFmtId="168" fontId="70" fillId="0" borderId="91" xfId="625" applyNumberFormat="1" applyFont="1" applyFill="1" applyBorder="1" applyAlignment="1" applyProtection="1">
      <alignment horizontal="right"/>
      <protection locked="0"/>
    </xf>
    <xf numFmtId="168" fontId="70" fillId="0" borderId="92" xfId="625" applyNumberFormat="1" applyFont="1" applyFill="1" applyBorder="1" applyAlignment="1" applyProtection="1">
      <alignment horizontal="right"/>
      <protection locked="0"/>
    </xf>
    <xf numFmtId="168" fontId="70" fillId="0" borderId="93" xfId="625" applyNumberFormat="1" applyFont="1" applyFill="1" applyBorder="1" applyAlignment="1" applyProtection="1">
      <alignment horizontal="right"/>
      <protection locked="0"/>
    </xf>
    <xf numFmtId="0" fontId="7" fillId="0" borderId="84" xfId="2" applyBorder="1"/>
    <xf numFmtId="0" fontId="46" fillId="0" borderId="86" xfId="2" applyFont="1" applyBorder="1" applyAlignment="1">
      <alignment horizontal="center"/>
    </xf>
    <xf numFmtId="0" fontId="46" fillId="0" borderId="87" xfId="2" applyFont="1" applyBorder="1" applyAlignment="1">
      <alignment horizontal="center"/>
    </xf>
    <xf numFmtId="164" fontId="14" fillId="2" borderId="88" xfId="2" applyNumberFormat="1" applyFont="1" applyFill="1" applyBorder="1"/>
    <xf numFmtId="164" fontId="14" fillId="2" borderId="89" xfId="2" applyNumberFormat="1" applyFont="1" applyFill="1" applyBorder="1"/>
    <xf numFmtId="168" fontId="7" fillId="0" borderId="86" xfId="2" applyNumberFormat="1" applyBorder="1"/>
    <xf numFmtId="185" fontId="46" fillId="69" borderId="88" xfId="2" applyNumberFormat="1" applyFont="1" applyFill="1" applyBorder="1" applyAlignment="1">
      <alignment horizontal="center"/>
    </xf>
    <xf numFmtId="166" fontId="70" fillId="0" borderId="86" xfId="3" applyNumberFormat="1" applyFont="1" applyFill="1" applyBorder="1" applyAlignment="1" applyProtection="1">
      <alignment horizontal="right"/>
      <protection locked="0"/>
    </xf>
    <xf numFmtId="166" fontId="70" fillId="0" borderId="87" xfId="3" applyNumberFormat="1" applyFont="1" applyFill="1" applyBorder="1" applyAlignment="1" applyProtection="1">
      <alignment horizontal="right"/>
      <protection locked="0"/>
    </xf>
    <xf numFmtId="166" fontId="70" fillId="0" borderId="90" xfId="3" applyNumberFormat="1" applyFont="1" applyFill="1" applyBorder="1" applyAlignment="1" applyProtection="1">
      <alignment horizontal="right"/>
      <protection locked="0"/>
    </xf>
    <xf numFmtId="166" fontId="70" fillId="0" borderId="91" xfId="3" applyNumberFormat="1" applyFont="1" applyFill="1" applyBorder="1" applyAlignment="1" applyProtection="1">
      <alignment horizontal="right"/>
      <protection locked="0"/>
    </xf>
    <xf numFmtId="328" fontId="70" fillId="0" borderId="0" xfId="3" applyNumberFormat="1" applyFont="1" applyFill="1" applyBorder="1" applyAlignment="1" applyProtection="1">
      <alignment horizontal="right"/>
      <protection locked="0"/>
    </xf>
    <xf numFmtId="328" fontId="70" fillId="0" borderId="2" xfId="3" applyNumberFormat="1" applyFont="1" applyFill="1" applyBorder="1" applyAlignment="1" applyProtection="1">
      <alignment horizontal="right"/>
      <protection locked="0"/>
    </xf>
    <xf numFmtId="328" fontId="7" fillId="0" borderId="0" xfId="2" applyNumberFormat="1"/>
    <xf numFmtId="3" fontId="147" fillId="3" borderId="0" xfId="625" applyNumberFormat="1" applyFont="1" applyFill="1" applyBorder="1" applyAlignment="1">
      <alignment horizontal="right"/>
    </xf>
    <xf numFmtId="3" fontId="340" fillId="0" borderId="79" xfId="625" applyNumberFormat="1" applyFont="1" applyFill="1" applyBorder="1" applyAlignment="1">
      <alignment horizontal="right"/>
    </xf>
    <xf numFmtId="235" fontId="147" fillId="3" borderId="0" xfId="625" applyNumberFormat="1" applyFont="1" applyFill="1" applyBorder="1" applyAlignment="1">
      <alignment horizontal="right"/>
    </xf>
    <xf numFmtId="0" fontId="32" fillId="0" borderId="0" xfId="13" applyFont="1" applyAlignment="1">
      <alignment horizontal="left" wrapText="1"/>
    </xf>
    <xf numFmtId="235" fontId="33" fillId="3" borderId="40" xfId="13" applyNumberFormat="1" applyFont="1" applyFill="1" applyBorder="1" applyAlignment="1">
      <alignment horizontal="right"/>
    </xf>
    <xf numFmtId="192" fontId="277" fillId="7" borderId="0" xfId="0" applyNumberFormat="1" applyFont="1" applyFill="1" applyAlignment="1">
      <alignment vertical="center"/>
    </xf>
    <xf numFmtId="238" fontId="7" fillId="0" borderId="0" xfId="632" applyNumberFormat="1" applyFont="1" applyFill="1" applyBorder="1" applyAlignment="1">
      <alignment horizontal="left" vertical="center" indent="1"/>
    </xf>
    <xf numFmtId="238" fontId="7" fillId="0" borderId="94" xfId="632" applyNumberFormat="1" applyFont="1" applyFill="1" applyBorder="1" applyAlignment="1">
      <alignment horizontal="left" vertical="center" indent="1"/>
    </xf>
    <xf numFmtId="9" fontId="7" fillId="0" borderId="94" xfId="625" applyFont="1" applyBorder="1" applyAlignment="1">
      <alignment horizontal="right" vertical="center"/>
    </xf>
    <xf numFmtId="0" fontId="31" fillId="3" borderId="14" xfId="13" applyFont="1" applyFill="1" applyBorder="1" applyAlignment="1">
      <alignment horizontal="left" wrapText="1" indent="2"/>
    </xf>
    <xf numFmtId="2" fontId="31" fillId="3" borderId="14" xfId="13" applyNumberFormat="1" applyFont="1" applyFill="1" applyBorder="1" applyAlignment="1">
      <alignment horizontal="left" wrapText="1" indent="2"/>
    </xf>
    <xf numFmtId="235" fontId="145" fillId="7" borderId="40" xfId="632" applyNumberFormat="1" applyFont="1" applyFill="1" applyBorder="1" applyAlignment="1">
      <alignment horizontal="right"/>
    </xf>
    <xf numFmtId="0" fontId="46" fillId="81" borderId="18" xfId="1" applyFont="1" applyFill="1" applyBorder="1"/>
    <xf numFmtId="0" fontId="46" fillId="81" borderId="18" xfId="1" applyFont="1" applyFill="1" applyBorder="1" applyAlignment="1">
      <alignment horizontal="right"/>
    </xf>
    <xf numFmtId="0" fontId="46" fillId="81" borderId="23" xfId="1" applyFont="1" applyFill="1" applyBorder="1" applyAlignment="1">
      <alignment horizontal="right"/>
    </xf>
    <xf numFmtId="0" fontId="7" fillId="81" borderId="0" xfId="1" applyFont="1" applyFill="1"/>
    <xf numFmtId="0" fontId="284" fillId="0" borderId="0" xfId="1" applyFont="1"/>
    <xf numFmtId="2" fontId="272" fillId="0" borderId="0" xfId="1" applyNumberFormat="1" applyFont="1"/>
    <xf numFmtId="235" fontId="272" fillId="0" borderId="0" xfId="632" applyNumberFormat="1" applyFont="1" applyFill="1"/>
    <xf numFmtId="164" fontId="10" fillId="66" borderId="5" xfId="2" quotePrefix="1" applyNumberFormat="1" applyFont="1" applyFill="1" applyBorder="1" applyAlignment="1">
      <alignment horizontal="right"/>
    </xf>
    <xf numFmtId="9" fontId="33" fillId="3" borderId="78" xfId="13" applyNumberFormat="1" applyFont="1" applyFill="1" applyBorder="1" applyAlignment="1">
      <alignment horizontal="right"/>
    </xf>
    <xf numFmtId="9" fontId="147" fillId="7" borderId="0" xfId="632" applyNumberFormat="1" applyFont="1" applyFill="1" applyBorder="1" applyAlignment="1">
      <alignment horizontal="right"/>
    </xf>
    <xf numFmtId="0" fontId="31" fillId="3" borderId="39" xfId="13" applyFont="1" applyFill="1" applyBorder="1" applyAlignment="1">
      <alignment horizontal="left" indent="1"/>
    </xf>
    <xf numFmtId="9" fontId="33" fillId="3" borderId="39" xfId="625" applyFont="1" applyFill="1" applyBorder="1" applyAlignment="1">
      <alignment horizontal="right"/>
    </xf>
    <xf numFmtId="9" fontId="33" fillId="3" borderId="39" xfId="13" applyNumberFormat="1" applyFont="1" applyFill="1" applyBorder="1" applyAlignment="1">
      <alignment horizontal="right"/>
    </xf>
    <xf numFmtId="10" fontId="34" fillId="0" borderId="39" xfId="625" applyNumberFormat="1" applyFont="1" applyFill="1" applyBorder="1" applyAlignment="1">
      <alignment horizontal="right"/>
    </xf>
    <xf numFmtId="0" fontId="32" fillId="3" borderId="39" xfId="13" applyFont="1" applyFill="1" applyBorder="1" applyAlignment="1">
      <alignment horizontal="left" wrapText="1" indent="1"/>
    </xf>
    <xf numFmtId="0" fontId="32" fillId="3" borderId="39" xfId="13" applyFont="1" applyFill="1" applyBorder="1" applyAlignment="1">
      <alignment horizontal="left" wrapText="1"/>
    </xf>
    <xf numFmtId="0" fontId="32" fillId="3" borderId="39" xfId="13" applyFont="1" applyFill="1" applyBorder="1" applyAlignment="1">
      <alignment horizontal="right"/>
    </xf>
    <xf numFmtId="2" fontId="32" fillId="3" borderId="39" xfId="13" applyNumberFormat="1" applyFont="1" applyFill="1" applyBorder="1" applyAlignment="1">
      <alignment horizontal="right"/>
    </xf>
    <xf numFmtId="1" fontId="32" fillId="3" borderId="39" xfId="13" applyNumberFormat="1" applyFont="1" applyFill="1" applyBorder="1" applyAlignment="1">
      <alignment horizontal="right"/>
    </xf>
    <xf numFmtId="235" fontId="145" fillId="3" borderId="39" xfId="632" applyNumberFormat="1" applyFont="1" applyFill="1" applyBorder="1" applyAlignment="1">
      <alignment horizontal="right"/>
    </xf>
    <xf numFmtId="3" fontId="145" fillId="3" borderId="40" xfId="13" applyNumberFormat="1" applyFont="1" applyFill="1" applyBorder="1" applyAlignment="1">
      <alignment horizontal="right"/>
    </xf>
    <xf numFmtId="235" fontId="145" fillId="7" borderId="39" xfId="632" applyNumberFormat="1" applyFont="1" applyFill="1" applyBorder="1" applyAlignment="1">
      <alignment horizontal="right"/>
    </xf>
    <xf numFmtId="3" fontId="32" fillId="3" borderId="0" xfId="13" applyNumberFormat="1" applyFont="1" applyFill="1" applyAlignment="1">
      <alignment horizontal="right"/>
    </xf>
    <xf numFmtId="1" fontId="32" fillId="3" borderId="78" xfId="13" applyNumberFormat="1" applyFont="1" applyFill="1" applyBorder="1" applyAlignment="1">
      <alignment horizontal="right"/>
    </xf>
    <xf numFmtId="9" fontId="341" fillId="0" borderId="40" xfId="625" applyFont="1" applyFill="1" applyBorder="1" applyAlignment="1">
      <alignment horizontal="right"/>
    </xf>
    <xf numFmtId="9" fontId="34" fillId="3" borderId="0" xfId="632" applyNumberFormat="1" applyFont="1" applyFill="1" applyBorder="1" applyAlignment="1">
      <alignment horizontal="right"/>
    </xf>
    <xf numFmtId="195" fontId="31" fillId="3" borderId="0" xfId="13" applyNumberFormat="1" applyFont="1" applyFill="1" applyAlignment="1">
      <alignment horizontal="right"/>
    </xf>
    <xf numFmtId="235" fontId="146" fillId="3" borderId="0" xfId="632" applyNumberFormat="1" applyFont="1" applyFill="1" applyAlignment="1">
      <alignment horizontal="right"/>
    </xf>
    <xf numFmtId="9" fontId="154" fillId="0" borderId="0" xfId="625" applyFont="1"/>
    <xf numFmtId="9" fontId="1" fillId="0" borderId="94" xfId="625" applyFont="1" applyBorder="1"/>
    <xf numFmtId="0" fontId="153" fillId="27" borderId="97" xfId="0" applyFont="1" applyFill="1" applyBorder="1" applyAlignment="1">
      <alignment horizontal="right" vertical="top" wrapText="1"/>
    </xf>
    <xf numFmtId="0" fontId="153" fillId="27" borderId="98" xfId="0" applyFont="1" applyFill="1" applyBorder="1" applyAlignment="1">
      <alignment horizontal="right" vertical="top" wrapText="1"/>
    </xf>
    <xf numFmtId="235" fontId="1" fillId="0" borderId="0" xfId="632" applyNumberFormat="1" applyFont="1" applyBorder="1"/>
    <xf numFmtId="9" fontId="1" fillId="0" borderId="0" xfId="625" applyFont="1" applyBorder="1"/>
    <xf numFmtId="235" fontId="1" fillId="77" borderId="0" xfId="632" applyNumberFormat="1" applyFont="1" applyFill="1" applyBorder="1"/>
    <xf numFmtId="9" fontId="1" fillId="77" borderId="0" xfId="625" applyFont="1" applyFill="1" applyBorder="1"/>
    <xf numFmtId="0" fontId="1" fillId="0" borderId="94" xfId="0" applyFont="1" applyBorder="1"/>
    <xf numFmtId="235" fontId="1" fillId="0" borderId="94" xfId="632" applyNumberFormat="1" applyFont="1" applyBorder="1"/>
    <xf numFmtId="0" fontId="153" fillId="27" borderId="100" xfId="0" applyFont="1" applyFill="1" applyBorder="1" applyAlignment="1">
      <alignment horizontal="right" vertical="top" wrapText="1"/>
    </xf>
    <xf numFmtId="0" fontId="153" fillId="27" borderId="101" xfId="0" applyFont="1" applyFill="1" applyBorder="1" applyAlignment="1">
      <alignment vertical="top" wrapText="1"/>
    </xf>
    <xf numFmtId="0" fontId="293" fillId="67" borderId="102" xfId="1" applyFont="1" applyFill="1" applyBorder="1"/>
    <xf numFmtId="0" fontId="294" fillId="67" borderId="102" xfId="1" applyFont="1" applyFill="1" applyBorder="1"/>
    <xf numFmtId="0" fontId="294" fillId="67" borderId="103" xfId="1" applyFont="1" applyFill="1" applyBorder="1"/>
    <xf numFmtId="0" fontId="294" fillId="67" borderId="104" xfId="1" applyFont="1" applyFill="1" applyBorder="1"/>
    <xf numFmtId="0" fontId="10" fillId="68" borderId="0" xfId="2" applyFont="1" applyFill="1"/>
    <xf numFmtId="0" fontId="12" fillId="0" borderId="0" xfId="2" applyFont="1"/>
    <xf numFmtId="0" fontId="10" fillId="68" borderId="0" xfId="2" applyFont="1" applyFill="1" applyAlignment="1">
      <alignment horizontal="center"/>
    </xf>
    <xf numFmtId="0" fontId="12" fillId="0" borderId="0" xfId="2" applyFont="1" applyAlignment="1">
      <alignment horizontal="right"/>
    </xf>
    <xf numFmtId="0" fontId="10" fillId="66" borderId="0" xfId="2" applyFont="1" applyFill="1" applyAlignment="1">
      <alignment horizontal="right"/>
    </xf>
    <xf numFmtId="164" fontId="10" fillId="4" borderId="0" xfId="2" applyNumberFormat="1" applyFont="1" applyFill="1" applyAlignment="1">
      <alignment horizontal="right"/>
    </xf>
    <xf numFmtId="164" fontId="10" fillId="66" borderId="0" xfId="2" quotePrefix="1" applyNumberFormat="1" applyFont="1" applyFill="1" applyAlignment="1">
      <alignment horizontal="right"/>
    </xf>
    <xf numFmtId="164" fontId="10" fillId="66" borderId="0" xfId="2" applyNumberFormat="1" applyFont="1" applyFill="1" applyAlignment="1">
      <alignment horizontal="right"/>
    </xf>
    <xf numFmtId="164" fontId="8" fillId="0" borderId="0" xfId="2" applyNumberFormat="1" applyFont="1"/>
    <xf numFmtId="168" fontId="8" fillId="0" borderId="0" xfId="2" applyNumberFormat="1" applyFont="1"/>
    <xf numFmtId="164" fontId="8" fillId="0" borderId="0" xfId="2" applyNumberFormat="1" applyFont="1" applyAlignment="1">
      <alignment horizontal="right"/>
    </xf>
    <xf numFmtId="164" fontId="8" fillId="3" borderId="0" xfId="2" applyNumberFormat="1" applyFont="1" applyFill="1" applyAlignment="1">
      <alignment horizontal="right"/>
    </xf>
    <xf numFmtId="168" fontId="8" fillId="3" borderId="0" xfId="2" applyNumberFormat="1" applyFont="1" applyFill="1" applyAlignment="1">
      <alignment horizontal="right"/>
    </xf>
    <xf numFmtId="168" fontId="8" fillId="0" borderId="0" xfId="2" applyNumberFormat="1" applyFont="1" applyAlignment="1">
      <alignment horizontal="right"/>
    </xf>
    <xf numFmtId="1" fontId="8" fillId="0" borderId="0" xfId="1" applyNumberFormat="1" applyFont="1"/>
    <xf numFmtId="167" fontId="10" fillId="0" borderId="0" xfId="2" applyNumberFormat="1" applyFont="1"/>
    <xf numFmtId="9" fontId="337" fillId="0" borderId="0" xfId="2" applyNumberFormat="1" applyFont="1"/>
    <xf numFmtId="0" fontId="337" fillId="0" borderId="0" xfId="2" applyFont="1"/>
    <xf numFmtId="0" fontId="10" fillId="0" borderId="0" xfId="2" applyFont="1" applyAlignment="1">
      <alignment horizontal="center"/>
    </xf>
    <xf numFmtId="9" fontId="8" fillId="0" borderId="0" xfId="2" applyNumberFormat="1" applyFont="1"/>
    <xf numFmtId="0" fontId="8" fillId="0" borderId="0" xfId="2" applyFont="1" applyAlignment="1">
      <alignment horizontal="left" indent="1"/>
    </xf>
    <xf numFmtId="0" fontId="31" fillId="0" borderId="0" xfId="13" applyFont="1" applyAlignment="1">
      <alignment horizontal="left" wrapText="1" indent="1"/>
    </xf>
    <xf numFmtId="0" fontId="10" fillId="2" borderId="18" xfId="2" applyFont="1" applyFill="1" applyBorder="1"/>
    <xf numFmtId="0" fontId="10" fillId="2" borderId="18" xfId="2" applyFont="1" applyFill="1" applyBorder="1" applyAlignment="1">
      <alignment horizontal="center"/>
    </xf>
    <xf numFmtId="0" fontId="10" fillId="2" borderId="105" xfId="2" applyFont="1" applyFill="1" applyBorder="1" applyAlignment="1">
      <alignment horizontal="center"/>
    </xf>
    <xf numFmtId="0" fontId="10" fillId="2" borderId="23" xfId="2" applyFont="1" applyFill="1" applyBorder="1" applyAlignment="1">
      <alignment horizontal="center"/>
    </xf>
    <xf numFmtId="168" fontId="10" fillId="2" borderId="18" xfId="3" applyNumberFormat="1" applyFont="1" applyFill="1" applyBorder="1" applyAlignment="1">
      <alignment horizontal="center"/>
    </xf>
    <xf numFmtId="168" fontId="10" fillId="2" borderId="23" xfId="625" applyNumberFormat="1" applyFont="1" applyFill="1" applyBorder="1" applyAlignment="1">
      <alignment horizontal="center"/>
    </xf>
    <xf numFmtId="168" fontId="10" fillId="2" borderId="18" xfId="625" applyNumberFormat="1" applyFont="1" applyFill="1" applyBorder="1" applyAlignment="1">
      <alignment horizontal="center"/>
    </xf>
    <xf numFmtId="9" fontId="8" fillId="0" borderId="94" xfId="2" applyNumberFormat="1" applyFont="1" applyBorder="1"/>
    <xf numFmtId="165" fontId="8" fillId="0" borderId="94" xfId="3" applyNumberFormat="1" applyFont="1" applyFill="1" applyBorder="1" applyAlignment="1" applyProtection="1">
      <alignment horizontal="right"/>
      <protection locked="0"/>
    </xf>
    <xf numFmtId="166" fontId="8" fillId="0" borderId="94" xfId="3" applyNumberFormat="1" applyFont="1" applyFill="1" applyBorder="1" applyAlignment="1" applyProtection="1">
      <alignment horizontal="right"/>
      <protection locked="0"/>
    </xf>
    <xf numFmtId="0" fontId="5" fillId="0" borderId="94" xfId="1" applyFont="1" applyBorder="1"/>
    <xf numFmtId="168" fontId="8" fillId="0" borderId="94" xfId="3" applyNumberFormat="1" applyFont="1" applyFill="1" applyBorder="1" applyAlignment="1" applyProtection="1">
      <alignment horizontal="right"/>
      <protection locked="0"/>
    </xf>
    <xf numFmtId="168" fontId="8" fillId="0" borderId="94" xfId="625" applyNumberFormat="1" applyFont="1" applyFill="1" applyBorder="1" applyAlignment="1" applyProtection="1">
      <alignment horizontal="right"/>
      <protection locked="0"/>
    </xf>
    <xf numFmtId="9" fontId="147" fillId="3" borderId="106" xfId="632" applyNumberFormat="1" applyFont="1" applyFill="1" applyBorder="1" applyAlignment="1">
      <alignment horizontal="right"/>
    </xf>
    <xf numFmtId="235" fontId="31" fillId="3" borderId="107" xfId="13" applyNumberFormat="1" applyFont="1" applyFill="1" applyBorder="1" applyAlignment="1">
      <alignment horizontal="right"/>
    </xf>
    <xf numFmtId="168" fontId="7" fillId="0" borderId="87" xfId="2" applyNumberFormat="1" applyBorder="1"/>
    <xf numFmtId="185" fontId="46" fillId="69" borderId="89" xfId="2" applyNumberFormat="1" applyFont="1" applyFill="1" applyBorder="1" applyAlignment="1">
      <alignment horizontal="center"/>
    </xf>
    <xf numFmtId="235" fontId="7" fillId="0" borderId="18" xfId="1" applyNumberFormat="1" applyFont="1" applyBorder="1"/>
    <xf numFmtId="235" fontId="46" fillId="0" borderId="5" xfId="632" applyNumberFormat="1" applyFont="1" applyBorder="1"/>
    <xf numFmtId="168" fontId="342" fillId="0" borderId="0" xfId="625" applyNumberFormat="1" applyFont="1"/>
    <xf numFmtId="4" fontId="7" fillId="0" borderId="0" xfId="1" applyNumberFormat="1" applyFont="1"/>
    <xf numFmtId="0" fontId="304" fillId="0" borderId="0" xfId="0" applyFont="1"/>
    <xf numFmtId="235" fontId="32" fillId="0" borderId="0" xfId="13" applyNumberFormat="1" applyFont="1"/>
    <xf numFmtId="235" fontId="32" fillId="0" borderId="5" xfId="13" applyNumberFormat="1" applyFont="1" applyBorder="1"/>
    <xf numFmtId="17" fontId="0" fillId="0" borderId="0" xfId="0" applyNumberFormat="1"/>
    <xf numFmtId="168" fontId="31" fillId="0" borderId="0" xfId="625" applyNumberFormat="1" applyFont="1"/>
    <xf numFmtId="281" fontId="32" fillId="69" borderId="0" xfId="13" applyNumberFormat="1" applyFont="1" applyFill="1" applyAlignment="1">
      <alignment horizontal="right"/>
    </xf>
    <xf numFmtId="235" fontId="145" fillId="80" borderId="40" xfId="632" applyNumberFormat="1" applyFont="1" applyFill="1" applyBorder="1" applyAlignment="1">
      <alignment horizontal="right"/>
    </xf>
    <xf numFmtId="235" fontId="145" fillId="80" borderId="39" xfId="13" applyNumberFormat="1" applyFont="1" applyFill="1" applyBorder="1" applyAlignment="1">
      <alignment horizontal="right"/>
    </xf>
    <xf numFmtId="235" fontId="338" fillId="0" borderId="40" xfId="632" applyNumberFormat="1" applyFont="1" applyFill="1" applyBorder="1" applyAlignment="1">
      <alignment horizontal="right"/>
    </xf>
    <xf numFmtId="3" fontId="146" fillId="80" borderId="40" xfId="13" applyNumberFormat="1" applyFont="1" applyFill="1" applyBorder="1" applyAlignment="1">
      <alignment horizontal="right"/>
    </xf>
    <xf numFmtId="3" fontId="145" fillId="80" borderId="40" xfId="13" applyNumberFormat="1" applyFont="1" applyFill="1" applyBorder="1" applyAlignment="1">
      <alignment horizontal="right"/>
    </xf>
    <xf numFmtId="168" fontId="34" fillId="3" borderId="40" xfId="625" applyNumberFormat="1" applyFont="1" applyFill="1" applyBorder="1" applyAlignment="1">
      <alignment horizontal="right"/>
    </xf>
    <xf numFmtId="235" fontId="33" fillId="3" borderId="41" xfId="13" applyNumberFormat="1" applyFont="1" applyFill="1" applyBorder="1" applyAlignment="1">
      <alignment horizontal="right"/>
    </xf>
    <xf numFmtId="3" fontId="339" fillId="3" borderId="43" xfId="13" applyNumberFormat="1" applyFont="1" applyFill="1" applyBorder="1" applyAlignment="1">
      <alignment horizontal="right"/>
    </xf>
    <xf numFmtId="3" fontId="146" fillId="80" borderId="43" xfId="13" applyNumberFormat="1" applyFont="1" applyFill="1" applyBorder="1" applyAlignment="1">
      <alignment horizontal="right"/>
    </xf>
    <xf numFmtId="235" fontId="146" fillId="80" borderId="43" xfId="632" applyNumberFormat="1" applyFont="1" applyFill="1" applyBorder="1" applyAlignment="1">
      <alignment horizontal="right"/>
    </xf>
    <xf numFmtId="235" fontId="145" fillId="80" borderId="0" xfId="632" applyNumberFormat="1" applyFont="1" applyFill="1" applyBorder="1"/>
    <xf numFmtId="235" fontId="146" fillId="80" borderId="0" xfId="632" applyNumberFormat="1" applyFont="1" applyFill="1" applyBorder="1"/>
    <xf numFmtId="9" fontId="149" fillId="0" borderId="5" xfId="13" applyNumberFormat="1" applyFont="1" applyBorder="1" applyAlignment="1">
      <alignment horizontal="right"/>
    </xf>
    <xf numFmtId="168" fontId="34" fillId="3" borderId="77" xfId="301" applyNumberFormat="1" applyFont="1" applyFill="1" applyBorder="1" applyAlignment="1">
      <alignment horizontal="right" vertical="center"/>
    </xf>
    <xf numFmtId="3" fontId="32" fillId="3" borderId="77" xfId="3" applyNumberFormat="1" applyFont="1" applyFill="1" applyBorder="1"/>
    <xf numFmtId="168" fontId="33" fillId="0" borderId="78" xfId="625" applyNumberFormat="1" applyFont="1" applyFill="1" applyBorder="1" applyAlignment="1">
      <alignment horizontal="right"/>
    </xf>
    <xf numFmtId="235" fontId="339" fillId="0" borderId="79" xfId="632" applyNumberFormat="1" applyFont="1" applyFill="1" applyBorder="1" applyAlignment="1">
      <alignment horizontal="right"/>
    </xf>
    <xf numFmtId="9" fontId="147" fillId="7" borderId="5" xfId="632" applyNumberFormat="1" applyFont="1" applyFill="1" applyBorder="1" applyAlignment="1">
      <alignment horizontal="right"/>
    </xf>
    <xf numFmtId="9" fontId="33" fillId="3" borderId="78" xfId="625" applyFont="1" applyFill="1" applyBorder="1" applyAlignment="1">
      <alignment horizontal="right"/>
    </xf>
    <xf numFmtId="3" fontId="148" fillId="3" borderId="5" xfId="625" applyNumberFormat="1" applyFont="1" applyFill="1" applyBorder="1" applyAlignment="1">
      <alignment horizontal="right"/>
    </xf>
    <xf numFmtId="9" fontId="31" fillId="3" borderId="79" xfId="625" applyFont="1" applyFill="1" applyBorder="1" applyAlignment="1">
      <alignment horizontal="right"/>
    </xf>
    <xf numFmtId="235" fontId="148" fillId="3" borderId="5" xfId="625" applyNumberFormat="1" applyFont="1" applyFill="1" applyBorder="1" applyAlignment="1">
      <alignment horizontal="right"/>
    </xf>
    <xf numFmtId="3" fontId="33" fillId="3" borderId="79" xfId="625" applyNumberFormat="1" applyFont="1" applyFill="1" applyBorder="1" applyAlignment="1">
      <alignment horizontal="right"/>
    </xf>
    <xf numFmtId="168" fontId="148" fillId="69" borderId="79" xfId="625" applyNumberFormat="1" applyFont="1" applyFill="1" applyBorder="1" applyAlignment="1">
      <alignment horizontal="right"/>
    </xf>
    <xf numFmtId="195" fontId="145" fillId="69" borderId="5" xfId="632" applyNumberFormat="1" applyFont="1" applyFill="1" applyBorder="1" applyAlignment="1">
      <alignment horizontal="right"/>
    </xf>
    <xf numFmtId="9" fontId="31" fillId="3" borderId="5" xfId="632" applyNumberFormat="1" applyFont="1" applyFill="1" applyBorder="1" applyAlignment="1">
      <alignment horizontal="right"/>
    </xf>
    <xf numFmtId="195" fontId="31" fillId="3" borderId="5" xfId="632" applyNumberFormat="1" applyFont="1" applyFill="1" applyBorder="1" applyAlignment="1">
      <alignment horizontal="right"/>
    </xf>
    <xf numFmtId="9" fontId="31" fillId="3" borderId="5" xfId="625" applyFont="1" applyFill="1" applyBorder="1"/>
    <xf numFmtId="195" fontId="32" fillId="3" borderId="5" xfId="632" applyNumberFormat="1" applyFont="1" applyFill="1" applyBorder="1" applyAlignment="1">
      <alignment horizontal="right"/>
    </xf>
    <xf numFmtId="235" fontId="146" fillId="69" borderId="5" xfId="632" applyNumberFormat="1" applyFont="1" applyFill="1" applyBorder="1" applyAlignment="1">
      <alignment horizontal="right"/>
    </xf>
    <xf numFmtId="9" fontId="145" fillId="3" borderId="5" xfId="632" applyNumberFormat="1" applyFont="1" applyFill="1" applyBorder="1" applyAlignment="1">
      <alignment horizontal="right"/>
    </xf>
    <xf numFmtId="235" fontId="32" fillId="3" borderId="5" xfId="632" applyNumberFormat="1" applyFont="1" applyFill="1" applyBorder="1" applyAlignment="1">
      <alignment horizontal="left"/>
    </xf>
    <xf numFmtId="9" fontId="146" fillId="69" borderId="5" xfId="632" applyNumberFormat="1" applyFont="1" applyFill="1" applyBorder="1" applyAlignment="1">
      <alignment horizontal="right"/>
    </xf>
    <xf numFmtId="9" fontId="146" fillId="3" borderId="5" xfId="632" applyNumberFormat="1" applyFont="1" applyFill="1" applyBorder="1" applyAlignment="1">
      <alignment horizontal="right"/>
    </xf>
    <xf numFmtId="9" fontId="145" fillId="3" borderId="5" xfId="632" applyNumberFormat="1" applyFont="1" applyFill="1" applyBorder="1" applyAlignment="1">
      <alignment horizontal="left"/>
    </xf>
    <xf numFmtId="195" fontId="145" fillId="3" borderId="5" xfId="632" applyNumberFormat="1" applyFont="1" applyFill="1" applyBorder="1" applyAlignment="1">
      <alignment horizontal="right"/>
    </xf>
    <xf numFmtId="9" fontId="145" fillId="69" borderId="5" xfId="632" applyNumberFormat="1" applyFont="1" applyFill="1" applyBorder="1" applyAlignment="1">
      <alignment horizontal="right"/>
    </xf>
    <xf numFmtId="9" fontId="33" fillId="3" borderId="5" xfId="632" applyNumberFormat="1" applyFont="1" applyFill="1" applyBorder="1" applyAlignment="1">
      <alignment horizontal="right"/>
    </xf>
    <xf numFmtId="9" fontId="147" fillId="3" borderId="5" xfId="632" applyNumberFormat="1" applyFont="1" applyFill="1" applyBorder="1" applyAlignment="1">
      <alignment horizontal="right"/>
    </xf>
    <xf numFmtId="9" fontId="147" fillId="3" borderId="107" xfId="632" applyNumberFormat="1" applyFont="1" applyFill="1" applyBorder="1" applyAlignment="1">
      <alignment horizontal="right"/>
    </xf>
    <xf numFmtId="4" fontId="147" fillId="3" borderId="5" xfId="632" applyNumberFormat="1" applyFont="1" applyFill="1" applyBorder="1" applyAlignment="1">
      <alignment horizontal="right"/>
    </xf>
    <xf numFmtId="235" fontId="146" fillId="80" borderId="79" xfId="632" applyNumberFormat="1" applyFont="1" applyFill="1" applyBorder="1" applyAlignment="1">
      <alignment horizontal="right"/>
    </xf>
    <xf numFmtId="235" fontId="146" fillId="80" borderId="5" xfId="632" applyNumberFormat="1" applyFont="1" applyFill="1" applyBorder="1" applyAlignment="1">
      <alignment horizontal="right"/>
    </xf>
    <xf numFmtId="195" fontId="149" fillId="3" borderId="5" xfId="632" applyNumberFormat="1" applyFont="1" applyFill="1" applyBorder="1" applyAlignment="1">
      <alignment horizontal="right"/>
    </xf>
    <xf numFmtId="195" fontId="31" fillId="3" borderId="5" xfId="13" applyNumberFormat="1" applyFont="1" applyFill="1" applyBorder="1" applyAlignment="1">
      <alignment horizontal="right"/>
    </xf>
    <xf numFmtId="9" fontId="32" fillId="3" borderId="5" xfId="625" applyFont="1" applyFill="1" applyBorder="1" applyAlignment="1">
      <alignment horizontal="right"/>
    </xf>
    <xf numFmtId="9" fontId="149" fillId="69" borderId="5" xfId="13" applyNumberFormat="1" applyFont="1" applyFill="1" applyBorder="1" applyAlignment="1">
      <alignment horizontal="right"/>
    </xf>
    <xf numFmtId="0" fontId="46" fillId="78" borderId="0" xfId="1" applyFont="1" applyFill="1" applyAlignment="1">
      <alignment horizontal="right"/>
    </xf>
    <xf numFmtId="166" fontId="272" fillId="75" borderId="0" xfId="3" applyNumberFormat="1" applyFont="1" applyFill="1" applyBorder="1" applyAlignment="1">
      <alignment horizontal="right"/>
    </xf>
    <xf numFmtId="164" fontId="272" fillId="75" borderId="0" xfId="1" applyNumberFormat="1" applyFont="1" applyFill="1" applyAlignment="1">
      <alignment horizontal="right"/>
    </xf>
    <xf numFmtId="168" fontId="272" fillId="0" borderId="0" xfId="625" applyNumberFormat="1" applyFont="1" applyBorder="1"/>
    <xf numFmtId="0" fontId="7" fillId="3" borderId="108" xfId="1" applyFont="1" applyFill="1" applyBorder="1"/>
    <xf numFmtId="0" fontId="282" fillId="67" borderId="108" xfId="16" applyFont="1" applyFill="1" applyBorder="1" applyAlignment="1">
      <alignment horizontal="right"/>
    </xf>
    <xf numFmtId="164" fontId="7" fillId="0" borderId="108" xfId="1" applyNumberFormat="1" applyFont="1" applyBorder="1" applyAlignment="1">
      <alignment horizontal="right"/>
    </xf>
    <xf numFmtId="165" fontId="7" fillId="0" borderId="108" xfId="3" applyNumberFormat="1" applyFont="1" applyFill="1" applyBorder="1" applyAlignment="1">
      <alignment horizontal="right"/>
    </xf>
    <xf numFmtId="235" fontId="7" fillId="0" borderId="108" xfId="632" applyNumberFormat="1" applyFont="1" applyFill="1" applyBorder="1" applyAlignment="1">
      <alignment horizontal="right"/>
    </xf>
    <xf numFmtId="164" fontId="7" fillId="0" borderId="22" xfId="1" applyNumberFormat="1" applyFont="1" applyBorder="1" applyAlignment="1">
      <alignment horizontal="right"/>
    </xf>
    <xf numFmtId="166" fontId="7" fillId="0" borderId="108" xfId="3" applyNumberFormat="1" applyFont="1" applyFill="1" applyBorder="1" applyAlignment="1">
      <alignment horizontal="right"/>
    </xf>
    <xf numFmtId="164" fontId="7" fillId="0" borderId="22" xfId="1" applyNumberFormat="1" applyFont="1" applyBorder="1"/>
    <xf numFmtId="164" fontId="46" fillId="0" borderId="108" xfId="1" applyNumberFormat="1" applyFont="1" applyBorder="1" applyAlignment="1">
      <alignment horizontal="right"/>
    </xf>
    <xf numFmtId="167" fontId="7" fillId="0" borderId="108" xfId="1" applyNumberFormat="1" applyFont="1" applyBorder="1" applyAlignment="1">
      <alignment horizontal="right"/>
    </xf>
    <xf numFmtId="167" fontId="7" fillId="0" borderId="1" xfId="1" applyNumberFormat="1" applyFont="1" applyBorder="1" applyAlignment="1">
      <alignment horizontal="right"/>
    </xf>
    <xf numFmtId="4" fontId="7" fillId="0" borderId="108" xfId="1" applyNumberFormat="1" applyFont="1" applyBorder="1"/>
    <xf numFmtId="0" fontId="7" fillId="0" borderId="108" xfId="1" applyFont="1" applyBorder="1"/>
    <xf numFmtId="235" fontId="46" fillId="0" borderId="22" xfId="632" applyNumberFormat="1" applyFont="1" applyBorder="1" applyAlignment="1">
      <alignment horizontal="right"/>
    </xf>
    <xf numFmtId="164" fontId="46" fillId="0" borderId="22" xfId="1" applyNumberFormat="1" applyFont="1" applyBorder="1" applyAlignment="1">
      <alignment horizontal="right"/>
    </xf>
    <xf numFmtId="168" fontId="7" fillId="0" borderId="108" xfId="3" applyNumberFormat="1" applyFont="1" applyFill="1" applyBorder="1" applyAlignment="1">
      <alignment horizontal="right"/>
    </xf>
    <xf numFmtId="184" fontId="7" fillId="0" borderId="108" xfId="1" applyNumberFormat="1" applyFont="1" applyBorder="1" applyAlignment="1">
      <alignment horizontal="right"/>
    </xf>
    <xf numFmtId="168" fontId="7" fillId="0" borderId="108" xfId="1" applyNumberFormat="1" applyFont="1" applyBorder="1"/>
    <xf numFmtId="235" fontId="7" fillId="0" borderId="108" xfId="1" applyNumberFormat="1" applyFont="1" applyBorder="1"/>
    <xf numFmtId="168" fontId="7" fillId="0" borderId="108" xfId="625" applyNumberFormat="1" applyFont="1" applyBorder="1"/>
    <xf numFmtId="0" fontId="46" fillId="81" borderId="22" xfId="1" applyFont="1" applyFill="1" applyBorder="1" applyAlignment="1">
      <alignment horizontal="right"/>
    </xf>
    <xf numFmtId="9" fontId="7" fillId="0" borderId="108" xfId="625" applyFont="1" applyBorder="1"/>
    <xf numFmtId="235" fontId="272" fillId="0" borderId="108" xfId="632" applyNumberFormat="1" applyFont="1" applyBorder="1"/>
    <xf numFmtId="235" fontId="7" fillId="0" borderId="108" xfId="632" applyNumberFormat="1" applyFont="1" applyBorder="1"/>
    <xf numFmtId="43" fontId="7" fillId="0" borderId="108" xfId="632" applyFont="1" applyBorder="1"/>
    <xf numFmtId="0" fontId="46" fillId="0" borderId="108" xfId="1" applyFont="1" applyBorder="1"/>
    <xf numFmtId="9" fontId="272" fillId="0" borderId="0" xfId="625" applyFont="1" applyBorder="1"/>
    <xf numFmtId="41" fontId="148" fillId="3" borderId="0" xfId="13" applyNumberFormat="1" applyFont="1" applyFill="1" applyAlignment="1">
      <alignment horizontal="left" vertical="center" indent="1"/>
    </xf>
    <xf numFmtId="9" fontId="31" fillId="3" borderId="0" xfId="632" applyNumberFormat="1" applyFont="1" applyFill="1" applyBorder="1" applyAlignment="1">
      <alignment horizontal="right" vertical="center"/>
    </xf>
    <xf numFmtId="235" fontId="7" fillId="0" borderId="0" xfId="632" applyNumberFormat="1" applyFont="1" applyBorder="1"/>
    <xf numFmtId="186" fontId="14" fillId="2" borderId="9" xfId="2" applyNumberFormat="1" applyFont="1" applyFill="1" applyBorder="1"/>
    <xf numFmtId="186" fontId="46" fillId="69" borderId="9" xfId="2" applyNumberFormat="1" applyFont="1" applyFill="1" applyBorder="1" applyAlignment="1">
      <alignment horizontal="center"/>
    </xf>
    <xf numFmtId="9" fontId="46" fillId="0" borderId="18" xfId="1" applyNumberFormat="1" applyFont="1" applyBorder="1"/>
    <xf numFmtId="9" fontId="7" fillId="0" borderId="18" xfId="1" applyNumberFormat="1" applyFont="1" applyBorder="1"/>
    <xf numFmtId="235" fontId="7" fillId="0" borderId="18" xfId="632" applyNumberFormat="1" applyFont="1" applyBorder="1"/>
    <xf numFmtId="235" fontId="273" fillId="0" borderId="0" xfId="632" applyNumberFormat="1" applyFont="1" applyFill="1"/>
    <xf numFmtId="9" fontId="46" fillId="69" borderId="0" xfId="1" applyNumberFormat="1" applyFont="1" applyFill="1"/>
    <xf numFmtId="9" fontId="7" fillId="69" borderId="0" xfId="1" applyNumberFormat="1" applyFont="1" applyFill="1"/>
    <xf numFmtId="9" fontId="284" fillId="0" borderId="0" xfId="632" applyNumberFormat="1" applyFont="1"/>
    <xf numFmtId="328" fontId="343" fillId="0" borderId="0" xfId="3" applyNumberFormat="1" applyFont="1" applyFill="1" applyBorder="1" applyAlignment="1" applyProtection="1">
      <alignment horizontal="right"/>
      <protection locked="0"/>
    </xf>
    <xf numFmtId="179" fontId="304" fillId="69" borderId="0" xfId="16" applyNumberFormat="1" applyFont="1" applyFill="1" applyAlignment="1">
      <alignment horizontal="right"/>
    </xf>
    <xf numFmtId="9" fontId="7" fillId="0" borderId="0" xfId="2" applyNumberFormat="1" applyAlignment="1">
      <alignment horizontal="left" indent="1"/>
    </xf>
    <xf numFmtId="43" fontId="284" fillId="0" borderId="0" xfId="632" applyFont="1"/>
    <xf numFmtId="43" fontId="284" fillId="0" borderId="0" xfId="1" applyNumberFormat="1" applyFont="1"/>
    <xf numFmtId="43" fontId="284" fillId="0" borderId="0" xfId="625" applyNumberFormat="1" applyFont="1"/>
    <xf numFmtId="9" fontId="148" fillId="80" borderId="39" xfId="625" applyFont="1" applyFill="1" applyBorder="1" applyAlignment="1">
      <alignment horizontal="right"/>
    </xf>
    <xf numFmtId="168" fontId="31" fillId="3" borderId="39" xfId="625" applyNumberFormat="1" applyFont="1" applyFill="1" applyBorder="1" applyAlignment="1">
      <alignment horizontal="right"/>
    </xf>
    <xf numFmtId="235" fontId="145" fillId="80" borderId="39" xfId="632" applyNumberFormat="1" applyFont="1" applyFill="1" applyBorder="1" applyAlignment="1">
      <alignment horizontal="right"/>
    </xf>
    <xf numFmtId="9" fontId="340" fillId="3" borderId="39" xfId="632" applyNumberFormat="1" applyFont="1" applyFill="1" applyBorder="1" applyAlignment="1">
      <alignment horizontal="right"/>
    </xf>
    <xf numFmtId="9" fontId="147" fillId="7" borderId="39" xfId="13" applyNumberFormat="1" applyFont="1" applyFill="1" applyBorder="1" applyAlignment="1">
      <alignment horizontal="right"/>
    </xf>
    <xf numFmtId="235" fontId="146" fillId="80" borderId="39" xfId="632" applyNumberFormat="1" applyFont="1" applyFill="1" applyBorder="1" applyAlignment="1">
      <alignment horizontal="right"/>
    </xf>
    <xf numFmtId="235" fontId="149" fillId="80" borderId="39" xfId="632" applyNumberFormat="1" applyFont="1" applyFill="1" applyBorder="1" applyAlignment="1">
      <alignment horizontal="right"/>
    </xf>
    <xf numFmtId="3" fontId="340" fillId="0" borderId="40" xfId="625" applyNumberFormat="1" applyFont="1" applyFill="1" applyBorder="1" applyAlignment="1">
      <alignment horizontal="right"/>
    </xf>
    <xf numFmtId="195" fontId="317" fillId="80" borderId="0" xfId="632" applyNumberFormat="1" applyFont="1" applyFill="1" applyBorder="1" applyAlignment="1">
      <alignment horizontal="right"/>
    </xf>
    <xf numFmtId="9" fontId="146" fillId="3" borderId="40" xfId="632" applyNumberFormat="1" applyFont="1" applyFill="1" applyBorder="1" applyAlignment="1">
      <alignment horizontal="right"/>
    </xf>
    <xf numFmtId="195" fontId="146" fillId="80" borderId="0" xfId="632" applyNumberFormat="1" applyFont="1" applyFill="1" applyBorder="1" applyAlignment="1">
      <alignment horizontal="right"/>
    </xf>
    <xf numFmtId="202" fontId="146" fillId="0" borderId="0" xfId="13" applyNumberFormat="1" applyFont="1" applyAlignment="1">
      <alignment horizontal="right"/>
    </xf>
    <xf numFmtId="9" fontId="149" fillId="0" borderId="0" xfId="13" applyNumberFormat="1" applyFont="1" applyAlignment="1">
      <alignment horizontal="right"/>
    </xf>
    <xf numFmtId="0" fontId="31" fillId="0" borderId="0" xfId="13" applyFont="1" applyAlignment="1">
      <alignment horizontal="right"/>
    </xf>
    <xf numFmtId="0" fontId="31" fillId="80" borderId="0" xfId="13" applyFont="1" applyFill="1" applyAlignment="1">
      <alignment horizontal="right"/>
    </xf>
    <xf numFmtId="168" fontId="46" fillId="75" borderId="5" xfId="3" applyNumberFormat="1" applyFont="1" applyFill="1" applyBorder="1" applyAlignment="1">
      <alignment horizontal="right"/>
    </xf>
    <xf numFmtId="168" fontId="46" fillId="0" borderId="0" xfId="3" applyNumberFormat="1" applyFont="1" applyFill="1" applyBorder="1" applyAlignment="1">
      <alignment horizontal="right"/>
    </xf>
    <xf numFmtId="9" fontId="7" fillId="0" borderId="108" xfId="1" applyNumberFormat="1" applyFont="1" applyBorder="1"/>
    <xf numFmtId="181" fontId="46" fillId="0" borderId="0" xfId="1" applyNumberFormat="1" applyFont="1" applyAlignment="1">
      <alignment horizontal="right" vertical="top"/>
    </xf>
    <xf numFmtId="168" fontId="46" fillId="75" borderId="0" xfId="3" applyNumberFormat="1" applyFont="1" applyFill="1" applyBorder="1" applyAlignment="1">
      <alignment horizontal="right"/>
    </xf>
    <xf numFmtId="3" fontId="31" fillId="7" borderId="0" xfId="13" applyNumberFormat="1" applyFont="1" applyFill="1" applyAlignment="1">
      <alignment horizontal="right"/>
    </xf>
    <xf numFmtId="3" fontId="146" fillId="7" borderId="40" xfId="13" applyNumberFormat="1" applyFont="1" applyFill="1" applyBorder="1" applyAlignment="1">
      <alignment horizontal="right"/>
    </xf>
    <xf numFmtId="3" fontId="31" fillId="7" borderId="40" xfId="13" applyNumberFormat="1" applyFont="1" applyFill="1" applyBorder="1" applyAlignment="1">
      <alignment horizontal="right"/>
    </xf>
    <xf numFmtId="43" fontId="284" fillId="0" borderId="0" xfId="0" applyNumberFormat="1" applyFont="1"/>
    <xf numFmtId="3" fontId="284" fillId="0" borderId="0" xfId="0" applyNumberFormat="1" applyFont="1" applyAlignment="1">
      <alignment horizontal="center" vertical="top" wrapText="1"/>
    </xf>
    <xf numFmtId="3" fontId="284" fillId="77" borderId="0" xfId="0" applyNumberFormat="1" applyFont="1" applyFill="1" applyAlignment="1">
      <alignment horizontal="center" vertical="top" wrapText="1"/>
    </xf>
    <xf numFmtId="235" fontId="272" fillId="0" borderId="0" xfId="632" applyNumberFormat="1" applyFont="1" applyAlignment="1">
      <alignment horizontal="center" vertical="top" wrapText="1"/>
    </xf>
    <xf numFmtId="3" fontId="284" fillId="0" borderId="0" xfId="0" applyNumberFormat="1" applyFont="1"/>
    <xf numFmtId="9" fontId="284" fillId="0" borderId="0" xfId="0" applyNumberFormat="1" applyFont="1"/>
    <xf numFmtId="43" fontId="284" fillId="7" borderId="0" xfId="0" applyNumberFormat="1" applyFont="1" applyFill="1"/>
    <xf numFmtId="3" fontId="284" fillId="7" borderId="0" xfId="0" applyNumberFormat="1" applyFont="1" applyFill="1" applyAlignment="1">
      <alignment horizontal="center" vertical="top" wrapText="1"/>
    </xf>
    <xf numFmtId="3" fontId="147" fillId="7" borderId="5" xfId="632" applyNumberFormat="1" applyFont="1" applyFill="1" applyBorder="1" applyAlignment="1">
      <alignment horizontal="right"/>
    </xf>
    <xf numFmtId="164" fontId="285" fillId="0" borderId="108" xfId="1" applyNumberFormat="1" applyFont="1" applyBorder="1" applyAlignment="1">
      <alignment horizontal="right"/>
    </xf>
    <xf numFmtId="166" fontId="284" fillId="0" borderId="108" xfId="3" applyNumberFormat="1" applyFont="1" applyFill="1" applyBorder="1" applyAlignment="1">
      <alignment horizontal="right"/>
    </xf>
    <xf numFmtId="164" fontId="284" fillId="0" borderId="108" xfId="1" applyNumberFormat="1" applyFont="1" applyBorder="1" applyAlignment="1">
      <alignment horizontal="right"/>
    </xf>
    <xf numFmtId="235" fontId="285" fillId="0" borderId="22" xfId="632" applyNumberFormat="1" applyFont="1" applyBorder="1" applyAlignment="1">
      <alignment horizontal="right"/>
    </xf>
    <xf numFmtId="164" fontId="285" fillId="0" borderId="22" xfId="1" applyNumberFormat="1" applyFont="1" applyBorder="1" applyAlignment="1">
      <alignment horizontal="right"/>
    </xf>
    <xf numFmtId="167" fontId="284" fillId="0" borderId="108" xfId="1" applyNumberFormat="1" applyFont="1" applyBorder="1" applyAlignment="1">
      <alignment horizontal="right"/>
    </xf>
    <xf numFmtId="168" fontId="285" fillId="0" borderId="108" xfId="3" applyNumberFormat="1" applyFont="1" applyFill="1" applyBorder="1" applyAlignment="1">
      <alignment horizontal="right"/>
    </xf>
    <xf numFmtId="168" fontId="284" fillId="0" borderId="108" xfId="3" applyNumberFormat="1" applyFont="1" applyFill="1" applyBorder="1" applyAlignment="1">
      <alignment horizontal="right"/>
    </xf>
    <xf numFmtId="184" fontId="284" fillId="0" borderId="108" xfId="1" applyNumberFormat="1" applyFont="1" applyBorder="1" applyAlignment="1">
      <alignment horizontal="right"/>
    </xf>
    <xf numFmtId="9" fontId="32" fillId="3" borderId="78" xfId="625" applyFont="1" applyFill="1" applyBorder="1" applyAlignment="1">
      <alignment horizontal="right"/>
    </xf>
    <xf numFmtId="9" fontId="32" fillId="3" borderId="39" xfId="625" applyFont="1" applyFill="1" applyBorder="1" applyAlignment="1">
      <alignment horizontal="right"/>
    </xf>
    <xf numFmtId="9" fontId="317" fillId="3" borderId="79" xfId="625" applyFont="1" applyFill="1" applyBorder="1" applyAlignment="1">
      <alignment horizontal="right"/>
    </xf>
    <xf numFmtId="9" fontId="317" fillId="3" borderId="40" xfId="625" applyFont="1" applyFill="1" applyBorder="1" applyAlignment="1">
      <alignment horizontal="right"/>
    </xf>
    <xf numFmtId="9" fontId="46" fillId="0" borderId="18" xfId="625" applyFont="1" applyBorder="1"/>
    <xf numFmtId="0" fontId="46" fillId="83" borderId="0" xfId="1" applyFont="1" applyFill="1"/>
    <xf numFmtId="0" fontId="7" fillId="83" borderId="0" xfId="1" applyFont="1" applyFill="1"/>
    <xf numFmtId="0" fontId="7" fillId="83" borderId="5" xfId="1" applyFont="1" applyFill="1" applyBorder="1"/>
    <xf numFmtId="0" fontId="7" fillId="83" borderId="108" xfId="1" applyFont="1" applyFill="1" applyBorder="1"/>
    <xf numFmtId="168" fontId="272" fillId="0" borderId="0" xfId="1" applyNumberFormat="1" applyFont="1"/>
    <xf numFmtId="168" fontId="272" fillId="0" borderId="108" xfId="1" applyNumberFormat="1" applyFont="1" applyBorder="1"/>
    <xf numFmtId="168" fontId="284" fillId="0" borderId="0" xfId="632" applyNumberFormat="1" applyFont="1"/>
    <xf numFmtId="168" fontId="272" fillId="0" borderId="0" xfId="632" applyNumberFormat="1" applyFont="1"/>
    <xf numFmtId="168" fontId="46" fillId="0" borderId="0" xfId="1" applyNumberFormat="1" applyFont="1"/>
    <xf numFmtId="235" fontId="272" fillId="0" borderId="18" xfId="632" applyNumberFormat="1" applyFont="1" applyBorder="1"/>
    <xf numFmtId="4" fontId="272" fillId="0" borderId="0" xfId="632" applyNumberFormat="1" applyFont="1" applyBorder="1"/>
    <xf numFmtId="43" fontId="7" fillId="0" borderId="0" xfId="632" applyFont="1" applyBorder="1"/>
    <xf numFmtId="9" fontId="76" fillId="0" borderId="0" xfId="625" applyFont="1" applyBorder="1"/>
    <xf numFmtId="235" fontId="46" fillId="0" borderId="0" xfId="632" applyNumberFormat="1" applyFont="1" applyBorder="1"/>
    <xf numFmtId="164" fontId="7" fillId="3" borderId="108" xfId="1" applyNumberFormat="1" applyFont="1" applyFill="1" applyBorder="1"/>
    <xf numFmtId="164" fontId="274" fillId="0" borderId="108" xfId="1" applyNumberFormat="1" applyFont="1" applyBorder="1" applyAlignment="1">
      <alignment horizontal="right"/>
    </xf>
    <xf numFmtId="164" fontId="275" fillId="0" borderId="108" xfId="1" applyNumberFormat="1" applyFont="1" applyBorder="1" applyAlignment="1">
      <alignment horizontal="right"/>
    </xf>
    <xf numFmtId="167" fontId="274" fillId="0" borderId="108" xfId="1" applyNumberFormat="1" applyFont="1" applyBorder="1" applyAlignment="1">
      <alignment horizontal="right"/>
    </xf>
    <xf numFmtId="167" fontId="274" fillId="0" borderId="1" xfId="1" applyNumberFormat="1" applyFont="1" applyBorder="1" applyAlignment="1">
      <alignment horizontal="right"/>
    </xf>
    <xf numFmtId="168" fontId="46" fillId="0" borderId="108" xfId="3" applyNumberFormat="1" applyFont="1" applyFill="1" applyBorder="1" applyAlignment="1">
      <alignment horizontal="right"/>
    </xf>
    <xf numFmtId="186" fontId="7" fillId="0" borderId="108" xfId="1" applyNumberFormat="1" applyFont="1" applyBorder="1"/>
    <xf numFmtId="235" fontId="284" fillId="0" borderId="108" xfId="632" applyNumberFormat="1" applyFont="1" applyBorder="1"/>
    <xf numFmtId="0" fontId="284" fillId="0" borderId="108" xfId="1" applyFont="1" applyBorder="1"/>
    <xf numFmtId="4" fontId="272" fillId="0" borderId="108" xfId="632" applyNumberFormat="1" applyFont="1" applyBorder="1"/>
    <xf numFmtId="2" fontId="272" fillId="0" borderId="108" xfId="1" applyNumberFormat="1" applyFont="1" applyBorder="1"/>
    <xf numFmtId="168" fontId="284" fillId="0" borderId="108" xfId="632" applyNumberFormat="1" applyFont="1" applyBorder="1"/>
    <xf numFmtId="9" fontId="284" fillId="0" borderId="108" xfId="632" applyNumberFormat="1" applyFont="1" applyBorder="1"/>
    <xf numFmtId="9" fontId="76" fillId="0" borderId="108" xfId="625" applyFont="1" applyBorder="1"/>
    <xf numFmtId="235" fontId="46" fillId="0" borderId="108" xfId="1" applyNumberFormat="1" applyFont="1" applyBorder="1"/>
    <xf numFmtId="235" fontId="46" fillId="0" borderId="108" xfId="632" applyNumberFormat="1" applyFont="1" applyBorder="1"/>
    <xf numFmtId="9" fontId="46" fillId="0" borderId="108" xfId="1" applyNumberFormat="1" applyFont="1" applyBorder="1"/>
    <xf numFmtId="235" fontId="277" fillId="7" borderId="0" xfId="632" applyNumberFormat="1" applyFont="1" applyFill="1" applyBorder="1"/>
    <xf numFmtId="1" fontId="272" fillId="0" borderId="0" xfId="1" applyNumberFormat="1" applyFont="1"/>
    <xf numFmtId="235" fontId="273" fillId="0" borderId="0" xfId="632" applyNumberFormat="1" applyFont="1" applyBorder="1"/>
    <xf numFmtId="186" fontId="46" fillId="0" borderId="108" xfId="1" applyNumberFormat="1" applyFont="1" applyBorder="1" applyAlignment="1">
      <alignment horizontal="right"/>
    </xf>
    <xf numFmtId="235" fontId="284" fillId="0" borderId="108" xfId="1" applyNumberFormat="1" applyFont="1" applyBorder="1"/>
    <xf numFmtId="9" fontId="284" fillId="0" borderId="108" xfId="625" applyFont="1" applyFill="1" applyBorder="1"/>
    <xf numFmtId="235" fontId="272" fillId="0" borderId="108" xfId="632" applyNumberFormat="1" applyFont="1" applyFill="1" applyBorder="1"/>
    <xf numFmtId="43" fontId="284" fillId="0" borderId="108" xfId="632" applyFont="1" applyBorder="1"/>
    <xf numFmtId="43" fontId="284" fillId="0" borderId="108" xfId="625" applyNumberFormat="1" applyFont="1" applyBorder="1"/>
    <xf numFmtId="43" fontId="284" fillId="0" borderId="108" xfId="1" applyNumberFormat="1" applyFont="1" applyBorder="1"/>
    <xf numFmtId="235" fontId="277" fillId="0" borderId="108" xfId="1" applyNumberFormat="1" applyFont="1" applyBorder="1"/>
    <xf numFmtId="0" fontId="272" fillId="0" borderId="108" xfId="1" applyFont="1" applyBorder="1"/>
    <xf numFmtId="3" fontId="73" fillId="0" borderId="0" xfId="632" applyNumberFormat="1" applyFont="1" applyFill="1" applyBorder="1"/>
    <xf numFmtId="195" fontId="47" fillId="84" borderId="75" xfId="632" applyNumberFormat="1" applyFont="1" applyFill="1" applyBorder="1"/>
    <xf numFmtId="185" fontId="70" fillId="0" borderId="0" xfId="3" applyNumberFormat="1" applyFont="1" applyFill="1" applyBorder="1" applyAlignment="1" applyProtection="1">
      <alignment horizontal="right"/>
      <protection locked="0"/>
    </xf>
    <xf numFmtId="4" fontId="284" fillId="0" borderId="0" xfId="632" applyNumberFormat="1" applyFont="1"/>
    <xf numFmtId="329" fontId="7" fillId="0" borderId="0" xfId="1" applyNumberFormat="1" applyFont="1"/>
    <xf numFmtId="0" fontId="7" fillId="0" borderId="16" xfId="1" applyFont="1" applyBorder="1"/>
    <xf numFmtId="0" fontId="7" fillId="0" borderId="21" xfId="1" applyFont="1" applyBorder="1"/>
    <xf numFmtId="0" fontId="7" fillId="0" borderId="1" xfId="1" applyFont="1" applyBorder="1"/>
    <xf numFmtId="0" fontId="338" fillId="0" borderId="16" xfId="0" applyFont="1" applyBorder="1"/>
    <xf numFmtId="164" fontId="272" fillId="0" borderId="16" xfId="1" applyNumberFormat="1" applyFont="1" applyBorder="1"/>
    <xf numFmtId="164" fontId="272" fillId="75" borderId="21" xfId="1" applyNumberFormat="1" applyFont="1" applyFill="1" applyBorder="1" applyAlignment="1">
      <alignment horizontal="right"/>
    </xf>
    <xf numFmtId="164" fontId="272" fillId="0" borderId="1" xfId="1" applyNumberFormat="1" applyFont="1" applyBorder="1"/>
    <xf numFmtId="184" fontId="284" fillId="0" borderId="16" xfId="1" applyNumberFormat="1" applyFont="1" applyBorder="1" applyAlignment="1">
      <alignment horizontal="right"/>
    </xf>
    <xf numFmtId="166" fontId="70" fillId="0" borderId="109" xfId="3" applyNumberFormat="1" applyFont="1" applyFill="1" applyBorder="1" applyAlignment="1" applyProtection="1">
      <alignment horizontal="right"/>
      <protection locked="0"/>
    </xf>
    <xf numFmtId="166" fontId="70" fillId="0" borderId="110" xfId="3" applyNumberFormat="1" applyFont="1" applyFill="1" applyBorder="1" applyAlignment="1" applyProtection="1">
      <alignment horizontal="right"/>
      <protection locked="0"/>
    </xf>
    <xf numFmtId="235" fontId="31" fillId="0" borderId="14" xfId="632" applyNumberFormat="1" applyFont="1" applyFill="1" applyBorder="1" applyAlignment="1">
      <alignment vertical="center"/>
    </xf>
    <xf numFmtId="3" fontId="7" fillId="75" borderId="0" xfId="3" applyNumberFormat="1" applyFont="1" applyFill="1" applyBorder="1" applyAlignment="1">
      <alignment horizontal="right"/>
    </xf>
    <xf numFmtId="164" fontId="7" fillId="0" borderId="1" xfId="1" applyNumberFormat="1" applyFont="1" applyBorder="1"/>
    <xf numFmtId="0" fontId="14" fillId="0" borderId="2" xfId="2" applyFont="1" applyBorder="1"/>
    <xf numFmtId="37" fontId="46" fillId="0" borderId="2" xfId="2" applyNumberFormat="1" applyFont="1" applyBorder="1"/>
    <xf numFmtId="37" fontId="46" fillId="0" borderId="90" xfId="2" applyNumberFormat="1" applyFont="1" applyBorder="1"/>
    <xf numFmtId="37" fontId="46" fillId="0" borderId="91" xfId="2" applyNumberFormat="1" applyFont="1" applyBorder="1"/>
    <xf numFmtId="37" fontId="46" fillId="0" borderId="0" xfId="2" applyNumberFormat="1" applyFont="1"/>
    <xf numFmtId="9" fontId="46" fillId="0" borderId="2" xfId="2" applyNumberFormat="1" applyFont="1" applyBorder="1"/>
    <xf numFmtId="9" fontId="46" fillId="0" borderId="2" xfId="625" applyFont="1" applyBorder="1"/>
    <xf numFmtId="164" fontId="46" fillId="0" borderId="90" xfId="2" applyNumberFormat="1" applyFont="1" applyBorder="1" applyAlignment="1">
      <alignment horizontal="right"/>
    </xf>
    <xf numFmtId="164" fontId="46" fillId="0" borderId="91" xfId="2" applyNumberFormat="1" applyFont="1" applyBorder="1" applyAlignment="1">
      <alignment horizontal="right"/>
    </xf>
    <xf numFmtId="9" fontId="46" fillId="0" borderId="2" xfId="2" applyNumberFormat="1" applyFont="1" applyBorder="1" applyAlignment="1">
      <alignment horizontal="right"/>
    </xf>
    <xf numFmtId="228" fontId="7" fillId="0" borderId="0" xfId="1" applyNumberFormat="1" applyFont="1"/>
    <xf numFmtId="330" fontId="297" fillId="7" borderId="0" xfId="632" applyNumberFormat="1" applyFont="1" applyFill="1" applyBorder="1"/>
    <xf numFmtId="4" fontId="31" fillId="3" borderId="5" xfId="625" applyNumberFormat="1" applyFont="1" applyFill="1" applyBorder="1" applyAlignment="1">
      <alignment horizontal="right"/>
    </xf>
    <xf numFmtId="15" fontId="270" fillId="65" borderId="0" xfId="0" applyNumberFormat="1" applyFont="1" applyFill="1" applyAlignment="1">
      <alignment horizontal="left" vertical="center"/>
    </xf>
    <xf numFmtId="0" fontId="270" fillId="65" borderId="0" xfId="0" applyFont="1" applyFill="1" applyAlignment="1">
      <alignment horizontal="left" vertical="center"/>
    </xf>
    <xf numFmtId="0" fontId="82" fillId="0" borderId="0" xfId="2" applyFont="1" applyAlignment="1">
      <alignment horizontal="left" wrapText="1"/>
    </xf>
    <xf numFmtId="0" fontId="81" fillId="0" borderId="0" xfId="1" applyFont="1" applyAlignment="1">
      <alignment horizontal="left"/>
    </xf>
    <xf numFmtId="0" fontId="46" fillId="76" borderId="0" xfId="2" applyFont="1" applyFill="1" applyAlignment="1">
      <alignment horizontal="center"/>
    </xf>
    <xf numFmtId="0" fontId="10" fillId="68" borderId="0" xfId="2" applyFont="1" applyFill="1" applyAlignment="1">
      <alignment horizontal="center"/>
    </xf>
    <xf numFmtId="0" fontId="10" fillId="68" borderId="3" xfId="2" applyFont="1" applyFill="1" applyBorder="1" applyAlignment="1">
      <alignment horizontal="center"/>
    </xf>
    <xf numFmtId="0" fontId="12" fillId="5" borderId="0" xfId="2" applyFont="1" applyFill="1" applyAlignment="1">
      <alignment horizontal="center"/>
    </xf>
    <xf numFmtId="0" fontId="72" fillId="68" borderId="23" xfId="2" applyFont="1" applyFill="1" applyBorder="1" applyAlignment="1">
      <alignment horizontal="center"/>
    </xf>
    <xf numFmtId="0" fontId="72" fillId="68" borderId="18" xfId="2" applyFont="1" applyFill="1" applyBorder="1" applyAlignment="1">
      <alignment horizontal="center"/>
    </xf>
    <xf numFmtId="0" fontId="72" fillId="68" borderId="22" xfId="2" applyFont="1" applyFill="1" applyBorder="1" applyAlignment="1">
      <alignment horizontal="center"/>
    </xf>
    <xf numFmtId="0" fontId="46" fillId="66" borderId="5" xfId="2" applyFont="1" applyFill="1" applyBorder="1" applyAlignment="1">
      <alignment horizontal="center"/>
    </xf>
    <xf numFmtId="0" fontId="46" fillId="66" borderId="0" xfId="2" applyFont="1" applyFill="1" applyAlignment="1">
      <alignment horizontal="center"/>
    </xf>
    <xf numFmtId="0" fontId="7" fillId="0" borderId="5" xfId="2" applyBorder="1"/>
    <xf numFmtId="0" fontId="7" fillId="0" borderId="0" xfId="2"/>
    <xf numFmtId="0" fontId="7" fillId="0" borderId="23" xfId="2" applyBorder="1" applyAlignment="1">
      <alignment horizontal="left" indent="2"/>
    </xf>
    <xf numFmtId="0" fontId="7" fillId="0" borderId="18" xfId="2" applyBorder="1" applyAlignment="1">
      <alignment horizontal="left" indent="2"/>
    </xf>
    <xf numFmtId="0" fontId="46" fillId="0" borderId="5" xfId="2" applyFont="1" applyBorder="1"/>
    <xf numFmtId="0" fontId="46" fillId="0" borderId="0" xfId="2" applyFont="1"/>
    <xf numFmtId="0" fontId="46" fillId="66" borderId="17" xfId="17" applyFont="1" applyFill="1" applyBorder="1" applyAlignment="1">
      <alignment horizontal="center" vertical="center" wrapText="1"/>
    </xf>
    <xf numFmtId="0" fontId="153" fillId="82" borderId="96" xfId="0" applyFont="1" applyFill="1" applyBorder="1" applyAlignment="1">
      <alignment horizontal="center" vertical="top" wrapText="1"/>
    </xf>
    <xf numFmtId="0" fontId="153" fillId="82" borderId="95" xfId="0" applyFont="1" applyFill="1" applyBorder="1" applyAlignment="1">
      <alignment horizontal="center" vertical="top" wrapText="1"/>
    </xf>
    <xf numFmtId="0" fontId="153" fillId="82" borderId="99" xfId="0" applyFont="1" applyFill="1" applyBorder="1" applyAlignment="1">
      <alignment horizontal="center" vertical="top" wrapText="1"/>
    </xf>
  </cellXfs>
  <cellStyles count="5308">
    <cellStyle name="-" xfId="646" xr:uid="{00000000-0005-0000-0000-000000000000}"/>
    <cellStyle name="—" xfId="647" xr:uid="{00000000-0005-0000-0000-000001000000}"/>
    <cellStyle name="_x000a_386grabber=M" xfId="648" xr:uid="{00000000-0005-0000-0000-000002000000}"/>
    <cellStyle name="% inc" xfId="649" xr:uid="{00000000-0005-0000-0000-000003000000}"/>
    <cellStyle name="(1,000)" xfId="650" xr:uid="{00000000-0005-0000-0000-000004000000}"/>
    <cellStyle name="(1,000)x" xfId="651" xr:uid="{00000000-0005-0000-0000-000005000000}"/>
    <cellStyle name="******************************************" xfId="652" xr:uid="{00000000-0005-0000-0000-000006000000}"/>
    <cellStyle name="?" xfId="653" xr:uid="{00000000-0005-0000-0000-000007000000}"/>
    <cellStyle name="?? [0]_2L-PATIC" xfId="654" xr:uid="{00000000-0005-0000-0000-000008000000}"/>
    <cellStyle name="????_ADSL forecast" xfId="655" xr:uid="{00000000-0005-0000-0000-000009000000}"/>
    <cellStyle name="???[0]_2L-PATIC" xfId="656" xr:uid="{00000000-0005-0000-0000-00000A000000}"/>
    <cellStyle name="???_2L-PATIC" xfId="657" xr:uid="{00000000-0005-0000-0000-00000B000000}"/>
    <cellStyle name="??[0]_laroux" xfId="658" xr:uid="{00000000-0005-0000-0000-00000C000000}"/>
    <cellStyle name="??_2L-PATIC" xfId="659" xr:uid="{00000000-0005-0000-0000-00000D000000}"/>
    <cellStyle name="?_Cheng Shin Model" xfId="660" xr:uid="{00000000-0005-0000-0000-00000E000000}"/>
    <cellStyle name="?_Cheng Shin Model (WIP 2004-07)" xfId="661" xr:uid="{00000000-0005-0000-0000-00000F000000}"/>
    <cellStyle name="?_Cheng Shin Model_Cheng Shin Model (WIP 2004-07)" xfId="662" xr:uid="{00000000-0005-0000-0000-000010000000}"/>
    <cellStyle name="?_Cheng Shin Model_FEDS Model" xfId="663" xr:uid="{00000000-0005-0000-0000-000011000000}"/>
    <cellStyle name="?_Cheng Shin Model_Tong yang model copy valuation" xfId="664" xr:uid="{00000000-0005-0000-0000-000012000000}"/>
    <cellStyle name="?_EM-HTI" xfId="665" xr:uid="{00000000-0005-0000-0000-000013000000}"/>
    <cellStyle name="?_EM-KT" xfId="666" xr:uid="{00000000-0005-0000-0000-000014000000}"/>
    <cellStyle name="?_EM-Optus" xfId="667" xr:uid="{00000000-0005-0000-0000-000015000000}"/>
    <cellStyle name="?_EM-SKTelecom_old" xfId="668" xr:uid="{00000000-0005-0000-0000-000016000000}"/>
    <cellStyle name="?_EM-SKTelecom_old_EM-HTI" xfId="669" xr:uid="{00000000-0005-0000-0000-000017000000}"/>
    <cellStyle name="?_FEDS Model" xfId="670" xr:uid="{00000000-0005-0000-0000-000018000000}"/>
    <cellStyle name="?_GS Assumptions-F" xfId="671" xr:uid="{00000000-0005-0000-0000-000019000000}"/>
    <cellStyle name="?_GS Assumptions-F_Cheng Shin Model" xfId="672" xr:uid="{00000000-0005-0000-0000-00001A000000}"/>
    <cellStyle name="?_GS Assumptions-F_Cheng Shin Model (WIP 2004-07)" xfId="673" xr:uid="{00000000-0005-0000-0000-00001B000000}"/>
    <cellStyle name="?_GS Assumptions-F_Cheng Shin Model_Cheng Shin Model (WIP 2004-07)" xfId="674" xr:uid="{00000000-0005-0000-0000-00001C000000}"/>
    <cellStyle name="?_GS Assumptions-F_Cheng Shin Model_FEDS Model" xfId="675" xr:uid="{00000000-0005-0000-0000-00001D000000}"/>
    <cellStyle name="?_GS Assumptions-F_Cheng Shin Model_Tong yang model copy valuation" xfId="676" xr:uid="{00000000-0005-0000-0000-00001E000000}"/>
    <cellStyle name="?_GS Assumptions-F_EM-Optus" xfId="677" xr:uid="{00000000-0005-0000-0000-00001F000000}"/>
    <cellStyle name="?_GS Assumptions-F_FEDS Model" xfId="678" xr:uid="{00000000-0005-0000-0000-000020000000}"/>
    <cellStyle name="?_GS Assumptions-F_Synnex Model" xfId="679" xr:uid="{00000000-0005-0000-0000-000021000000}"/>
    <cellStyle name="?_GS Assumptions-F_Taiwan Auto Company DCF Comparison" xfId="680" xr:uid="{00000000-0005-0000-0000-000022000000}"/>
    <cellStyle name="?_GS Assumptions-F_Tong Yang Model" xfId="681" xr:uid="{00000000-0005-0000-0000-000023000000}"/>
    <cellStyle name="?_GS Assumptions-F_Tong yang model copy valuation" xfId="682" xr:uid="{00000000-0005-0000-0000-000024000000}"/>
    <cellStyle name="?_GS_Balance" xfId="683" xr:uid="{00000000-0005-0000-0000-000025000000}"/>
    <cellStyle name="?_GS_Balance_Cheng Shin Model" xfId="684" xr:uid="{00000000-0005-0000-0000-000026000000}"/>
    <cellStyle name="?_GS_Balance_Cheng Shin Model (WIP 2004-07)" xfId="685" xr:uid="{00000000-0005-0000-0000-000027000000}"/>
    <cellStyle name="?_GS_Balance_Cheng Shin Model_Cheng Shin Model (WIP 2004-07)" xfId="686" xr:uid="{00000000-0005-0000-0000-000028000000}"/>
    <cellStyle name="?_GS_Balance_Cheng Shin Model_FEDS Model" xfId="687" xr:uid="{00000000-0005-0000-0000-000029000000}"/>
    <cellStyle name="?_GS_Balance_Cheng Shin Model_Tong yang model copy valuation" xfId="688" xr:uid="{00000000-0005-0000-0000-00002A000000}"/>
    <cellStyle name="?_GS_Balance_EM-Optus" xfId="689" xr:uid="{00000000-0005-0000-0000-00002B000000}"/>
    <cellStyle name="?_GS_Balance_FEDS Model" xfId="690" xr:uid="{00000000-0005-0000-0000-00002C000000}"/>
    <cellStyle name="?_GS_Balance_Synnex Model" xfId="691" xr:uid="{00000000-0005-0000-0000-00002D000000}"/>
    <cellStyle name="?_GS_Balance_Taiwan Auto Company DCF Comparison" xfId="692" xr:uid="{00000000-0005-0000-0000-00002E000000}"/>
    <cellStyle name="?_GS_Balance_Tong Yang Model" xfId="693" xr:uid="{00000000-0005-0000-0000-00002F000000}"/>
    <cellStyle name="?_GS_Balance_Tong yang model copy valuation" xfId="694" xr:uid="{00000000-0005-0000-0000-000030000000}"/>
    <cellStyle name="?_GS_Cash " xfId="4" xr:uid="{00000000-0005-0000-0000-000031000000}"/>
    <cellStyle name="?_GS_Cash  (2)" xfId="695" xr:uid="{00000000-0005-0000-0000-000032000000}"/>
    <cellStyle name="?_GS_Cash  (2)_Cheng Shin Model" xfId="696" xr:uid="{00000000-0005-0000-0000-000033000000}"/>
    <cellStyle name="?_GS_Cash  (2)_Cheng Shin Model (WIP 2004-07)" xfId="697" xr:uid="{00000000-0005-0000-0000-000034000000}"/>
    <cellStyle name="?_GS_Cash  (2)_Cheng Shin Model_Cheng Shin Model (WIP 2004-07)" xfId="698" xr:uid="{00000000-0005-0000-0000-000035000000}"/>
    <cellStyle name="?_GS_Cash  (2)_Cheng Shin Model_FEDS Model" xfId="699" xr:uid="{00000000-0005-0000-0000-000036000000}"/>
    <cellStyle name="?_GS_Cash  (2)_Cheng Shin Model_Tong yang model copy valuation" xfId="700" xr:uid="{00000000-0005-0000-0000-000037000000}"/>
    <cellStyle name="?_GS_Cash  (2)_EM-Optus" xfId="701" xr:uid="{00000000-0005-0000-0000-000038000000}"/>
    <cellStyle name="?_GS_Cash  (2)_FEDS Model" xfId="702" xr:uid="{00000000-0005-0000-0000-000039000000}"/>
    <cellStyle name="?_GS_Cash  (2)_Synnex Model" xfId="703" xr:uid="{00000000-0005-0000-0000-00003A000000}"/>
    <cellStyle name="?_GS_Cash  (2)_Taiwan Auto Company DCF Comparison" xfId="704" xr:uid="{00000000-0005-0000-0000-00003B000000}"/>
    <cellStyle name="?_GS_Cash  (2)_Tong Yang Model" xfId="705" xr:uid="{00000000-0005-0000-0000-00003C000000}"/>
    <cellStyle name="?_GS_Cash  (2)_Tong yang model copy valuation" xfId="706" xr:uid="{00000000-0005-0000-0000-00003D000000}"/>
    <cellStyle name="?_GS_Cash _Champion REIT" xfId="707" xr:uid="{00000000-0005-0000-0000-00003E000000}"/>
    <cellStyle name="?_GS_Cash _Cheng Shin Model" xfId="708" xr:uid="{00000000-0005-0000-0000-00003F000000}"/>
    <cellStyle name="?_GS_Cash _Cheng Shin Model (WIP 2004-07)" xfId="709" xr:uid="{00000000-0005-0000-0000-000040000000}"/>
    <cellStyle name="?_GS_Cash _Cheng Shin Model_Cheng Shin Model (WIP 2004-07)" xfId="710" xr:uid="{00000000-0005-0000-0000-000041000000}"/>
    <cellStyle name="?_GS_Cash _Cheng Shin Model_FEDS Model" xfId="711" xr:uid="{00000000-0005-0000-0000-000042000000}"/>
    <cellStyle name="?_GS_Cash _Cheng Shin Model_Tong yang model copy valuation" xfId="712" xr:uid="{00000000-0005-0000-0000-000043000000}"/>
    <cellStyle name="?_GS_Cash _EM-Optus" xfId="713" xr:uid="{00000000-0005-0000-0000-000044000000}"/>
    <cellStyle name="?_GS_Cash _FEDS Model" xfId="714" xr:uid="{00000000-0005-0000-0000-000045000000}"/>
    <cellStyle name="?_GS_Cash _Synnex Model" xfId="715" xr:uid="{00000000-0005-0000-0000-000046000000}"/>
    <cellStyle name="?_GS_Cash _Taiwan Auto Company DCF Comparison" xfId="716" xr:uid="{00000000-0005-0000-0000-000047000000}"/>
    <cellStyle name="?_GS_Cash _Tong Yang Model" xfId="717" xr:uid="{00000000-0005-0000-0000-000048000000}"/>
    <cellStyle name="?_GS_Cash _Tong yang model copy valuation" xfId="718" xr:uid="{00000000-0005-0000-0000-000049000000}"/>
    <cellStyle name="?_GS_DCF" xfId="719" xr:uid="{00000000-0005-0000-0000-00004A000000}"/>
    <cellStyle name="?_GS_DCF_Cheng Shin Model" xfId="720" xr:uid="{00000000-0005-0000-0000-00004B000000}"/>
    <cellStyle name="?_GS_DCF_Cheng Shin Model (WIP 2004-07)" xfId="721" xr:uid="{00000000-0005-0000-0000-00004C000000}"/>
    <cellStyle name="?_GS_DCF_Cheng Shin Model_Cheng Shin Model (WIP 2004-07)" xfId="722" xr:uid="{00000000-0005-0000-0000-00004D000000}"/>
    <cellStyle name="?_GS_DCF_Cheng Shin Model_FEDS Model" xfId="723" xr:uid="{00000000-0005-0000-0000-00004E000000}"/>
    <cellStyle name="?_GS_DCF_Cheng Shin Model_Tong yang model copy valuation" xfId="724" xr:uid="{00000000-0005-0000-0000-00004F000000}"/>
    <cellStyle name="?_GS_DCF_EM-Optus" xfId="725" xr:uid="{00000000-0005-0000-0000-000050000000}"/>
    <cellStyle name="?_GS_DCF_FEDS Model" xfId="726" xr:uid="{00000000-0005-0000-0000-000051000000}"/>
    <cellStyle name="?_GS_DCF_Synnex Model" xfId="727" xr:uid="{00000000-0005-0000-0000-000052000000}"/>
    <cellStyle name="?_GS_DCF_Taiwan Auto Company DCF Comparison" xfId="728" xr:uid="{00000000-0005-0000-0000-000053000000}"/>
    <cellStyle name="?_GS_DCF_Tong Yang Model" xfId="729" xr:uid="{00000000-0005-0000-0000-000054000000}"/>
    <cellStyle name="?_GS_DCF_Tong yang model copy valuation" xfId="730" xr:uid="{00000000-0005-0000-0000-000055000000}"/>
    <cellStyle name="?_GS_PNL" xfId="731" xr:uid="{00000000-0005-0000-0000-000056000000}"/>
    <cellStyle name="?_GS_PNL_Cheng Shin Model" xfId="732" xr:uid="{00000000-0005-0000-0000-000057000000}"/>
    <cellStyle name="?_GS_PNL_Cheng Shin Model (WIP 2004-07)" xfId="733" xr:uid="{00000000-0005-0000-0000-000058000000}"/>
    <cellStyle name="?_GS_PNL_Cheng Shin Model_Cheng Shin Model (WIP 2004-07)" xfId="734" xr:uid="{00000000-0005-0000-0000-000059000000}"/>
    <cellStyle name="?_GS_PNL_Cheng Shin Model_FEDS Model" xfId="735" xr:uid="{00000000-0005-0000-0000-00005A000000}"/>
    <cellStyle name="?_GS_PNL_Cheng Shin Model_Tong yang model copy valuation" xfId="736" xr:uid="{00000000-0005-0000-0000-00005B000000}"/>
    <cellStyle name="?_GS_PNL_EM-Optus" xfId="737" xr:uid="{00000000-0005-0000-0000-00005C000000}"/>
    <cellStyle name="?_GS_PNL_FEDS Model" xfId="738" xr:uid="{00000000-0005-0000-0000-00005D000000}"/>
    <cellStyle name="?_GS_PNL_Synnex Model" xfId="739" xr:uid="{00000000-0005-0000-0000-00005E000000}"/>
    <cellStyle name="?_GS_PNL_Taiwan Auto Company DCF Comparison" xfId="740" xr:uid="{00000000-0005-0000-0000-00005F000000}"/>
    <cellStyle name="?_GS_PNL_Tong Yang Model" xfId="741" xr:uid="{00000000-0005-0000-0000-000060000000}"/>
    <cellStyle name="?_GS_PNL_Tong yang model copy valuation" xfId="742" xr:uid="{00000000-0005-0000-0000-000061000000}"/>
    <cellStyle name="?_Synnex Model" xfId="743" xr:uid="{00000000-0005-0000-0000-000062000000}"/>
    <cellStyle name="?_Taiwan Auto Company DCF Comparison" xfId="744" xr:uid="{00000000-0005-0000-0000-000063000000}"/>
    <cellStyle name="?_Tong Yang Model" xfId="745" xr:uid="{00000000-0005-0000-0000-000064000000}"/>
    <cellStyle name="?_Tong yang model copy valuation" xfId="746" xr:uid="{00000000-0005-0000-0000-000065000000}"/>
    <cellStyle name="?d?A|i[0]" xfId="747" xr:uid="{00000000-0005-0000-0000-000066000000}"/>
    <cellStyle name="?W?_iij_base_bs" xfId="748" xr:uid="{00000000-0005-0000-0000-000067000000}"/>
    <cellStyle name="?W・_iij_base_bs" xfId="749" xr:uid="{00000000-0005-0000-0000-000068000000}"/>
    <cellStyle name="[0.0]" xfId="750" xr:uid="{00000000-0005-0000-0000-000069000000}"/>
    <cellStyle name="[0.00%]" xfId="751" xr:uid="{00000000-0005-0000-0000-00006A000000}"/>
    <cellStyle name="[0.00]" xfId="752" xr:uid="{00000000-0005-0000-0000-00006B000000}"/>
    <cellStyle name="[0]" xfId="753" xr:uid="{00000000-0005-0000-0000-00006C000000}"/>
    <cellStyle name="_%(SignOnly)" xfId="315" xr:uid="{00000000-0005-0000-0000-00006D000000}"/>
    <cellStyle name="_%(SignSpaceOnly)" xfId="316" xr:uid="{00000000-0005-0000-0000-00006E000000}"/>
    <cellStyle name="—_(GS) China Pharmaceutical Group model" xfId="754" xr:uid="{00000000-0005-0000-0000-00006F000000}"/>
    <cellStyle name="—_(GS) China Pharmaceutical Group model_Want-Want" xfId="755" xr:uid="{00000000-0005-0000-0000-000070000000}"/>
    <cellStyle name="—_(GS) Global Bio-chem model" xfId="756" xr:uid="{00000000-0005-0000-0000-000071000000}"/>
    <cellStyle name="—_100902 Helen NTT FCF to be sent" xfId="757" xr:uid="{00000000-0005-0000-0000-000072000000}"/>
    <cellStyle name="_107197" xfId="758" xr:uid="{00000000-0005-0000-0000-000073000000}"/>
    <cellStyle name="_1301gs-042006" xfId="759" xr:uid="{00000000-0005-0000-0000-000074000000}"/>
    <cellStyle name="_1Red" xfId="760" xr:uid="{00000000-0005-0000-0000-000075000000}"/>
    <cellStyle name="—_2004 TW conference_Tong Yang (1319.TW)" xfId="761" xr:uid="{00000000-0005-0000-0000-000076000000}"/>
    <cellStyle name="—_2004 TW conference_Tong Yang (1319.TW)_Fu Sheng Rev and GM model" xfId="762" xr:uid="{00000000-0005-0000-0000-000077000000}"/>
    <cellStyle name="—_2004 TW conference_Tong Yang (1319.TW)_Giant Model MASTER" xfId="763" xr:uid="{00000000-0005-0000-0000-000078000000}"/>
    <cellStyle name="—_2004 TW conference_Tong Yang (1319.TW)_Tong yang model copy valuation" xfId="764" xr:uid="{00000000-0005-0000-0000-000079000000}"/>
    <cellStyle name="—_2004 TW conference_Tong Yang (1319.TW)_Tong yang model copy valuation_Fu Sheng Rev and GM model" xfId="765" xr:uid="{00000000-0005-0000-0000-00007A000000}"/>
    <cellStyle name="—_2004 TW conference_Tong Yang (1319.TW)_Two stage DDM" xfId="766" xr:uid="{00000000-0005-0000-0000-00007B000000}"/>
    <cellStyle name="—_2004 TW conference_Tong Yang (1319.TW)_Two stage DDM_Fu Sheng Rev and GM model" xfId="767" xr:uid="{00000000-0005-0000-0000-00007C000000}"/>
    <cellStyle name="_20070515 Yurun (greenlight)" xfId="768" xr:uid="{00000000-0005-0000-0000-00007D000000}"/>
    <cellStyle name="_200869 sz - historical" xfId="769" xr:uid="{00000000-0005-0000-0000-00007E000000}"/>
    <cellStyle name="_2204STOCKSTATS" xfId="770" xr:uid="{00000000-0005-0000-0000-00007F000000}"/>
    <cellStyle name="_600519.SS" xfId="771" xr:uid="{00000000-0005-0000-0000-000080000000}"/>
    <cellStyle name="_600600.SS" xfId="772" xr:uid="{00000000-0005-0000-0000-000081000000}"/>
    <cellStyle name="—_AUO consolidated 2004_02" xfId="773" xr:uid="{00000000-0005-0000-0000-000082000000}"/>
    <cellStyle name="—_AUO forecast (GQ)2005_03" xfId="774" xr:uid="{00000000-0005-0000-0000-000083000000}"/>
    <cellStyle name="_Blank industrial Q sheet" xfId="775" xr:uid="{00000000-0005-0000-0000-000084000000}"/>
    <cellStyle name="—_blank industrial template - new" xfId="776" xr:uid="{00000000-0005-0000-0000-000085000000}"/>
    <cellStyle name="_blank industrial template - new 1 with cash flow" xfId="777" xr:uid="{00000000-0005-0000-0000-000086000000}"/>
    <cellStyle name="_Book1" xfId="778" xr:uid="{00000000-0005-0000-0000-000087000000}"/>
    <cellStyle name="_Book2" xfId="779" xr:uid="{00000000-0005-0000-0000-000088000000}"/>
    <cellStyle name="—_Book2" xfId="780" xr:uid="{00000000-0005-0000-0000-000089000000}"/>
    <cellStyle name="—_Book2_AUO consolidated 2004_02" xfId="781" xr:uid="{00000000-0005-0000-0000-00008A000000}"/>
    <cellStyle name="—_Book2_AUO forecast (GQ)2005_03" xfId="782" xr:uid="{00000000-0005-0000-0000-00008B000000}"/>
    <cellStyle name="—_Book2_blank industrial template - new" xfId="783" xr:uid="{00000000-0005-0000-0000-00008C000000}"/>
    <cellStyle name="—_Book2_Book7" xfId="784" xr:uid="{00000000-0005-0000-0000-00008D000000}"/>
    <cellStyle name="—_Book2_Book7_AUO consolidated 2004_02" xfId="785" xr:uid="{00000000-0005-0000-0000-00008E000000}"/>
    <cellStyle name="—_Book2_Book7_AUO forecast (GQ)2005_03" xfId="786" xr:uid="{00000000-0005-0000-0000-00008F000000}"/>
    <cellStyle name="—_Book2_Book7_blank industrial template - new" xfId="787" xr:uid="{00000000-0005-0000-0000-000090000000}"/>
    <cellStyle name="—_Book2_Book7_BS" xfId="788" xr:uid="{00000000-0005-0000-0000-000091000000}"/>
    <cellStyle name="—_Book2_Book7_Eagle" xfId="789" xr:uid="{00000000-0005-0000-0000-000092000000}"/>
    <cellStyle name="—_Book2_Book7_HSH under review" xfId="790" xr:uid="{00000000-0005-0000-0000-000093000000}"/>
    <cellStyle name="—_Book2_Book7_Novatek forecast 280404" xfId="791" xr:uid="{00000000-0005-0000-0000-000094000000}"/>
    <cellStyle name="—_Book2_Book7_Prosperity REIT_2006Mar27" xfId="792" xr:uid="{00000000-0005-0000-0000-000095000000}"/>
    <cellStyle name="—_Book2_Book7_Shangri-La under review" xfId="793" xr:uid="{00000000-0005-0000-0000-000096000000}"/>
    <cellStyle name="—_Book2_BS" xfId="794" xr:uid="{00000000-0005-0000-0000-000097000000}"/>
    <cellStyle name="—_Book2_CK Hutch InvestmentProp Mar 24 2006" xfId="795" xr:uid="{00000000-0005-0000-0000-000098000000}"/>
    <cellStyle name="—_Book2_CKC_Hutch_group structure" xfId="796" xr:uid="{00000000-0005-0000-0000-000099000000}"/>
    <cellStyle name="—_Book2_DoCoMo table 10July2000" xfId="797" xr:uid="{00000000-0005-0000-0000-00009A000000}"/>
    <cellStyle name="—_Book2_Eagle" xfId="798" xr:uid="{00000000-0005-0000-0000-00009B000000}"/>
    <cellStyle name="—_Book2_earnings" xfId="799" xr:uid="{00000000-0005-0000-0000-00009C000000}"/>
    <cellStyle name="—_Book2_earnings_AUO consolidated 2004_02" xfId="800" xr:uid="{00000000-0005-0000-0000-00009D000000}"/>
    <cellStyle name="—_Book2_earnings_AUO forecast (GQ)2005_03" xfId="801" xr:uid="{00000000-0005-0000-0000-00009E000000}"/>
    <cellStyle name="—_Book2_earnings_blank industrial template - new" xfId="802" xr:uid="{00000000-0005-0000-0000-00009F000000}"/>
    <cellStyle name="—_Book2_earnings_BS" xfId="803" xr:uid="{00000000-0005-0000-0000-0000A0000000}"/>
    <cellStyle name="—_Book2_earnings_Eagle" xfId="804" xr:uid="{00000000-0005-0000-0000-0000A1000000}"/>
    <cellStyle name="—_Book2_earnings_HSH under review" xfId="805" xr:uid="{00000000-0005-0000-0000-0000A2000000}"/>
    <cellStyle name="—_Book2_earnings_Novatek forecast 280404" xfId="806" xr:uid="{00000000-0005-0000-0000-0000A3000000}"/>
    <cellStyle name="—_Book2_earnings_Prosperity REIT_2006Mar27" xfId="807" xr:uid="{00000000-0005-0000-0000-0000A4000000}"/>
    <cellStyle name="—_Book2_earnings_Shangri-La under review" xfId="808" xr:uid="{00000000-0005-0000-0000-0000A5000000}"/>
    <cellStyle name="—_Book2_EM_FETone_new" xfId="809" xr:uid="{00000000-0005-0000-0000-0000A6000000}"/>
    <cellStyle name="—_Book2_EM_FETone_new_AUO consolidated 2004_02" xfId="810" xr:uid="{00000000-0005-0000-0000-0000A7000000}"/>
    <cellStyle name="—_Book2_EM_FETone_new_AUO forecast (GQ)2005_03" xfId="811" xr:uid="{00000000-0005-0000-0000-0000A8000000}"/>
    <cellStyle name="—_Book2_EM_FETone_new_blank industrial template - new" xfId="812" xr:uid="{00000000-0005-0000-0000-0000A9000000}"/>
    <cellStyle name="—_Book2_EM_FETone_new_BS" xfId="813" xr:uid="{00000000-0005-0000-0000-0000AA000000}"/>
    <cellStyle name="—_Book2_EM_FETone_new_Eagle" xfId="814" xr:uid="{00000000-0005-0000-0000-0000AB000000}"/>
    <cellStyle name="—_Book2_EM_FETone_new_HSH under review" xfId="815" xr:uid="{00000000-0005-0000-0000-0000AC000000}"/>
    <cellStyle name="—_Book2_EM_FETone_new_Novatek forecast 280404" xfId="816" xr:uid="{00000000-0005-0000-0000-0000AD000000}"/>
    <cellStyle name="—_Book2_EM_FETone_new_Prosperity REIT_2006Mar27" xfId="817" xr:uid="{00000000-0005-0000-0000-0000AE000000}"/>
    <cellStyle name="—_Book2_EM_FETone_new_Shangri-La under review" xfId="818" xr:uid="{00000000-0005-0000-0000-0000AF000000}"/>
    <cellStyle name="—_Book2_EM_TCC_new" xfId="819" xr:uid="{00000000-0005-0000-0000-0000B0000000}"/>
    <cellStyle name="—_Book2_EM_TCC_new_AUO consolidated 2004_02" xfId="820" xr:uid="{00000000-0005-0000-0000-0000B1000000}"/>
    <cellStyle name="—_Book2_EM_TCC_new_AUO forecast (GQ)2005_03" xfId="821" xr:uid="{00000000-0005-0000-0000-0000B2000000}"/>
    <cellStyle name="—_Book2_EM_TCC_new_blank industrial template - new" xfId="822" xr:uid="{00000000-0005-0000-0000-0000B3000000}"/>
    <cellStyle name="—_Book2_EM_TCC_new_BS" xfId="823" xr:uid="{00000000-0005-0000-0000-0000B4000000}"/>
    <cellStyle name="—_Book2_EM_TCC_new_Eagle" xfId="824" xr:uid="{00000000-0005-0000-0000-0000B5000000}"/>
    <cellStyle name="—_Book2_EM_TCC_new_HSH under review" xfId="825" xr:uid="{00000000-0005-0000-0000-0000B6000000}"/>
    <cellStyle name="—_Book2_EM_TCC_new_Novatek forecast 280404" xfId="826" xr:uid="{00000000-0005-0000-0000-0000B7000000}"/>
    <cellStyle name="—_Book2_EM_TCC_new_Prosperity REIT_2006Mar27" xfId="827" xr:uid="{00000000-0005-0000-0000-0000B8000000}"/>
    <cellStyle name="—_Book2_EM_TCC_new_Shangri-La under review" xfId="828" xr:uid="{00000000-0005-0000-0000-0000B9000000}"/>
    <cellStyle name="—_Book2_European Mktg - May99" xfId="829" xr:uid="{00000000-0005-0000-0000-0000BA000000}"/>
    <cellStyle name="—_Book2_European Mktg - May99_CKC_Hutch_group structure" xfId="830" xr:uid="{00000000-0005-0000-0000-0000BB000000}"/>
    <cellStyle name="—_Book2_European Mktg - May99_Feb01report" xfId="831" xr:uid="{00000000-0005-0000-0000-0000BC000000}"/>
    <cellStyle name="—_Book2_European Mktg - May99_Feb01report_NAV" xfId="832" xr:uid="{00000000-0005-0000-0000-0000BD000000}"/>
    <cellStyle name="—_Book2_European Mktg - May99_Feb01report_QP_0019.HK" xfId="833" xr:uid="{00000000-0005-0000-0000-0000BE000000}"/>
    <cellStyle name="—_Book2_European Mktg - May99_Feb01report_Swire Model" xfId="834" xr:uid="{00000000-0005-0000-0000-0000BF000000}"/>
    <cellStyle name="—_Book2_European Mktg - May99_Feb01report_SWIRESS" xfId="835" xr:uid="{00000000-0005-0000-0000-0000C0000000}"/>
    <cellStyle name="—_Book2_European Mktg - May99_Hutchison Model" xfId="836" xr:uid="{00000000-0005-0000-0000-0000C1000000}"/>
    <cellStyle name="—_Book2_European Mktg - May99_Hutchison Model 090514" xfId="837" xr:uid="{00000000-0005-0000-0000-0000C2000000}"/>
    <cellStyle name="—_Book2_European Mktg - May99_hutchss" xfId="838" xr:uid="{00000000-0005-0000-0000-0000C3000000}"/>
    <cellStyle name="—_Book2_European Mktg - May99_NAV" xfId="839" xr:uid="{00000000-0005-0000-0000-0000C4000000}"/>
    <cellStyle name="—_Book2_European Mktg - May99_Prop Dev" xfId="840" xr:uid="{00000000-0005-0000-0000-0000C5000000}"/>
    <cellStyle name="—_Book2_Feb01report" xfId="841" xr:uid="{00000000-0005-0000-0000-0000C6000000}"/>
    <cellStyle name="—_Book2_Feb01report_NAV" xfId="842" xr:uid="{00000000-0005-0000-0000-0000C7000000}"/>
    <cellStyle name="—_Book2_Feb01report_QP_0019.HK" xfId="843" xr:uid="{00000000-0005-0000-0000-0000C8000000}"/>
    <cellStyle name="—_Book2_Feb01report_Swire Model" xfId="844" xr:uid="{00000000-0005-0000-0000-0000C9000000}"/>
    <cellStyle name="—_Book2_Feb01report_SWIRESS" xfId="845" xr:uid="{00000000-0005-0000-0000-0000CA000000}"/>
    <cellStyle name="—_Book2_FPACSS" xfId="846" xr:uid="{00000000-0005-0000-0000-0000CB000000}"/>
    <cellStyle name="—_Book2_HSH under review" xfId="847" xr:uid="{00000000-0005-0000-0000-0000CC000000}"/>
    <cellStyle name="—_Book2_Hutchison Model" xfId="848" xr:uid="{00000000-0005-0000-0000-0000CD000000}"/>
    <cellStyle name="—_Book2_Hutchison Model 090514" xfId="849" xr:uid="{00000000-0005-0000-0000-0000CE000000}"/>
    <cellStyle name="—_Book2_hutchss" xfId="850" xr:uid="{00000000-0005-0000-0000-0000CF000000}"/>
    <cellStyle name="—_Book2_IPOmaster" xfId="851" xr:uid="{00000000-0005-0000-0000-0000D0000000}"/>
    <cellStyle name="—_Book2_JMATHSS" xfId="852" xr:uid="{00000000-0005-0000-0000-0000D1000000}"/>
    <cellStyle name="—_Book2_L&amp;Ffin" xfId="853" xr:uid="{00000000-0005-0000-0000-0000D2000000}"/>
    <cellStyle name="—_Book2_MASTER" xfId="854" xr:uid="{00000000-0005-0000-0000-0000D3000000}"/>
    <cellStyle name="—_Book2_NAV" xfId="855" xr:uid="{00000000-0005-0000-0000-0000D4000000}"/>
    <cellStyle name="—_Book2_Novatek forecast" xfId="856" xr:uid="{00000000-0005-0000-0000-0000D5000000}"/>
    <cellStyle name="—_Book2_Novatek forecast 280404" xfId="857" xr:uid="{00000000-0005-0000-0000-0000D6000000}"/>
    <cellStyle name="—_Book2_operating stats comp" xfId="858" xr:uid="{00000000-0005-0000-0000-0000D7000000}"/>
    <cellStyle name="—_Book2_operating stats comp_AUO consolidated 2004_02" xfId="859" xr:uid="{00000000-0005-0000-0000-0000D8000000}"/>
    <cellStyle name="—_Book2_operating stats comp_AUO forecast (GQ)2005_03" xfId="860" xr:uid="{00000000-0005-0000-0000-0000D9000000}"/>
    <cellStyle name="—_Book2_operating stats comp_blank industrial template - new" xfId="861" xr:uid="{00000000-0005-0000-0000-0000DA000000}"/>
    <cellStyle name="—_Book2_operating stats comp_BS" xfId="862" xr:uid="{00000000-0005-0000-0000-0000DB000000}"/>
    <cellStyle name="—_Book2_operating stats comp_Eagle" xfId="863" xr:uid="{00000000-0005-0000-0000-0000DC000000}"/>
    <cellStyle name="—_Book2_operating stats comp_HSH under review" xfId="864" xr:uid="{00000000-0005-0000-0000-0000DD000000}"/>
    <cellStyle name="—_Book2_operating stats comp_Novatek forecast 280404" xfId="865" xr:uid="{00000000-0005-0000-0000-0000DE000000}"/>
    <cellStyle name="—_Book2_operating stats comp_Prosperity REIT_2006Mar27" xfId="866" xr:uid="{00000000-0005-0000-0000-0000DF000000}"/>
    <cellStyle name="—_Book2_operating stats comp_Shangri-La under review" xfId="867" xr:uid="{00000000-0005-0000-0000-0000E0000000}"/>
    <cellStyle name="—_Book2_Prop Dev" xfId="868" xr:uid="{00000000-0005-0000-0000-0000E1000000}"/>
    <cellStyle name="—_Book2_Prosperity REIT_2006Mar27" xfId="869" xr:uid="{00000000-0005-0000-0000-0000E2000000}"/>
    <cellStyle name="—_Book2_Shangri-La under review" xfId="870" xr:uid="{00000000-0005-0000-0000-0000E3000000}"/>
    <cellStyle name="—_Book2_ShunTakSS" xfId="871" xr:uid="{00000000-0005-0000-0000-0000E4000000}"/>
    <cellStyle name="—_Book2_Strategy_data_update" xfId="872" xr:uid="{00000000-0005-0000-0000-0000E5000000}"/>
    <cellStyle name="—_Book2_Strategy_data_update_AUO consolidated 2004_02" xfId="873" xr:uid="{00000000-0005-0000-0000-0000E6000000}"/>
    <cellStyle name="—_Book2_Strategy_data_update_AUO forecast (GQ)2005_03" xfId="874" xr:uid="{00000000-0005-0000-0000-0000E7000000}"/>
    <cellStyle name="—_Book2_Strategy_data_update_blank industrial template - new" xfId="875" xr:uid="{00000000-0005-0000-0000-0000E8000000}"/>
    <cellStyle name="—_Book2_Strategy_data_update_BS" xfId="876" xr:uid="{00000000-0005-0000-0000-0000E9000000}"/>
    <cellStyle name="—_Book2_Strategy_data_update_Eagle" xfId="877" xr:uid="{00000000-0005-0000-0000-0000EA000000}"/>
    <cellStyle name="—_Book2_Strategy_data_update_HSH under review" xfId="878" xr:uid="{00000000-0005-0000-0000-0000EB000000}"/>
    <cellStyle name="—_Book2_Strategy_data_update_Novatek forecast 280404" xfId="879" xr:uid="{00000000-0005-0000-0000-0000EC000000}"/>
    <cellStyle name="—_Book2_Strategy_data_update_Prosperity REIT_2006Mar27" xfId="880" xr:uid="{00000000-0005-0000-0000-0000ED000000}"/>
    <cellStyle name="—_Book2_Strategy_data_update_Shangri-La under review" xfId="881" xr:uid="{00000000-0005-0000-0000-0000EE000000}"/>
    <cellStyle name="—_Book2_SWIRESS" xfId="882" xr:uid="{00000000-0005-0000-0000-0000EF000000}"/>
    <cellStyle name="—_Book2_WHARFSS" xfId="883" xr:uid="{00000000-0005-0000-0000-0000F0000000}"/>
    <cellStyle name="—_Book2_WHARFSS_CKC_Hutch_group structure" xfId="884" xr:uid="{00000000-0005-0000-0000-0000F1000000}"/>
    <cellStyle name="—_Book2_WHARFSS_Hutchison Model" xfId="885" xr:uid="{00000000-0005-0000-0000-0000F2000000}"/>
    <cellStyle name="—_Book2_WHARFSS_Hutchison Model 090514" xfId="886" xr:uid="{00000000-0005-0000-0000-0000F3000000}"/>
    <cellStyle name="—_Book2_WHARFSS_hutchss" xfId="887" xr:uid="{00000000-0005-0000-0000-0000F4000000}"/>
    <cellStyle name="—_Book2_WHARFSS_NAV" xfId="888" xr:uid="{00000000-0005-0000-0000-0000F5000000}"/>
    <cellStyle name="—_Book2_WHARFSS_Prop Dev" xfId="889" xr:uid="{00000000-0005-0000-0000-0000F6000000}"/>
    <cellStyle name="_Book6" xfId="890" xr:uid="{00000000-0005-0000-0000-0000F7000000}"/>
    <cellStyle name="—_Book6" xfId="891" xr:uid="{00000000-0005-0000-0000-0000F8000000}"/>
    <cellStyle name="—_Book7" xfId="892" xr:uid="{00000000-0005-0000-0000-0000F9000000}"/>
    <cellStyle name="—_Book7_blank industrial template - new" xfId="893" xr:uid="{00000000-0005-0000-0000-0000FA000000}"/>
    <cellStyle name="—_Book7_BS" xfId="894" xr:uid="{00000000-0005-0000-0000-0000FB000000}"/>
    <cellStyle name="—_Book7_CK Hutch InvestmentProp Mar 24 2006" xfId="895" xr:uid="{00000000-0005-0000-0000-0000FC000000}"/>
    <cellStyle name="—_Book7_CKC_Hutch_group structure" xfId="896" xr:uid="{00000000-0005-0000-0000-0000FD000000}"/>
    <cellStyle name="—_Book7_Eagle" xfId="897" xr:uid="{00000000-0005-0000-0000-0000FE000000}"/>
    <cellStyle name="—_Book7_HSH under review" xfId="898" xr:uid="{00000000-0005-0000-0000-0000FF000000}"/>
    <cellStyle name="—_Book7_Hutchison Model 090514" xfId="899" xr:uid="{00000000-0005-0000-0000-000000010000}"/>
    <cellStyle name="—_Book7_L&amp;Ffin" xfId="900" xr:uid="{00000000-0005-0000-0000-000001010000}"/>
    <cellStyle name="—_Book7_li&amp;fung model from Mike Warren_050317" xfId="901" xr:uid="{00000000-0005-0000-0000-000002010000}"/>
    <cellStyle name="—_Book7_Prosperity REIT_2006Mar27" xfId="902" xr:uid="{00000000-0005-0000-0000-000003010000}"/>
    <cellStyle name="—_Book7_Shangri-La under review" xfId="903" xr:uid="{00000000-0005-0000-0000-000004010000}"/>
    <cellStyle name="—_Book8" xfId="904" xr:uid="{00000000-0005-0000-0000-000005010000}"/>
    <cellStyle name="—_Book8_CKC_Hutch_group structure" xfId="905" xr:uid="{00000000-0005-0000-0000-000006010000}"/>
    <cellStyle name="—_Book8_Hutchison Model 090514" xfId="906" xr:uid="{00000000-0005-0000-0000-000007010000}"/>
    <cellStyle name="—_BPCL Master external" xfId="907" xr:uid="{00000000-0005-0000-0000-000008010000}"/>
    <cellStyle name="_BS" xfId="908" xr:uid="{00000000-0005-0000-0000-000009010000}"/>
    <cellStyle name="—_BS" xfId="909" xr:uid="{00000000-0005-0000-0000-00000A010000}"/>
    <cellStyle name="—_BS_200869 sz - historical" xfId="910" xr:uid="{00000000-0005-0000-0000-00000B010000}"/>
    <cellStyle name="—_BS_600519.SS" xfId="911" xr:uid="{00000000-0005-0000-0000-00000C010000}"/>
    <cellStyle name="—_BS_Changyu (200869.SZ)_060330" xfId="912" xr:uid="{00000000-0005-0000-0000-00000D010000}"/>
    <cellStyle name="—_BS_China Foods (506.HK)" xfId="913" xr:uid="{00000000-0005-0000-0000-00000E010000}"/>
    <cellStyle name="—_BS_COFCO (506.HK)" xfId="914" xr:uid="{00000000-0005-0000-0000-00000F010000}"/>
    <cellStyle name="—_BS_COFCO (506.HK)_after spinoff" xfId="915" xr:uid="{00000000-0005-0000-0000-000010010000}"/>
    <cellStyle name="—_BS_COFCO NAV - scenario 060117" xfId="916" xr:uid="{00000000-0005-0000-0000-000011010000}"/>
    <cellStyle name="—_BS_COFCO_051010" xfId="917" xr:uid="{00000000-0005-0000-0000-000012010000}"/>
    <cellStyle name="—_BS_COFCO_backup" xfId="918" xr:uid="{00000000-0005-0000-0000-000013010000}"/>
    <cellStyle name="_Champion REIT" xfId="919" xr:uid="{00000000-0005-0000-0000-000014010000}"/>
    <cellStyle name="—_Champion REIT under review" xfId="920" xr:uid="{00000000-0005-0000-0000-000015010000}"/>
    <cellStyle name="_Changyu (200869.SZ)_060330" xfId="921" xr:uid="{00000000-0005-0000-0000-000016010000}"/>
    <cellStyle name="_Changyu (200869.SZ)_060821" xfId="922" xr:uid="{00000000-0005-0000-0000-000017010000}"/>
    <cellStyle name="—_Cheng Shin Model" xfId="923" xr:uid="{00000000-0005-0000-0000-000018010000}"/>
    <cellStyle name="_China Foods (506.HK)" xfId="924" xr:uid="{00000000-0005-0000-0000-000019010000}"/>
    <cellStyle name="—_CHT" xfId="925" xr:uid="{00000000-0005-0000-0000-00001A010000}"/>
    <cellStyle name="—_CHT_blank industrial template - new" xfId="926" xr:uid="{00000000-0005-0000-0000-00001B010000}"/>
    <cellStyle name="—_CHT_BS" xfId="927" xr:uid="{00000000-0005-0000-0000-00001C010000}"/>
    <cellStyle name="—_CHT_Eagle" xfId="928" xr:uid="{00000000-0005-0000-0000-00001D010000}"/>
    <cellStyle name="—_CHT_HSH under review" xfId="929" xr:uid="{00000000-0005-0000-0000-00001E010000}"/>
    <cellStyle name="—_CHT_Prosperity REIT_2006Mar27" xfId="930" xr:uid="{00000000-0005-0000-0000-00001F010000}"/>
    <cellStyle name="—_CHT_Shangri-La under review" xfId="931" xr:uid="{00000000-0005-0000-0000-000020010000}"/>
    <cellStyle name="—_CITICSS" xfId="932" xr:uid="{00000000-0005-0000-0000-000021010000}"/>
    <cellStyle name="—_CITICSS_Mike_original" xfId="933" xr:uid="{00000000-0005-0000-0000-000022010000}"/>
    <cellStyle name="—_CK Hutch InvestmentProp Mar 24 2006" xfId="934" xr:uid="{00000000-0005-0000-0000-000023010000}"/>
    <cellStyle name="—_CKC_Hutch_group structure" xfId="935" xr:uid="{00000000-0005-0000-0000-000024010000}"/>
    <cellStyle name="—_CMHss" xfId="936" xr:uid="{00000000-0005-0000-0000-000025010000}"/>
    <cellStyle name="—_CMHss_Hutchison Model" xfId="937" xr:uid="{00000000-0005-0000-0000-000026010000}"/>
    <cellStyle name="—_CMHss_Hutchison Model 090514" xfId="938" xr:uid="{00000000-0005-0000-0000-000027010000}"/>
    <cellStyle name="—_CMHss_hutchss" xfId="939" xr:uid="{00000000-0005-0000-0000-000028010000}"/>
    <cellStyle name="—_CMHss_NAV" xfId="940" xr:uid="{00000000-0005-0000-0000-000029010000}"/>
    <cellStyle name="_COFCO (506.HK)" xfId="941" xr:uid="{00000000-0005-0000-0000-00002A010000}"/>
    <cellStyle name="_COFCO (506.HK)_600519_with" xfId="942" xr:uid="{00000000-0005-0000-0000-00002B010000}"/>
    <cellStyle name="_COFCO (506.HK)_600519_with_600519.SS" xfId="943" xr:uid="{00000000-0005-0000-0000-00002C010000}"/>
    <cellStyle name="_COFCO (506.HK)_after spinoff" xfId="944" xr:uid="{00000000-0005-0000-0000-00002D010000}"/>
    <cellStyle name="_COFCO NAV - scenario 060117" xfId="945" xr:uid="{00000000-0005-0000-0000-00002E010000}"/>
    <cellStyle name="_COFCO_051010" xfId="946" xr:uid="{00000000-0005-0000-0000-00002F010000}"/>
    <cellStyle name="_COFCO_051010_600519_with" xfId="947" xr:uid="{00000000-0005-0000-0000-000030010000}"/>
    <cellStyle name="_COFCO_051010_600519_with_600519.SS" xfId="948" xr:uid="{00000000-0005-0000-0000-000031010000}"/>
    <cellStyle name="_COFCO_051010_Interim comparisons" xfId="949" xr:uid="{00000000-0005-0000-0000-000032010000}"/>
    <cellStyle name="_COFCO_backup" xfId="950" xr:uid="{00000000-0005-0000-0000-000033010000}"/>
    <cellStyle name="_COFCO_backup_600519_with" xfId="951" xr:uid="{00000000-0005-0000-0000-000034010000}"/>
    <cellStyle name="_COFCO_backup_600519_with_600519.SS" xfId="952" xr:uid="{00000000-0005-0000-0000-000035010000}"/>
    <cellStyle name="_Comma" xfId="317" xr:uid="{00000000-0005-0000-0000-000036010000}"/>
    <cellStyle name="_Comma_(GS) China Pharmaceutical Group model" xfId="953" xr:uid="{00000000-0005-0000-0000-000037010000}"/>
    <cellStyle name="_Comma_(GS) Global Bio-chem model" xfId="954" xr:uid="{00000000-0005-0000-0000-000038010000}"/>
    <cellStyle name="_Comma_01 adj for merger plan" xfId="318" xr:uid="{00000000-0005-0000-0000-000039010000}"/>
    <cellStyle name="_Comma_Ability to Pay Analysis" xfId="319" xr:uid="{00000000-0005-0000-0000-00003A010000}"/>
    <cellStyle name="_Comma_AFL" xfId="320" xr:uid="{00000000-0005-0000-0000-00003B010000}"/>
    <cellStyle name="_Comma_AIZ" xfId="321" xr:uid="{00000000-0005-0000-0000-00003C010000}"/>
    <cellStyle name="_Comma_AIZ04-Quantum2" xfId="322" xr:uid="{00000000-0005-0000-0000-00003D010000}"/>
    <cellStyle name="_Comma_AMP" xfId="323" xr:uid="{00000000-0005-0000-0000-00003E010000}"/>
    <cellStyle name="_Comma_Base" xfId="955" xr:uid="{00000000-0005-0000-0000-00003F010000}"/>
    <cellStyle name="_Comma_BigSix Tables" xfId="956" xr:uid="{00000000-0005-0000-0000-000040010000}"/>
    <cellStyle name="_Comma_Book1" xfId="324" xr:uid="{00000000-0005-0000-0000-000041010000}"/>
    <cellStyle name="_Comma_Book3" xfId="325" xr:uid="{00000000-0005-0000-0000-000042010000}"/>
    <cellStyle name="_Comma_BS" xfId="957" xr:uid="{00000000-0005-0000-0000-000043010000}"/>
    <cellStyle name="_Comma_CK Hutch InvestmentProp Mar 24 2006" xfId="958" xr:uid="{00000000-0005-0000-0000-000044010000}"/>
    <cellStyle name="_Comma_CNO" xfId="326" xr:uid="{00000000-0005-0000-0000-000045010000}"/>
    <cellStyle name="_Comma_CNO04" xfId="327" xr:uid="{00000000-0005-0000-0000-000046010000}"/>
    <cellStyle name="_Comma_DCF Alexander Forbes" xfId="328" xr:uid="{00000000-0005-0000-0000-000047010000}"/>
    <cellStyle name="_Comma_FHRmodel" xfId="959" xr:uid="{00000000-0005-0000-0000-000048010000}"/>
    <cellStyle name="_Comma_fmbi counties" xfId="329" xr:uid="{00000000-0005-0000-0000-000049010000}"/>
    <cellStyle name="_Comma_FMBI MBHI Graphs" xfId="330" xr:uid="{00000000-0005-0000-0000-00004A010000}"/>
    <cellStyle name="_Comma_FMBI MBHI Graphs 07102001" xfId="331" xr:uid="{00000000-0005-0000-0000-00004B010000}"/>
    <cellStyle name="_Comma_FMBI MBHI Graphs_7601" xfId="332" xr:uid="{00000000-0005-0000-0000-00004C010000}"/>
    <cellStyle name="_Comma_genworth model" xfId="333" xr:uid="{00000000-0005-0000-0000-00004D010000}"/>
    <cellStyle name="_Comma_Hutchison Model 090514" xfId="960" xr:uid="{00000000-0005-0000-0000-00004E010000}"/>
    <cellStyle name="_Comma_HWLaug2000" xfId="961" xr:uid="{00000000-0005-0000-0000-00004F010000}"/>
    <cellStyle name="_Comma_Insurance Brokerage CSC_1Q2002" xfId="334" xr:uid="{00000000-0005-0000-0000-000050010000}"/>
    <cellStyle name="_Comma_JP_LNC_spread_monitor (2)" xfId="335" xr:uid="{00000000-0005-0000-0000-000051010000}"/>
    <cellStyle name="_Comma_L&amp;Ffin" xfId="962" xr:uid="{00000000-0005-0000-0000-000052010000}"/>
    <cellStyle name="_Comma_NFP" xfId="336" xr:uid="{00000000-0005-0000-0000-000053010000}"/>
    <cellStyle name="_Comma_NFS" xfId="337" xr:uid="{00000000-0005-0000-0000-000054010000}"/>
    <cellStyle name="_Comma_Novatek forecast" xfId="963" xr:uid="{00000000-0005-0000-0000-000055010000}"/>
    <cellStyle name="_Comma_Overview3" xfId="338" xr:uid="{00000000-0005-0000-0000-000056010000}"/>
    <cellStyle name="_Comma_phil data" xfId="339" xr:uid="{00000000-0005-0000-0000-000057010000}"/>
    <cellStyle name="_Comma_Price Performance Charts" xfId="340" xr:uid="{00000000-0005-0000-0000-000058010000}"/>
    <cellStyle name="_Comma_Quarterly Review by Company" xfId="341" xr:uid="{00000000-0005-0000-0000-000059010000}"/>
    <cellStyle name="_Comma_SFG Data File" xfId="342" xr:uid="{00000000-0005-0000-0000-00005A010000}"/>
    <cellStyle name="_Comma_Sheet1" xfId="343" xr:uid="{00000000-0005-0000-0000-00005B010000}"/>
    <cellStyle name="_Comma_Stock-QTR1 FDS" xfId="344" xr:uid="{00000000-0005-0000-0000-00005C010000}"/>
    <cellStyle name="_Comma_Updated Valuation Changes" xfId="345" xr:uid="{00000000-0005-0000-0000-00005D010000}"/>
    <cellStyle name="_Comma_Valuation Graphs" xfId="346" xr:uid="{00000000-0005-0000-0000-00005E010000}"/>
    <cellStyle name="_Comma_xratio - historical mkt val" xfId="347" xr:uid="{00000000-0005-0000-0000-00005F010000}"/>
    <cellStyle name="_Copy of Template_Request_Form (2)" xfId="964" xr:uid="{00000000-0005-0000-0000-000060010000}"/>
    <cellStyle name="_Copy of Template_Request_Form (2)_Model in HK$" xfId="965" xr:uid="{00000000-0005-0000-0000-000061010000}"/>
    <cellStyle name="_Copy of Template_Request_Form (2)_Uni-President Feb 10" xfId="966" xr:uid="{00000000-0005-0000-0000-000062010000}"/>
    <cellStyle name="_Copy of Template_Request_Form (2)_UP Model_Final_by" xfId="967" xr:uid="{00000000-0005-0000-0000-000063010000}"/>
    <cellStyle name="—_Cost of capital" xfId="968" xr:uid="{00000000-0005-0000-0000-000064010000}"/>
    <cellStyle name="_CRE Retail earnings" xfId="969" xr:uid="{00000000-0005-0000-0000-000065010000}"/>
    <cellStyle name="_Currency" xfId="348" xr:uid="{00000000-0005-0000-0000-000066010000}"/>
    <cellStyle name="_Currency_(GS) China Pharmaceutical Group model" xfId="970" xr:uid="{00000000-0005-0000-0000-000067010000}"/>
    <cellStyle name="_Currency_(GS) China Pharmaceutical Group model_Want-Want" xfId="971" xr:uid="{00000000-0005-0000-0000-000068010000}"/>
    <cellStyle name="_Currency_(GS) Global Bio-chem model" xfId="972" xr:uid="{00000000-0005-0000-0000-000069010000}"/>
    <cellStyle name="_Currency_(GS) Global Bio-chem model_Want-Want" xfId="973" xr:uid="{00000000-0005-0000-0000-00006A010000}"/>
    <cellStyle name="_Currency_01 adj for merger plan" xfId="349" xr:uid="{00000000-0005-0000-0000-00006B010000}"/>
    <cellStyle name="_Currency_Ability to Pay Analysis" xfId="350" xr:uid="{00000000-0005-0000-0000-00006C010000}"/>
    <cellStyle name="_Currency_AFL" xfId="351" xr:uid="{00000000-0005-0000-0000-00006D010000}"/>
    <cellStyle name="_Currency_AIZ" xfId="352" xr:uid="{00000000-0005-0000-0000-00006E010000}"/>
    <cellStyle name="_Currency_AMP" xfId="353" xr:uid="{00000000-0005-0000-0000-00006F010000}"/>
    <cellStyle name="_Currency_Balance Sheet" xfId="354" xr:uid="{00000000-0005-0000-0000-000070010000}"/>
    <cellStyle name="_Currency_Base" xfId="974" xr:uid="{00000000-0005-0000-0000-000071010000}"/>
    <cellStyle name="_Currency_BigSix Tables" xfId="975" xr:uid="{00000000-0005-0000-0000-000072010000}"/>
    <cellStyle name="_Currency_Book1" xfId="355" xr:uid="{00000000-0005-0000-0000-000073010000}"/>
    <cellStyle name="_Currency_Book1_Jazztel model 16DP3-Exhibits" xfId="976" xr:uid="{00000000-0005-0000-0000-000074010000}"/>
    <cellStyle name="_Currency_Book1_Jazztel model 16DP3-Exhibits_T_MOBIL2" xfId="977" xr:uid="{00000000-0005-0000-0000-000075010000}"/>
    <cellStyle name="_Currency_Book1_Jazztel model 18DP-exhibits" xfId="978" xr:uid="{00000000-0005-0000-0000-000076010000}"/>
    <cellStyle name="_Currency_Book1_Want-Want" xfId="979" xr:uid="{00000000-0005-0000-0000-000077010000}"/>
    <cellStyle name="_Currency_Book1_Want-Want_FY07" xfId="980" xr:uid="{00000000-0005-0000-0000-000078010000}"/>
    <cellStyle name="_Currency_Book2" xfId="981" xr:uid="{00000000-0005-0000-0000-000079010000}"/>
    <cellStyle name="_Currency_Book2_Jazztel model 16DP3-Exhibits" xfId="982" xr:uid="{00000000-0005-0000-0000-00007A010000}"/>
    <cellStyle name="_Currency_Book2_Jazztel model 16DP3-Exhibits_T_MOBIL2" xfId="983" xr:uid="{00000000-0005-0000-0000-00007B010000}"/>
    <cellStyle name="_Currency_Book2_Jazztel model 18DP-exhibits" xfId="984" xr:uid="{00000000-0005-0000-0000-00007C010000}"/>
    <cellStyle name="_Currency_Book2_Want-Want" xfId="985" xr:uid="{00000000-0005-0000-0000-00007D010000}"/>
    <cellStyle name="_Currency_Book2_Want-Want_FY07" xfId="986" xr:uid="{00000000-0005-0000-0000-00007E010000}"/>
    <cellStyle name="_Currency_Book29" xfId="356" xr:uid="{00000000-0005-0000-0000-00007F010000}"/>
    <cellStyle name="_Currency_Book3" xfId="357" xr:uid="{00000000-0005-0000-0000-000080010000}"/>
    <cellStyle name="_Currency_Book3_1" xfId="358" xr:uid="{00000000-0005-0000-0000-000081010000}"/>
    <cellStyle name="_Currency_BS" xfId="987" xr:uid="{00000000-0005-0000-0000-000082010000}"/>
    <cellStyle name="_Currency_CB" xfId="988" xr:uid="{00000000-0005-0000-0000-000083010000}"/>
    <cellStyle name="_Currency_CB_Want-Want" xfId="989" xr:uid="{00000000-0005-0000-0000-000084010000}"/>
    <cellStyle name="_Currency_CK Hutch InvestmentProp Mar 24 2006" xfId="990" xr:uid="{00000000-0005-0000-0000-000085010000}"/>
    <cellStyle name="_Currency_CNO" xfId="359" xr:uid="{00000000-0005-0000-0000-000086010000}"/>
    <cellStyle name="_Currency_CSC_excersize" xfId="991" xr:uid="{00000000-0005-0000-0000-000087010000}"/>
    <cellStyle name="_Currency_DCF Alexander Forbes" xfId="360" xr:uid="{00000000-0005-0000-0000-000088010000}"/>
    <cellStyle name="_Currency_FHRmodel" xfId="992" xr:uid="{00000000-0005-0000-0000-000089010000}"/>
    <cellStyle name="_Currency_fmbi counties" xfId="361" xr:uid="{00000000-0005-0000-0000-00008A010000}"/>
    <cellStyle name="_Currency_FMBI MBHI Graphs" xfId="362" xr:uid="{00000000-0005-0000-0000-00008B010000}"/>
    <cellStyle name="_Currency_FMBI MBHI Graphs 07102001" xfId="363" xr:uid="{00000000-0005-0000-0000-00008C010000}"/>
    <cellStyle name="_Currency_FMBI MBHI Graphs_7601" xfId="364" xr:uid="{00000000-0005-0000-0000-00008D010000}"/>
    <cellStyle name="_Currency_GNW" xfId="365" xr:uid="{00000000-0005-0000-0000-00008E010000}"/>
    <cellStyle name="_Currency_Hutchison Model 090514" xfId="993" xr:uid="{00000000-0005-0000-0000-00008F010000}"/>
    <cellStyle name="_Currency_HWLaug2000" xfId="994" xr:uid="{00000000-0005-0000-0000-000090010000}"/>
    <cellStyle name="_Currency_Insurance Brokerage CSC_1Q2002" xfId="366" xr:uid="{00000000-0005-0000-0000-000091010000}"/>
    <cellStyle name="_Currency_IPOmaster" xfId="995" xr:uid="{00000000-0005-0000-0000-000092010000}"/>
    <cellStyle name="_Currency_Jazztel model 15-exhibits" xfId="996" xr:uid="{00000000-0005-0000-0000-000093010000}"/>
    <cellStyle name="_Currency_Jazztel model 15-exhibits bis" xfId="997" xr:uid="{00000000-0005-0000-0000-000094010000}"/>
    <cellStyle name="_Currency_Jazztel model 15-exhibits bis_T_MOBIL2" xfId="998" xr:uid="{00000000-0005-0000-0000-000095010000}"/>
    <cellStyle name="_Currency_Jazztel model 15-exhibits_Jazztel model 16DP3-Exhibits" xfId="999" xr:uid="{00000000-0005-0000-0000-000096010000}"/>
    <cellStyle name="_Currency_Jazztel model 15-exhibits_Jazztel model 16DP3-Exhibits_T_MOBIL2" xfId="1000" xr:uid="{00000000-0005-0000-0000-000097010000}"/>
    <cellStyle name="_Currency_Jazztel model 15-exhibits_Jazztel model 18DP-exhibits" xfId="1001" xr:uid="{00000000-0005-0000-0000-000098010000}"/>
    <cellStyle name="_Currency_Jazztel model 15-exhibits_Want-Want" xfId="1002" xr:uid="{00000000-0005-0000-0000-000099010000}"/>
    <cellStyle name="_Currency_Jazztel model 15-exhibits_Want-Want_FY07" xfId="1003" xr:uid="{00000000-0005-0000-0000-00009A010000}"/>
    <cellStyle name="_Currency_Jazztel model 15-exhibits-Friso2" xfId="1004" xr:uid="{00000000-0005-0000-0000-00009B010000}"/>
    <cellStyle name="_Currency_Jazztel model 15-exhibits-Friso2_Jazztel model 16DP3-Exhibits" xfId="1005" xr:uid="{00000000-0005-0000-0000-00009C010000}"/>
    <cellStyle name="_Currency_Jazztel model 15-exhibits-Friso2_Jazztel model 16DP3-Exhibits_T_MOBIL2" xfId="1006" xr:uid="{00000000-0005-0000-0000-00009D010000}"/>
    <cellStyle name="_Currency_Jazztel model 15-exhibits-Friso2_Jazztel model 18DP-exhibits" xfId="1007" xr:uid="{00000000-0005-0000-0000-00009E010000}"/>
    <cellStyle name="_Currency_Jazztel model 15-exhibits-Friso2_Want-Want" xfId="1008" xr:uid="{00000000-0005-0000-0000-00009F010000}"/>
    <cellStyle name="_Currency_Jazztel model 15-exhibits-Friso2_Want-Want_FY07" xfId="1009" xr:uid="{00000000-0005-0000-0000-0000A0010000}"/>
    <cellStyle name="_Currency_JP" xfId="367" xr:uid="{00000000-0005-0000-0000-0000A1010000}"/>
    <cellStyle name="_Currency_L&amp;Ffin" xfId="1010" xr:uid="{00000000-0005-0000-0000-0000A2010000}"/>
    <cellStyle name="_Currency_LNC" xfId="368" xr:uid="{00000000-0005-0000-0000-0000A3010000}"/>
    <cellStyle name="_Currency_MET" xfId="369" xr:uid="{00000000-0005-0000-0000-0000A4010000}"/>
    <cellStyle name="_Currency_MET04" xfId="370" xr:uid="{00000000-0005-0000-0000-0000A5010000}"/>
    <cellStyle name="_Currency_NFS" xfId="371" xr:uid="{00000000-0005-0000-0000-0000A6010000}"/>
    <cellStyle name="_Currency_Novatek forecast" xfId="1011" xr:uid="{00000000-0005-0000-0000-0000A7010000}"/>
    <cellStyle name="_Currency_Overseas" xfId="1012" xr:uid="{00000000-0005-0000-0000-0000A8010000}"/>
    <cellStyle name="_Currency_Overview3" xfId="372" xr:uid="{00000000-0005-0000-0000-0000A9010000}"/>
    <cellStyle name="_Currency_phil data" xfId="373" xr:uid="{00000000-0005-0000-0000-0000AA010000}"/>
    <cellStyle name="_Currency_Price Performance Charts" xfId="374" xr:uid="{00000000-0005-0000-0000-0000AB010000}"/>
    <cellStyle name="_Currency_PRU" xfId="375" xr:uid="{00000000-0005-0000-0000-0000AC010000}"/>
    <cellStyle name="_Currency_PRU04" xfId="376" xr:uid="{00000000-0005-0000-0000-0000AD010000}"/>
    <cellStyle name="_Currency_RiskReward" xfId="377" xr:uid="{00000000-0005-0000-0000-0000AE010000}"/>
    <cellStyle name="_Currency_SFG" xfId="378" xr:uid="{00000000-0005-0000-0000-0000AF010000}"/>
    <cellStyle name="_Currency_Sheet1" xfId="379" xr:uid="{00000000-0005-0000-0000-0000B0010000}"/>
    <cellStyle name="_Currency_Stock-QTR1 FDS" xfId="380" xr:uid="{00000000-0005-0000-0000-0000B1010000}"/>
    <cellStyle name="_Currency_THE TELECOM SERVICES CSC (3Q99)_AP2K_SU" xfId="1013" xr:uid="{00000000-0005-0000-0000-0000B2010000}"/>
    <cellStyle name="_Currency_THE TELECOM SERVICES CSC (3Q99)_AP2K_SU_Want-Want" xfId="1014" xr:uid="{00000000-0005-0000-0000-0000B3010000}"/>
    <cellStyle name="_Currency_TMK" xfId="381" xr:uid="{00000000-0005-0000-0000-0000B4010000}"/>
    <cellStyle name="_Currency_Updated Valuation Changes" xfId="382" xr:uid="{00000000-0005-0000-0000-0000B5010000}"/>
    <cellStyle name="_Currency_Valuation Graphs" xfId="383" xr:uid="{00000000-0005-0000-0000-0000B6010000}"/>
    <cellStyle name="_Currency_Want-Want" xfId="1015" xr:uid="{00000000-0005-0000-0000-0000B7010000}"/>
    <cellStyle name="_Currency_WHARFSS" xfId="1016" xr:uid="{00000000-0005-0000-0000-0000B8010000}"/>
    <cellStyle name="_Currency_xratio - historical mkt val" xfId="384" xr:uid="{00000000-0005-0000-0000-0000B9010000}"/>
    <cellStyle name="_CurrencySpace" xfId="385" xr:uid="{00000000-0005-0000-0000-0000BA010000}"/>
    <cellStyle name="_CurrencySpace_(GS) China Pharmaceutical Group model" xfId="1017" xr:uid="{00000000-0005-0000-0000-0000BB010000}"/>
    <cellStyle name="_CurrencySpace_(GS) Global Bio-chem model" xfId="1018" xr:uid="{00000000-0005-0000-0000-0000BC010000}"/>
    <cellStyle name="_CurrencySpace_01 adj for merger plan" xfId="386" xr:uid="{00000000-0005-0000-0000-0000BD010000}"/>
    <cellStyle name="_CurrencySpace_Ability to Pay Analysis" xfId="387" xr:uid="{00000000-0005-0000-0000-0000BE010000}"/>
    <cellStyle name="_CurrencySpace_AFL" xfId="388" xr:uid="{00000000-0005-0000-0000-0000BF010000}"/>
    <cellStyle name="_CurrencySpace_AIZ" xfId="389" xr:uid="{00000000-0005-0000-0000-0000C0010000}"/>
    <cellStyle name="_CurrencySpace_AMP" xfId="390" xr:uid="{00000000-0005-0000-0000-0000C1010000}"/>
    <cellStyle name="_CurrencySpace_Balance Sheet" xfId="391" xr:uid="{00000000-0005-0000-0000-0000C2010000}"/>
    <cellStyle name="_CurrencySpace_Base" xfId="1019" xr:uid="{00000000-0005-0000-0000-0000C3010000}"/>
    <cellStyle name="_CurrencySpace_Book1" xfId="392" xr:uid="{00000000-0005-0000-0000-0000C4010000}"/>
    <cellStyle name="_CurrencySpace_Book29" xfId="393" xr:uid="{00000000-0005-0000-0000-0000C5010000}"/>
    <cellStyle name="_CurrencySpace_Book3" xfId="394" xr:uid="{00000000-0005-0000-0000-0000C6010000}"/>
    <cellStyle name="_CurrencySpace_Book3_1" xfId="395" xr:uid="{00000000-0005-0000-0000-0000C7010000}"/>
    <cellStyle name="_CurrencySpace_BS" xfId="1020" xr:uid="{00000000-0005-0000-0000-0000C8010000}"/>
    <cellStyle name="_CurrencySpace_CB" xfId="1021" xr:uid="{00000000-0005-0000-0000-0000C9010000}"/>
    <cellStyle name="_CurrencySpace_CK Hutch InvestmentProp Mar 24 2006" xfId="1022" xr:uid="{00000000-0005-0000-0000-0000CA010000}"/>
    <cellStyle name="_CurrencySpace_CNO" xfId="396" xr:uid="{00000000-0005-0000-0000-0000CB010000}"/>
    <cellStyle name="_CurrencySpace_DCF Alexander Forbes" xfId="397" xr:uid="{00000000-0005-0000-0000-0000CC010000}"/>
    <cellStyle name="_CurrencySpace_FHRmodel" xfId="1023" xr:uid="{00000000-0005-0000-0000-0000CD010000}"/>
    <cellStyle name="_CurrencySpace_fmbi counties" xfId="398" xr:uid="{00000000-0005-0000-0000-0000CE010000}"/>
    <cellStyle name="_CurrencySpace_FMBI MBHI Graphs" xfId="399" xr:uid="{00000000-0005-0000-0000-0000CF010000}"/>
    <cellStyle name="_CurrencySpace_FMBI MBHI Graphs 07102001" xfId="400" xr:uid="{00000000-0005-0000-0000-0000D0010000}"/>
    <cellStyle name="_CurrencySpace_FMBI MBHI Graphs_7601" xfId="401" xr:uid="{00000000-0005-0000-0000-0000D1010000}"/>
    <cellStyle name="_CurrencySpace_GNW" xfId="402" xr:uid="{00000000-0005-0000-0000-0000D2010000}"/>
    <cellStyle name="_CurrencySpace_Hutchison Model 090514" xfId="1024" xr:uid="{00000000-0005-0000-0000-0000D3010000}"/>
    <cellStyle name="_CurrencySpace_Insurance Brokerage CSC_1Q2002" xfId="403" xr:uid="{00000000-0005-0000-0000-0000D4010000}"/>
    <cellStyle name="_CurrencySpace_JP" xfId="404" xr:uid="{00000000-0005-0000-0000-0000D5010000}"/>
    <cellStyle name="_CurrencySpace_L&amp;Ffin" xfId="1025" xr:uid="{00000000-0005-0000-0000-0000D6010000}"/>
    <cellStyle name="_CurrencySpace_LNC" xfId="405" xr:uid="{00000000-0005-0000-0000-0000D7010000}"/>
    <cellStyle name="_CurrencySpace_MET" xfId="406" xr:uid="{00000000-0005-0000-0000-0000D8010000}"/>
    <cellStyle name="_CurrencySpace_MET04" xfId="407" xr:uid="{00000000-0005-0000-0000-0000D9010000}"/>
    <cellStyle name="_CurrencySpace_NFS" xfId="408" xr:uid="{00000000-0005-0000-0000-0000DA010000}"/>
    <cellStyle name="_CurrencySpace_Novatek forecast" xfId="1026" xr:uid="{00000000-0005-0000-0000-0000DB010000}"/>
    <cellStyle name="_CurrencySpace_Overview3" xfId="409" xr:uid="{00000000-0005-0000-0000-0000DC010000}"/>
    <cellStyle name="_CurrencySpace_phil data" xfId="410" xr:uid="{00000000-0005-0000-0000-0000DD010000}"/>
    <cellStyle name="_CurrencySpace_Price Performance Charts" xfId="411" xr:uid="{00000000-0005-0000-0000-0000DE010000}"/>
    <cellStyle name="_CurrencySpace_PRU" xfId="412" xr:uid="{00000000-0005-0000-0000-0000DF010000}"/>
    <cellStyle name="_CurrencySpace_PRU04" xfId="413" xr:uid="{00000000-0005-0000-0000-0000E0010000}"/>
    <cellStyle name="_CurrencySpace_RiskReward" xfId="414" xr:uid="{00000000-0005-0000-0000-0000E1010000}"/>
    <cellStyle name="_CurrencySpace_SFG" xfId="415" xr:uid="{00000000-0005-0000-0000-0000E2010000}"/>
    <cellStyle name="_CurrencySpace_Sheet1" xfId="416" xr:uid="{00000000-0005-0000-0000-0000E3010000}"/>
    <cellStyle name="_CurrencySpace_Stock-QTR1 FDS" xfId="417" xr:uid="{00000000-0005-0000-0000-0000E4010000}"/>
    <cellStyle name="_CurrencySpace_TMK" xfId="418" xr:uid="{00000000-0005-0000-0000-0000E5010000}"/>
    <cellStyle name="_CurrencySpace_Updated Valuation Changes" xfId="419" xr:uid="{00000000-0005-0000-0000-0000E6010000}"/>
    <cellStyle name="_CurrencySpace_Valuation Graphs" xfId="420" xr:uid="{00000000-0005-0000-0000-0000E7010000}"/>
    <cellStyle name="_CurrencySpace_xratio - historical mkt val" xfId="421" xr:uid="{00000000-0005-0000-0000-0000E8010000}"/>
    <cellStyle name="_Dollar" xfId="422" xr:uid="{00000000-0005-0000-0000-0000E9010000}"/>
    <cellStyle name="_Dollar_Jazztel model 16DP3-Exhibits" xfId="1027" xr:uid="{00000000-0005-0000-0000-0000EA010000}"/>
    <cellStyle name="_Dollar_Jazztel model 18DP-exhibits" xfId="1028" xr:uid="{00000000-0005-0000-0000-0000EB010000}"/>
    <cellStyle name="_Dollar_Jazztel model 18DP-exhibits_T_MOBIL2" xfId="1029" xr:uid="{00000000-0005-0000-0000-0000EC010000}"/>
    <cellStyle name="_Dollar_Want-Want" xfId="1030" xr:uid="{00000000-0005-0000-0000-0000ED010000}"/>
    <cellStyle name="_Dollar_Want-Want_FY07" xfId="1031" xr:uid="{00000000-0005-0000-0000-0000EE010000}"/>
    <cellStyle name="_DSL" xfId="1032" xr:uid="{00000000-0005-0000-0000-0000EF010000}"/>
    <cellStyle name="_Dynasty (828.HK)" xfId="1033" xr:uid="{00000000-0005-0000-0000-0000F0010000}"/>
    <cellStyle name="_Dynasty (828.HK)_600519_with" xfId="1034" xr:uid="{00000000-0005-0000-0000-0000F1010000}"/>
    <cellStyle name="_Dynasty (828.HK)_600519_with_600519.SS" xfId="1035" xr:uid="{00000000-0005-0000-0000-0000F2010000}"/>
    <cellStyle name="_Eagle" xfId="1036" xr:uid="{00000000-0005-0000-0000-0000F3010000}"/>
    <cellStyle name="—_Eagle" xfId="1037" xr:uid="{00000000-0005-0000-0000-0000F4010000}"/>
    <cellStyle name="—_earnings" xfId="1038" xr:uid="{00000000-0005-0000-0000-0000F5010000}"/>
    <cellStyle name="—_earnings_blank industrial template - new" xfId="1039" xr:uid="{00000000-0005-0000-0000-0000F6010000}"/>
    <cellStyle name="—_earnings_BS" xfId="1040" xr:uid="{00000000-0005-0000-0000-0000F7010000}"/>
    <cellStyle name="—_earnings_Eagle" xfId="1041" xr:uid="{00000000-0005-0000-0000-0000F8010000}"/>
    <cellStyle name="—_earnings_HSH under review" xfId="1042" xr:uid="{00000000-0005-0000-0000-0000F9010000}"/>
    <cellStyle name="—_earnings_Prosperity REIT_2006Mar27" xfId="1043" xr:uid="{00000000-0005-0000-0000-0000FA010000}"/>
    <cellStyle name="—_earnings_Shangri-La under review" xfId="1044" xr:uid="{00000000-0005-0000-0000-0000FB010000}"/>
    <cellStyle name="_Eastern by country" xfId="1045" xr:uid="{00000000-0005-0000-0000-0000FC010000}"/>
    <cellStyle name="—_EM_ChinaTelecom" xfId="1046" xr:uid="{00000000-0005-0000-0000-0000FD010000}"/>
    <cellStyle name="—_EM_CMHK" xfId="1047" xr:uid="{00000000-0005-0000-0000-0000FE010000}"/>
    <cellStyle name="—_EM_CMHK_consolidated" xfId="1048" xr:uid="{00000000-0005-0000-0000-0000FF010000}"/>
    <cellStyle name="—_EM_CMHKconsolidatednew_WIP.xls Chart 1" xfId="1049" xr:uid="{00000000-0005-0000-0000-000000020000}"/>
    <cellStyle name="—_EM_CMHKconsolidatednew_WIP.xls Chart 1_blank industrial template - new" xfId="1050" xr:uid="{00000000-0005-0000-0000-000001020000}"/>
    <cellStyle name="—_EM_CMHKconsolidatednew_WIP.xls Chart 1_BS" xfId="1051" xr:uid="{00000000-0005-0000-0000-000002020000}"/>
    <cellStyle name="—_EM_CMHKconsolidatednew_WIP.xls Chart 1_Eagle" xfId="1052" xr:uid="{00000000-0005-0000-0000-000003020000}"/>
    <cellStyle name="—_EM_CMHKconsolidatednew_WIP.xls Chart 1_HSH under review" xfId="1053" xr:uid="{00000000-0005-0000-0000-000004020000}"/>
    <cellStyle name="—_EM_CMHKconsolidatednew_WIP.xls Chart 1_Prosperity REIT_2006Mar27" xfId="1054" xr:uid="{00000000-0005-0000-0000-000005020000}"/>
    <cellStyle name="—_EM_CMHKconsolidatednew_WIP.xls Chart 1_Shangri-La under review" xfId="1055" xr:uid="{00000000-0005-0000-0000-000006020000}"/>
    <cellStyle name="—_EM_CMHKnew" xfId="1056" xr:uid="{00000000-0005-0000-0000-000007020000}"/>
    <cellStyle name="—_EM_CU" xfId="1057" xr:uid="{00000000-0005-0000-0000-000008020000}"/>
    <cellStyle name="—_EM_FETone" xfId="1058" xr:uid="{00000000-0005-0000-0000-000009020000}"/>
    <cellStyle name="—_EM_FETone_AUO consolidated 2004_02" xfId="1059" xr:uid="{00000000-0005-0000-0000-00000A020000}"/>
    <cellStyle name="—_EM_FETone_AUO forecast (GQ)2005_03" xfId="1060" xr:uid="{00000000-0005-0000-0000-00000B020000}"/>
    <cellStyle name="—_EM_FETone_blank industrial template - new" xfId="1061" xr:uid="{00000000-0005-0000-0000-00000C020000}"/>
    <cellStyle name="—_EM_FETone_BS" xfId="1062" xr:uid="{00000000-0005-0000-0000-00000D020000}"/>
    <cellStyle name="—_EM_FETone_Eagle" xfId="1063" xr:uid="{00000000-0005-0000-0000-00000E020000}"/>
    <cellStyle name="—_EM_FETone_HSH under review" xfId="1064" xr:uid="{00000000-0005-0000-0000-00000F020000}"/>
    <cellStyle name="—_EM_FETone_new" xfId="1065" xr:uid="{00000000-0005-0000-0000-000010020000}"/>
    <cellStyle name="—_EM_FETone_new_AUO consolidated 2004_02" xfId="1066" xr:uid="{00000000-0005-0000-0000-000011020000}"/>
    <cellStyle name="—_EM_FETone_new_AUO forecast (GQ)2005_03" xfId="1067" xr:uid="{00000000-0005-0000-0000-000012020000}"/>
    <cellStyle name="—_EM_FETone_new_blank industrial template - new" xfId="1068" xr:uid="{00000000-0005-0000-0000-000013020000}"/>
    <cellStyle name="—_EM_FETone_new_BS" xfId="1069" xr:uid="{00000000-0005-0000-0000-000014020000}"/>
    <cellStyle name="—_EM_FETone_new_Eagle" xfId="1070" xr:uid="{00000000-0005-0000-0000-000015020000}"/>
    <cellStyle name="—_EM_FETone_new_HSH under review" xfId="1071" xr:uid="{00000000-0005-0000-0000-000016020000}"/>
    <cellStyle name="—_EM_FETone_new_Novatek forecast 280404" xfId="1072" xr:uid="{00000000-0005-0000-0000-000017020000}"/>
    <cellStyle name="—_EM_FETone_new_Prosperity REIT_2006Mar27" xfId="1073" xr:uid="{00000000-0005-0000-0000-000018020000}"/>
    <cellStyle name="—_EM_FETone_new_Shangri-La under review" xfId="1074" xr:uid="{00000000-0005-0000-0000-000019020000}"/>
    <cellStyle name="—_EM_FETone_Novatek forecast 280404" xfId="1075" xr:uid="{00000000-0005-0000-0000-00001A020000}"/>
    <cellStyle name="—_EM_FETone_Prosperity REIT_2006Mar27" xfId="1076" xr:uid="{00000000-0005-0000-0000-00001B020000}"/>
    <cellStyle name="—_EM_FETone_Shangri-La under review" xfId="1077" xr:uid="{00000000-0005-0000-0000-00001C020000}"/>
    <cellStyle name="—_EM_NZT" xfId="1078" xr:uid="{00000000-0005-0000-0000-00001D020000}"/>
    <cellStyle name="—_EM_NZT_BS" xfId="1079" xr:uid="{00000000-0005-0000-0000-00001E020000}"/>
    <cellStyle name="—_EM_NZT_BS_200869 sz - historical" xfId="1080" xr:uid="{00000000-0005-0000-0000-00001F020000}"/>
    <cellStyle name="—_EM_NZT_BS_600519.SS" xfId="1081" xr:uid="{00000000-0005-0000-0000-000020020000}"/>
    <cellStyle name="—_EM_NZT_BS_Changyu (200869.SZ)_060330" xfId="1082" xr:uid="{00000000-0005-0000-0000-000021020000}"/>
    <cellStyle name="—_EM_NZT_BS_China Foods (506.HK)" xfId="1083" xr:uid="{00000000-0005-0000-0000-000022020000}"/>
    <cellStyle name="—_EM_NZT_BS_COFCO (506.HK)" xfId="1084" xr:uid="{00000000-0005-0000-0000-000023020000}"/>
    <cellStyle name="—_EM_NZT_BS_COFCO (506.HK)_after spinoff" xfId="1085" xr:uid="{00000000-0005-0000-0000-000024020000}"/>
    <cellStyle name="—_EM_NZT_BS_COFCO NAV - scenario 060117" xfId="1086" xr:uid="{00000000-0005-0000-0000-000025020000}"/>
    <cellStyle name="—_EM_NZT_BS_COFCO_051010" xfId="1087" xr:uid="{00000000-0005-0000-0000-000026020000}"/>
    <cellStyle name="—_EM_NZT_BS_COFCO_backup" xfId="1088" xr:uid="{00000000-0005-0000-0000-000027020000}"/>
    <cellStyle name="—_EM_NZT_CKC_Hutch_group structure" xfId="1089" xr:uid="{00000000-0005-0000-0000-000028020000}"/>
    <cellStyle name="—_EM_NZT_Cost of capital" xfId="1090" xr:uid="{00000000-0005-0000-0000-000029020000}"/>
    <cellStyle name="—_EM_NZT_HSH under review" xfId="1091" xr:uid="{00000000-0005-0000-0000-00002A020000}"/>
    <cellStyle name="—_EM_NZT_Shangri-La under review" xfId="1092" xr:uid="{00000000-0005-0000-0000-00002B020000}"/>
    <cellStyle name="—_EM_NZT_Yifan template 2" xfId="1093" xr:uid="{00000000-0005-0000-0000-00002C020000}"/>
    <cellStyle name="—_EM_NZT_Yifan template 2_200869 sz - historical" xfId="1094" xr:uid="{00000000-0005-0000-0000-00002D020000}"/>
    <cellStyle name="—_EM_NZT_Yifan template 2_600519.SS" xfId="1095" xr:uid="{00000000-0005-0000-0000-00002E020000}"/>
    <cellStyle name="—_EM_NZT_Yifan template 2_Changyu (200869.SZ)_060330" xfId="1096" xr:uid="{00000000-0005-0000-0000-00002F020000}"/>
    <cellStyle name="—_EM_NZT_Yifan template 2_China Foods (506.HK)" xfId="1097" xr:uid="{00000000-0005-0000-0000-000030020000}"/>
    <cellStyle name="—_EM_NZT_Yifan template 2_COFCO (506.HK)" xfId="1098" xr:uid="{00000000-0005-0000-0000-000031020000}"/>
    <cellStyle name="—_EM_NZT_Yifan template 2_COFCO (506.HK)_after spinoff" xfId="1099" xr:uid="{00000000-0005-0000-0000-000032020000}"/>
    <cellStyle name="—_EM_NZT_Yifan template 2_COFCO NAV - scenario 060117" xfId="1100" xr:uid="{00000000-0005-0000-0000-000033020000}"/>
    <cellStyle name="—_EM_NZT_Yifan template 2_COFCO_051010" xfId="1101" xr:uid="{00000000-0005-0000-0000-000034020000}"/>
    <cellStyle name="—_EM_NZT_Yifan template 2_COFCO_backup" xfId="1102" xr:uid="{00000000-0005-0000-0000-000035020000}"/>
    <cellStyle name="—_EM_TCC" xfId="1103" xr:uid="{00000000-0005-0000-0000-000036020000}"/>
    <cellStyle name="—_EM_TCC_AUO consolidated 2004_02" xfId="1104" xr:uid="{00000000-0005-0000-0000-000037020000}"/>
    <cellStyle name="—_EM_TCC_AUO forecast (GQ)2005_03" xfId="1105" xr:uid="{00000000-0005-0000-0000-000038020000}"/>
    <cellStyle name="—_EM_TCC_blank industrial template - new" xfId="1106" xr:uid="{00000000-0005-0000-0000-000039020000}"/>
    <cellStyle name="—_EM_TCC_BS" xfId="1107" xr:uid="{00000000-0005-0000-0000-00003A020000}"/>
    <cellStyle name="—_EM_TCC_Eagle" xfId="1108" xr:uid="{00000000-0005-0000-0000-00003B020000}"/>
    <cellStyle name="—_EM_TCC_HSH under review" xfId="1109" xr:uid="{00000000-0005-0000-0000-00003C020000}"/>
    <cellStyle name="—_EM_TCC_new" xfId="1110" xr:uid="{00000000-0005-0000-0000-00003D020000}"/>
    <cellStyle name="—_EM_TCC_new_AUO consolidated 2004_02" xfId="1111" xr:uid="{00000000-0005-0000-0000-00003E020000}"/>
    <cellStyle name="—_EM_TCC_new_AUO forecast (GQ)2005_03" xfId="1112" xr:uid="{00000000-0005-0000-0000-00003F020000}"/>
    <cellStyle name="—_EM_TCC_new_blank industrial template - new" xfId="1113" xr:uid="{00000000-0005-0000-0000-000040020000}"/>
    <cellStyle name="—_EM_TCC_new_BS" xfId="1114" xr:uid="{00000000-0005-0000-0000-000041020000}"/>
    <cellStyle name="—_EM_TCC_new_Eagle" xfId="1115" xr:uid="{00000000-0005-0000-0000-000042020000}"/>
    <cellStyle name="—_EM_TCC_new_HSH under review" xfId="1116" xr:uid="{00000000-0005-0000-0000-000043020000}"/>
    <cellStyle name="—_EM_TCC_new_Novatek forecast 280404" xfId="1117" xr:uid="{00000000-0005-0000-0000-000044020000}"/>
    <cellStyle name="—_EM_TCC_new_Prosperity REIT_2006Mar27" xfId="1118" xr:uid="{00000000-0005-0000-0000-000045020000}"/>
    <cellStyle name="—_EM_TCC_new_Shangri-La under review" xfId="1119" xr:uid="{00000000-0005-0000-0000-000046020000}"/>
    <cellStyle name="—_EM_TCC_Novatek forecast 280404" xfId="1120" xr:uid="{00000000-0005-0000-0000-000047020000}"/>
    <cellStyle name="—_EM_TCC_Prosperity REIT_2006Mar27" xfId="1121" xr:uid="{00000000-0005-0000-0000-000048020000}"/>
    <cellStyle name="—_EM_TCC_Shangri-La under review" xfId="1122" xr:uid="{00000000-0005-0000-0000-000049020000}"/>
    <cellStyle name="—_EM_UTStarcom_new" xfId="1123" xr:uid="{00000000-0005-0000-0000-00004A020000}"/>
    <cellStyle name="—_EM_UTStarcom_new_AUO consolidated 2004_02" xfId="1124" xr:uid="{00000000-0005-0000-0000-00004B020000}"/>
    <cellStyle name="—_EM_UTStarcom_new_AUO forecast (GQ)2005_03" xfId="1125" xr:uid="{00000000-0005-0000-0000-00004C020000}"/>
    <cellStyle name="—_EM_UTStarcom_new_blank industrial template - new" xfId="1126" xr:uid="{00000000-0005-0000-0000-00004D020000}"/>
    <cellStyle name="—_EM_UTStarcom_new_BS" xfId="1127" xr:uid="{00000000-0005-0000-0000-00004E020000}"/>
    <cellStyle name="—_EM_UTStarcom_new_Eagle" xfId="1128" xr:uid="{00000000-0005-0000-0000-00004F020000}"/>
    <cellStyle name="—_EM_UTStarcom_new_HSH under review" xfId="1129" xr:uid="{00000000-0005-0000-0000-000050020000}"/>
    <cellStyle name="—_EM_UTStarcom_new_Novatek forecast 280404" xfId="1130" xr:uid="{00000000-0005-0000-0000-000051020000}"/>
    <cellStyle name="—_EM_UTStarcom_new_Prosperity REIT_2006Mar27" xfId="1131" xr:uid="{00000000-0005-0000-0000-000052020000}"/>
    <cellStyle name="—_EM_UTStarcom_new_Shangri-La under review" xfId="1132" xr:uid="{00000000-0005-0000-0000-000053020000}"/>
    <cellStyle name="—_EM-Chunghwa" xfId="1133" xr:uid="{00000000-0005-0000-0000-000054020000}"/>
    <cellStyle name="—_EM-Chunghwa_AUO consolidated 2004_02" xfId="1134" xr:uid="{00000000-0005-0000-0000-000055020000}"/>
    <cellStyle name="—_EM-Chunghwa_AUO forecast (GQ)2005_03" xfId="1135" xr:uid="{00000000-0005-0000-0000-000056020000}"/>
    <cellStyle name="—_EM-Chunghwa_blank industrial template - new" xfId="1136" xr:uid="{00000000-0005-0000-0000-000057020000}"/>
    <cellStyle name="—_EM-Chunghwa_BS" xfId="1137" xr:uid="{00000000-0005-0000-0000-000058020000}"/>
    <cellStyle name="—_EM-Chunghwa_Eagle" xfId="1138" xr:uid="{00000000-0005-0000-0000-000059020000}"/>
    <cellStyle name="—_EM-Chunghwa_HSH under review" xfId="1139" xr:uid="{00000000-0005-0000-0000-00005A020000}"/>
    <cellStyle name="—_EM-Chunghwa_Novatek forecast 280404" xfId="1140" xr:uid="{00000000-0005-0000-0000-00005B020000}"/>
    <cellStyle name="—_EM-Chunghwa_Prosperity REIT_2006Mar27" xfId="1141" xr:uid="{00000000-0005-0000-0000-00005C020000}"/>
    <cellStyle name="—_EM-Chunghwa_Shangri-La under review" xfId="1142" xr:uid="{00000000-0005-0000-0000-00005D020000}"/>
    <cellStyle name="—_EM-Chunghwa_Want-Want" xfId="1143" xr:uid="{00000000-0005-0000-0000-00005E020000}"/>
    <cellStyle name="—_EM-HTI" xfId="1144" xr:uid="{00000000-0005-0000-0000-00005F020000}"/>
    <cellStyle name="—_EM-HTI_(GS) China Pharmaceutical Group model" xfId="1145" xr:uid="{00000000-0005-0000-0000-000060020000}"/>
    <cellStyle name="—_EM-HTI_(GS) Global Bio-chem model" xfId="1146" xr:uid="{00000000-0005-0000-0000-000061020000}"/>
    <cellStyle name="—_EM-HTI_100902 Helen NTT FCF to be sent" xfId="1147" xr:uid="{00000000-0005-0000-0000-000062020000}"/>
    <cellStyle name="—_EM-HTI_AUO consolidated 2004_02" xfId="1148" xr:uid="{00000000-0005-0000-0000-000063020000}"/>
    <cellStyle name="—_EM-HTI_AUO forecast (GQ)2005_03" xfId="1149" xr:uid="{00000000-0005-0000-0000-000064020000}"/>
    <cellStyle name="—_EM-HTI_blank industrial template - new" xfId="1150" xr:uid="{00000000-0005-0000-0000-000065020000}"/>
    <cellStyle name="—_EM-HTI_Book4" xfId="1151" xr:uid="{00000000-0005-0000-0000-000066020000}"/>
    <cellStyle name="—_EM-HTI_Book4_BS" xfId="1152" xr:uid="{00000000-0005-0000-0000-000067020000}"/>
    <cellStyle name="—_EM-HTI_Book4_BS_200869 sz - historical" xfId="1153" xr:uid="{00000000-0005-0000-0000-000068020000}"/>
    <cellStyle name="—_EM-HTI_Book4_BS_600519.SS" xfId="1154" xr:uid="{00000000-0005-0000-0000-000069020000}"/>
    <cellStyle name="—_EM-HTI_Book4_BS_Changyu (200869.SZ)_060330" xfId="1155" xr:uid="{00000000-0005-0000-0000-00006A020000}"/>
    <cellStyle name="—_EM-HTI_Book4_BS_China Foods (506.HK)" xfId="1156" xr:uid="{00000000-0005-0000-0000-00006B020000}"/>
    <cellStyle name="—_EM-HTI_Book4_BS_COFCO (506.HK)" xfId="1157" xr:uid="{00000000-0005-0000-0000-00006C020000}"/>
    <cellStyle name="—_EM-HTI_Book4_BS_COFCO (506.HK)_after spinoff" xfId="1158" xr:uid="{00000000-0005-0000-0000-00006D020000}"/>
    <cellStyle name="—_EM-HTI_Book4_BS_COFCO NAV - scenario 060117" xfId="1159" xr:uid="{00000000-0005-0000-0000-00006E020000}"/>
    <cellStyle name="—_EM-HTI_Book4_BS_COFCO_051010" xfId="1160" xr:uid="{00000000-0005-0000-0000-00006F020000}"/>
    <cellStyle name="—_EM-HTI_Book4_BS_COFCO_backup" xfId="1161" xr:uid="{00000000-0005-0000-0000-000070020000}"/>
    <cellStyle name="—_EM-HTI_Book4_CKC_Hutch_group structure" xfId="1162" xr:uid="{00000000-0005-0000-0000-000071020000}"/>
    <cellStyle name="—_EM-HTI_Book4_Cost of capital" xfId="1163" xr:uid="{00000000-0005-0000-0000-000072020000}"/>
    <cellStyle name="—_EM-HTI_Book4_HSH under review" xfId="1164" xr:uid="{00000000-0005-0000-0000-000073020000}"/>
    <cellStyle name="—_EM-HTI_Book4_Shangri-La under review" xfId="1165" xr:uid="{00000000-0005-0000-0000-000074020000}"/>
    <cellStyle name="—_EM-HTI_Book4_Yifan template 2" xfId="1166" xr:uid="{00000000-0005-0000-0000-000075020000}"/>
    <cellStyle name="—_EM-HTI_Book4_Yifan template 2_200869 sz - historical" xfId="1167" xr:uid="{00000000-0005-0000-0000-000076020000}"/>
    <cellStyle name="—_EM-HTI_Book4_Yifan template 2_600519.SS" xfId="1168" xr:uid="{00000000-0005-0000-0000-000077020000}"/>
    <cellStyle name="—_EM-HTI_Book4_Yifan template 2_Changyu (200869.SZ)_060330" xfId="1169" xr:uid="{00000000-0005-0000-0000-000078020000}"/>
    <cellStyle name="—_EM-HTI_Book4_Yifan template 2_China Foods (506.HK)" xfId="1170" xr:uid="{00000000-0005-0000-0000-000079020000}"/>
    <cellStyle name="—_EM-HTI_Book4_Yifan template 2_COFCO (506.HK)" xfId="1171" xr:uid="{00000000-0005-0000-0000-00007A020000}"/>
    <cellStyle name="—_EM-HTI_Book4_Yifan template 2_COFCO (506.HK)_after spinoff" xfId="1172" xr:uid="{00000000-0005-0000-0000-00007B020000}"/>
    <cellStyle name="—_EM-HTI_Book4_Yifan template 2_COFCO NAV - scenario 060117" xfId="1173" xr:uid="{00000000-0005-0000-0000-00007C020000}"/>
    <cellStyle name="—_EM-HTI_Book4_Yifan template 2_COFCO_051010" xfId="1174" xr:uid="{00000000-0005-0000-0000-00007D020000}"/>
    <cellStyle name="—_EM-HTI_Book4_Yifan template 2_COFCO_backup" xfId="1175" xr:uid="{00000000-0005-0000-0000-00007E020000}"/>
    <cellStyle name="—_EM-HTI_Book6" xfId="1176" xr:uid="{00000000-0005-0000-0000-00007F020000}"/>
    <cellStyle name="—_EM-HTI_Book7" xfId="1177" xr:uid="{00000000-0005-0000-0000-000080020000}"/>
    <cellStyle name="—_EM-HTI_Book7_CKC_Hutch_group structure" xfId="1178" xr:uid="{00000000-0005-0000-0000-000081020000}"/>
    <cellStyle name="—_EM-HTI_Book7_Hutchison Model 090514" xfId="1179" xr:uid="{00000000-0005-0000-0000-000082020000}"/>
    <cellStyle name="—_EM-HTI_BS" xfId="1180" xr:uid="{00000000-0005-0000-0000-000083020000}"/>
    <cellStyle name="—_EM-HTI_BS_200869 sz - historical" xfId="1181" xr:uid="{00000000-0005-0000-0000-000084020000}"/>
    <cellStyle name="—_EM-HTI_BS_600519.SS" xfId="1182" xr:uid="{00000000-0005-0000-0000-000085020000}"/>
    <cellStyle name="—_EM-HTI_BS_Changyu (200869.SZ)_060330" xfId="1183" xr:uid="{00000000-0005-0000-0000-000086020000}"/>
    <cellStyle name="—_EM-HTI_BS_China Foods (506.HK)" xfId="1184" xr:uid="{00000000-0005-0000-0000-000087020000}"/>
    <cellStyle name="—_EM-HTI_BS_COFCO (506.HK)" xfId="1185" xr:uid="{00000000-0005-0000-0000-000088020000}"/>
    <cellStyle name="—_EM-HTI_BS_COFCO (506.HK)_after spinoff" xfId="1186" xr:uid="{00000000-0005-0000-0000-000089020000}"/>
    <cellStyle name="—_EM-HTI_BS_COFCO NAV - scenario 060117" xfId="1187" xr:uid="{00000000-0005-0000-0000-00008A020000}"/>
    <cellStyle name="—_EM-HTI_BS_COFCO_051010" xfId="1188" xr:uid="{00000000-0005-0000-0000-00008B020000}"/>
    <cellStyle name="—_EM-HTI_BS_COFCO_backup" xfId="1189" xr:uid="{00000000-0005-0000-0000-00008C020000}"/>
    <cellStyle name="—_EM-HTI_Champion REIT under review" xfId="1190" xr:uid="{00000000-0005-0000-0000-00008D020000}"/>
    <cellStyle name="—_EM-HTI_Cheng Shin Model" xfId="1191" xr:uid="{00000000-0005-0000-0000-00008E020000}"/>
    <cellStyle name="—_EM-HTI_CK Hutch InvestmentProp Mar 24 2006" xfId="1192" xr:uid="{00000000-0005-0000-0000-00008F020000}"/>
    <cellStyle name="—_EM-HTI_CKC_Hutch_group structure" xfId="1193" xr:uid="{00000000-0005-0000-0000-000090020000}"/>
    <cellStyle name="—_EM-HTI_Cost of capital" xfId="1194" xr:uid="{00000000-0005-0000-0000-000091020000}"/>
    <cellStyle name="—_EM-HTI_Eagle" xfId="1195" xr:uid="{00000000-0005-0000-0000-000092020000}"/>
    <cellStyle name="—_EM-HTI_EM_ChinaTelecom" xfId="1196" xr:uid="{00000000-0005-0000-0000-000093020000}"/>
    <cellStyle name="—_EM-HTI_EM_ChinaTelecom_AUO consolidated 2004_02" xfId="1197" xr:uid="{00000000-0005-0000-0000-000094020000}"/>
    <cellStyle name="—_EM-HTI_EM_ChinaTelecom_AUO forecast (GQ)2005_03" xfId="1198" xr:uid="{00000000-0005-0000-0000-000095020000}"/>
    <cellStyle name="—_EM-HTI_EM_ChinaTelecom_blank industrial template - new" xfId="1199" xr:uid="{00000000-0005-0000-0000-000096020000}"/>
    <cellStyle name="—_EM-HTI_EM_ChinaTelecom_BS" xfId="1200" xr:uid="{00000000-0005-0000-0000-000097020000}"/>
    <cellStyle name="—_EM-HTI_EM_ChinaTelecom_Eagle" xfId="1201" xr:uid="{00000000-0005-0000-0000-000098020000}"/>
    <cellStyle name="—_EM-HTI_EM_ChinaTelecom_HSH under review" xfId="1202" xr:uid="{00000000-0005-0000-0000-000099020000}"/>
    <cellStyle name="—_EM-HTI_EM_ChinaTelecom_Novatek forecast 280404" xfId="1203" xr:uid="{00000000-0005-0000-0000-00009A020000}"/>
    <cellStyle name="—_EM-HTI_EM_ChinaTelecom_Prosperity REIT_2006Mar27" xfId="1204" xr:uid="{00000000-0005-0000-0000-00009B020000}"/>
    <cellStyle name="—_EM-HTI_EM_ChinaTelecom_Shangri-La under review" xfId="1205" xr:uid="{00000000-0005-0000-0000-00009C020000}"/>
    <cellStyle name="—_EM-HTI_EM_FETone_new" xfId="1206" xr:uid="{00000000-0005-0000-0000-00009D020000}"/>
    <cellStyle name="—_EM-HTI_EM_FETone_new_AUO consolidated 2004_02" xfId="1207" xr:uid="{00000000-0005-0000-0000-00009E020000}"/>
    <cellStyle name="—_EM-HTI_EM_FETone_new_AUO forecast (GQ)2005_03" xfId="1208" xr:uid="{00000000-0005-0000-0000-00009F020000}"/>
    <cellStyle name="—_EM-HTI_EM_FETone_new_blank industrial template - new" xfId="1209" xr:uid="{00000000-0005-0000-0000-0000A0020000}"/>
    <cellStyle name="—_EM-HTI_EM_FETone_new_BS" xfId="1210" xr:uid="{00000000-0005-0000-0000-0000A1020000}"/>
    <cellStyle name="—_EM-HTI_EM_FETone_new_Eagle" xfId="1211" xr:uid="{00000000-0005-0000-0000-0000A2020000}"/>
    <cellStyle name="—_EM-HTI_EM_FETone_new_HSH under review" xfId="1212" xr:uid="{00000000-0005-0000-0000-0000A3020000}"/>
    <cellStyle name="—_EM-HTI_EM_FETone_new_Novatek forecast 280404" xfId="1213" xr:uid="{00000000-0005-0000-0000-0000A4020000}"/>
    <cellStyle name="—_EM-HTI_EM_FETone_new_Prosperity REIT_2006Mar27" xfId="1214" xr:uid="{00000000-0005-0000-0000-0000A5020000}"/>
    <cellStyle name="—_EM-HTI_EM_FETone_new_Shangri-La under review" xfId="1215" xr:uid="{00000000-0005-0000-0000-0000A6020000}"/>
    <cellStyle name="—_EM-HTI_EM_NZT" xfId="1216" xr:uid="{00000000-0005-0000-0000-0000A7020000}"/>
    <cellStyle name="—_EM-HTI_EM_NZT_Book7" xfId="1217" xr:uid="{00000000-0005-0000-0000-0000A8020000}"/>
    <cellStyle name="—_EM-HTI_EM_NZT_Book7_CKC_Hutch_group structure" xfId="1218" xr:uid="{00000000-0005-0000-0000-0000A9020000}"/>
    <cellStyle name="—_EM-HTI_EM_NZT_Book7_Hutchison Model 090514" xfId="1219" xr:uid="{00000000-0005-0000-0000-0000AA020000}"/>
    <cellStyle name="—_EM-HTI_EM_NZT_Book7_NAV" xfId="1220" xr:uid="{00000000-0005-0000-0000-0000AB020000}"/>
    <cellStyle name="—_EM-HTI_EM_NZT_Book7_QP_0019.HK" xfId="1221" xr:uid="{00000000-0005-0000-0000-0000AC020000}"/>
    <cellStyle name="—_EM-HTI_EM_NZT_Book7_Swire Model" xfId="1222" xr:uid="{00000000-0005-0000-0000-0000AD020000}"/>
    <cellStyle name="—_EM-HTI_EM_NZT_Book7_SWIRESS" xfId="1223" xr:uid="{00000000-0005-0000-0000-0000AE020000}"/>
    <cellStyle name="—_EM-HTI_EM_NZT_BS" xfId="1224" xr:uid="{00000000-0005-0000-0000-0000AF020000}"/>
    <cellStyle name="—_EM-HTI_EM_NZT_BS_200869 sz - historical" xfId="1225" xr:uid="{00000000-0005-0000-0000-0000B0020000}"/>
    <cellStyle name="—_EM-HTI_EM_NZT_BS_600519.SS" xfId="1226" xr:uid="{00000000-0005-0000-0000-0000B1020000}"/>
    <cellStyle name="—_EM-HTI_EM_NZT_BS_Changyu (200869.SZ)_060330" xfId="1227" xr:uid="{00000000-0005-0000-0000-0000B2020000}"/>
    <cellStyle name="—_EM-HTI_EM_NZT_BS_China Foods (506.HK)" xfId="1228" xr:uid="{00000000-0005-0000-0000-0000B3020000}"/>
    <cellStyle name="—_EM-HTI_EM_NZT_BS_COFCO (506.HK)" xfId="1229" xr:uid="{00000000-0005-0000-0000-0000B4020000}"/>
    <cellStyle name="—_EM-HTI_EM_NZT_BS_COFCO (506.HK)_after spinoff" xfId="1230" xr:uid="{00000000-0005-0000-0000-0000B5020000}"/>
    <cellStyle name="—_EM-HTI_EM_NZT_BS_COFCO NAV - scenario 060117" xfId="1231" xr:uid="{00000000-0005-0000-0000-0000B6020000}"/>
    <cellStyle name="—_EM-HTI_EM_NZT_BS_COFCO_051010" xfId="1232" xr:uid="{00000000-0005-0000-0000-0000B7020000}"/>
    <cellStyle name="—_EM-HTI_EM_NZT_BS_COFCO_backup" xfId="1233" xr:uid="{00000000-0005-0000-0000-0000B8020000}"/>
    <cellStyle name="—_EM-HTI_EM_NZT_CKC_Hutch_group structure" xfId="1234" xr:uid="{00000000-0005-0000-0000-0000B9020000}"/>
    <cellStyle name="—_EM-HTI_EM_NZT_Cost of capital" xfId="1235" xr:uid="{00000000-0005-0000-0000-0000BA020000}"/>
    <cellStyle name="—_EM-HTI_EM_NZT_HSH under review" xfId="1236" xr:uid="{00000000-0005-0000-0000-0000BB020000}"/>
    <cellStyle name="—_EM-HTI_EM_NZT_Shangri-La under review" xfId="1237" xr:uid="{00000000-0005-0000-0000-0000BC020000}"/>
    <cellStyle name="—_EM-HTI_EM_NZT_Yifan template 2" xfId="1238" xr:uid="{00000000-0005-0000-0000-0000BD020000}"/>
    <cellStyle name="—_EM-HTI_EM_NZT_Yifan template 2_200869 sz - historical" xfId="1239" xr:uid="{00000000-0005-0000-0000-0000BE020000}"/>
    <cellStyle name="—_EM-HTI_EM_NZT_Yifan template 2_600519.SS" xfId="1240" xr:uid="{00000000-0005-0000-0000-0000BF020000}"/>
    <cellStyle name="—_EM-HTI_EM_NZT_Yifan template 2_Changyu (200869.SZ)_060330" xfId="1241" xr:uid="{00000000-0005-0000-0000-0000C0020000}"/>
    <cellStyle name="—_EM-HTI_EM_NZT_Yifan template 2_China Foods (506.HK)" xfId="1242" xr:uid="{00000000-0005-0000-0000-0000C1020000}"/>
    <cellStyle name="—_EM-HTI_EM_NZT_Yifan template 2_COFCO (506.HK)" xfId="1243" xr:uid="{00000000-0005-0000-0000-0000C2020000}"/>
    <cellStyle name="—_EM-HTI_EM_NZT_Yifan template 2_COFCO (506.HK)_after spinoff" xfId="1244" xr:uid="{00000000-0005-0000-0000-0000C3020000}"/>
    <cellStyle name="—_EM-HTI_EM_NZT_Yifan template 2_COFCO NAV - scenario 060117" xfId="1245" xr:uid="{00000000-0005-0000-0000-0000C4020000}"/>
    <cellStyle name="—_EM-HTI_EM_NZT_Yifan template 2_COFCO_051010" xfId="1246" xr:uid="{00000000-0005-0000-0000-0000C5020000}"/>
    <cellStyle name="—_EM-HTI_EM_NZT_Yifan template 2_COFCO_backup" xfId="1247" xr:uid="{00000000-0005-0000-0000-0000C6020000}"/>
    <cellStyle name="—_EM-HTI_EM_TCC" xfId="1248" xr:uid="{00000000-0005-0000-0000-0000C7020000}"/>
    <cellStyle name="—_EM-HTI_EM_TCC_AUO consolidated 2004_02" xfId="1249" xr:uid="{00000000-0005-0000-0000-0000C8020000}"/>
    <cellStyle name="—_EM-HTI_EM_TCC_AUO forecast (GQ)2005_03" xfId="1250" xr:uid="{00000000-0005-0000-0000-0000C9020000}"/>
    <cellStyle name="—_EM-HTI_EM_TCC_blank industrial template - new" xfId="1251" xr:uid="{00000000-0005-0000-0000-0000CA020000}"/>
    <cellStyle name="—_EM-HTI_EM_TCC_BS" xfId="1252" xr:uid="{00000000-0005-0000-0000-0000CB020000}"/>
    <cellStyle name="—_EM-HTI_EM_TCC_Eagle" xfId="1253" xr:uid="{00000000-0005-0000-0000-0000CC020000}"/>
    <cellStyle name="—_EM-HTI_EM_TCC_HSH under review" xfId="1254" xr:uid="{00000000-0005-0000-0000-0000CD020000}"/>
    <cellStyle name="—_EM-HTI_EM_TCC_new" xfId="1255" xr:uid="{00000000-0005-0000-0000-0000CE020000}"/>
    <cellStyle name="—_EM-HTI_EM_TCC_new_AUO consolidated 2004_02" xfId="1256" xr:uid="{00000000-0005-0000-0000-0000CF020000}"/>
    <cellStyle name="—_EM-HTI_EM_TCC_new_AUO forecast (GQ)2005_03" xfId="1257" xr:uid="{00000000-0005-0000-0000-0000D0020000}"/>
    <cellStyle name="—_EM-HTI_EM_TCC_new_blank industrial template - new" xfId="1258" xr:uid="{00000000-0005-0000-0000-0000D1020000}"/>
    <cellStyle name="—_EM-HTI_EM_TCC_new_BS" xfId="1259" xr:uid="{00000000-0005-0000-0000-0000D2020000}"/>
    <cellStyle name="—_EM-HTI_EM_TCC_new_Eagle" xfId="1260" xr:uid="{00000000-0005-0000-0000-0000D3020000}"/>
    <cellStyle name="—_EM-HTI_EM_TCC_new_HSH under review" xfId="1261" xr:uid="{00000000-0005-0000-0000-0000D4020000}"/>
    <cellStyle name="—_EM-HTI_EM_TCC_new_Novatek forecast 280404" xfId="1262" xr:uid="{00000000-0005-0000-0000-0000D5020000}"/>
    <cellStyle name="—_EM-HTI_EM_TCC_new_Prosperity REIT_2006Mar27" xfId="1263" xr:uid="{00000000-0005-0000-0000-0000D6020000}"/>
    <cellStyle name="—_EM-HTI_EM_TCC_new_Shangri-La under review" xfId="1264" xr:uid="{00000000-0005-0000-0000-0000D7020000}"/>
    <cellStyle name="—_EM-HTI_EM_TCC_Novatek forecast 280404" xfId="1265" xr:uid="{00000000-0005-0000-0000-0000D8020000}"/>
    <cellStyle name="—_EM-HTI_EM_TCC_Prosperity REIT_2006Mar27" xfId="1266" xr:uid="{00000000-0005-0000-0000-0000D9020000}"/>
    <cellStyle name="—_EM-HTI_EM_TCC_Shangri-La under review" xfId="1267" xr:uid="{00000000-0005-0000-0000-0000DA020000}"/>
    <cellStyle name="—_EM-HTI_EM-Chunghwa" xfId="1268" xr:uid="{00000000-0005-0000-0000-0000DB020000}"/>
    <cellStyle name="—_EM-HTI_EM-Chunghwa_AUO consolidated 2004_02" xfId="1269" xr:uid="{00000000-0005-0000-0000-0000DC020000}"/>
    <cellStyle name="—_EM-HTI_EM-Chunghwa_AUO forecast (GQ)2005_03" xfId="1270" xr:uid="{00000000-0005-0000-0000-0000DD020000}"/>
    <cellStyle name="—_EM-HTI_EM-Chunghwa_blank industrial template - new" xfId="1271" xr:uid="{00000000-0005-0000-0000-0000DE020000}"/>
    <cellStyle name="—_EM-HTI_EM-Chunghwa_BS" xfId="1272" xr:uid="{00000000-0005-0000-0000-0000DF020000}"/>
    <cellStyle name="—_EM-HTI_EM-Chunghwa_Eagle" xfId="1273" xr:uid="{00000000-0005-0000-0000-0000E0020000}"/>
    <cellStyle name="—_EM-HTI_EM-Chunghwa_HSH under review" xfId="1274" xr:uid="{00000000-0005-0000-0000-0000E1020000}"/>
    <cellStyle name="—_EM-HTI_EM-Chunghwa_Novatek forecast 280404" xfId="1275" xr:uid="{00000000-0005-0000-0000-0000E2020000}"/>
    <cellStyle name="—_EM-HTI_EM-Chunghwa_Prosperity REIT_2006Mar27" xfId="1276" xr:uid="{00000000-0005-0000-0000-0000E3020000}"/>
    <cellStyle name="—_EM-HTI_EM-Chunghwa_Shangri-La under review" xfId="1277" xr:uid="{00000000-0005-0000-0000-0000E4020000}"/>
    <cellStyle name="—_EM-HTI_GlobalValuation_Japan" xfId="1278" xr:uid="{00000000-0005-0000-0000-0000E5020000}"/>
    <cellStyle name="—_EM-HTI_Great Eagle 080425" xfId="1279" xr:uid="{00000000-0005-0000-0000-0000E6020000}"/>
    <cellStyle name="—_EM-HTI_HLG stub" xfId="1280" xr:uid="{00000000-0005-0000-0000-0000E7020000}"/>
    <cellStyle name="—_EM-HTI_HSH under review" xfId="1281" xr:uid="{00000000-0005-0000-0000-0000E8020000}"/>
    <cellStyle name="—_EM-HTI_Hutchison Model 090514" xfId="1282" xr:uid="{00000000-0005-0000-0000-0000E9020000}"/>
    <cellStyle name="—_EM-HTI_Hysan" xfId="1283" xr:uid="{00000000-0005-0000-0000-0000EA020000}"/>
    <cellStyle name="—_EM-HTI_Interim" xfId="1284" xr:uid="{00000000-0005-0000-0000-0000EB020000}"/>
    <cellStyle name="—_EM-HTI_JT CROCI" xfId="1285" xr:uid="{00000000-0005-0000-0000-0000EC020000}"/>
    <cellStyle name="—_EM-HTI_KDDI CROCI" xfId="1286" xr:uid="{00000000-0005-0000-0000-0000ED020000}"/>
    <cellStyle name="—_EM-HTI_Landlords" xfId="1287" xr:uid="{00000000-0005-0000-0000-0000EE020000}"/>
    <cellStyle name="—_EM-HTI_li&amp;fung model from Mike Warren_050317" xfId="1288" xr:uid="{00000000-0005-0000-0000-0000EF020000}"/>
    <cellStyle name="—_EM-HTI_MN071101" xfId="1289" xr:uid="{00000000-0005-0000-0000-0000F0020000}"/>
    <cellStyle name="—_EM-HTI_MN-Langham" xfId="1290" xr:uid="{00000000-0005-0000-0000-0000F1020000}"/>
    <cellStyle name="—_EM-HTI_Model" xfId="1291" xr:uid="{00000000-0005-0000-0000-0000F2020000}"/>
    <cellStyle name="—_EM-HTI_Novatek forecast" xfId="1292" xr:uid="{00000000-0005-0000-0000-0000F3020000}"/>
    <cellStyle name="—_EM-HTI_Novatek forecast 280404" xfId="1293" xr:uid="{00000000-0005-0000-0000-0000F4020000}"/>
    <cellStyle name="—_EM-HTI_NTT CROCI" xfId="1294" xr:uid="{00000000-0005-0000-0000-0000F5020000}"/>
    <cellStyle name="—_EM-HTI_NTT proportionate" xfId="1295" xr:uid="{00000000-0005-0000-0000-0000F6020000}"/>
    <cellStyle name="—_EM-HTI_Office supply &amp; demand" xfId="1296" xr:uid="{00000000-0005-0000-0000-0000F7020000}"/>
    <cellStyle name="—_EM-HTI_Prosperity REIT_2006Mar27" xfId="1297" xr:uid="{00000000-0005-0000-0000-0000F8020000}"/>
    <cellStyle name="—_EM-HTI_RPT-Developers-2008Sep" xfId="1298" xr:uid="{00000000-0005-0000-0000-0000F9020000}"/>
    <cellStyle name="—_EM-HTI_RPT-Hongkong Land 080430" xfId="1299" xr:uid="{00000000-0005-0000-0000-0000FA020000}"/>
    <cellStyle name="—_EM-HTI_RPT-Landlords-2008Sep" xfId="1300" xr:uid="{00000000-0005-0000-0000-0000FB020000}"/>
    <cellStyle name="—_EM-HTI_Shangri-La under review" xfId="1301" xr:uid="{00000000-0005-0000-0000-0000FC020000}"/>
    <cellStyle name="—_EM-HTI_Sheet1" xfId="1302" xr:uid="{00000000-0005-0000-0000-0000FD020000}"/>
    <cellStyle name="—_EM-HTI_Yifan template 2" xfId="1303" xr:uid="{00000000-0005-0000-0000-0000FE020000}"/>
    <cellStyle name="—_EM-HTI_Yifan template 2_200869 sz - historical" xfId="1304" xr:uid="{00000000-0005-0000-0000-0000FF020000}"/>
    <cellStyle name="—_EM-HTI_Yifan template 2_600519.SS" xfId="1305" xr:uid="{00000000-0005-0000-0000-000000030000}"/>
    <cellStyle name="—_EM-HTI_Yifan template 2_Changyu (200869.SZ)_060330" xfId="1306" xr:uid="{00000000-0005-0000-0000-000001030000}"/>
    <cellStyle name="—_EM-HTI_Yifan template 2_China Foods (506.HK)" xfId="1307" xr:uid="{00000000-0005-0000-0000-000002030000}"/>
    <cellStyle name="—_EM-HTI_Yifan template 2_COFCO (506.HK)" xfId="1308" xr:uid="{00000000-0005-0000-0000-000003030000}"/>
    <cellStyle name="—_EM-HTI_Yifan template 2_COFCO (506.HK)_after spinoff" xfId="1309" xr:uid="{00000000-0005-0000-0000-000004030000}"/>
    <cellStyle name="—_EM-HTI_Yifan template 2_COFCO NAV - scenario 060117" xfId="1310" xr:uid="{00000000-0005-0000-0000-000005030000}"/>
    <cellStyle name="—_EM-HTI_Yifan template 2_COFCO_051010" xfId="1311" xr:uid="{00000000-0005-0000-0000-000006030000}"/>
    <cellStyle name="—_EM-HTI_Yifan template 2_COFCO_backup" xfId="1312" xr:uid="{00000000-0005-0000-0000-000007030000}"/>
    <cellStyle name="—_EM-KT" xfId="1313" xr:uid="{00000000-0005-0000-0000-000008030000}"/>
    <cellStyle name="—_EM-KT_AUO consolidated 2004_02" xfId="1314" xr:uid="{00000000-0005-0000-0000-000009030000}"/>
    <cellStyle name="—_EM-KT_AUO forecast (GQ)2005_03" xfId="1315" xr:uid="{00000000-0005-0000-0000-00000A030000}"/>
    <cellStyle name="—_EM-KT_blank industrial template - new" xfId="1316" xr:uid="{00000000-0005-0000-0000-00000B030000}"/>
    <cellStyle name="—_EM-KT_Book6" xfId="1317" xr:uid="{00000000-0005-0000-0000-00000C030000}"/>
    <cellStyle name="—_EM-KT_BS" xfId="1318" xr:uid="{00000000-0005-0000-0000-00000D030000}"/>
    <cellStyle name="—_EM-KT_BS_200869 sz - historical" xfId="1319" xr:uid="{00000000-0005-0000-0000-00000E030000}"/>
    <cellStyle name="—_EM-KT_BS_600519.SS" xfId="1320" xr:uid="{00000000-0005-0000-0000-00000F030000}"/>
    <cellStyle name="—_EM-KT_BS_Changyu (200869.SZ)_060330" xfId="1321" xr:uid="{00000000-0005-0000-0000-000010030000}"/>
    <cellStyle name="—_EM-KT_BS_China Foods (506.HK)" xfId="1322" xr:uid="{00000000-0005-0000-0000-000011030000}"/>
    <cellStyle name="—_EM-KT_BS_COFCO (506.HK)" xfId="1323" xr:uid="{00000000-0005-0000-0000-000012030000}"/>
    <cellStyle name="—_EM-KT_BS_COFCO (506.HK)_after spinoff" xfId="1324" xr:uid="{00000000-0005-0000-0000-000013030000}"/>
    <cellStyle name="—_EM-KT_BS_COFCO NAV - scenario 060117" xfId="1325" xr:uid="{00000000-0005-0000-0000-000014030000}"/>
    <cellStyle name="—_EM-KT_BS_COFCO_051010" xfId="1326" xr:uid="{00000000-0005-0000-0000-000015030000}"/>
    <cellStyle name="—_EM-KT_BS_COFCO_backup" xfId="1327" xr:uid="{00000000-0005-0000-0000-000016030000}"/>
    <cellStyle name="—_EM-KT_Champion REIT under review" xfId="1328" xr:uid="{00000000-0005-0000-0000-000017030000}"/>
    <cellStyle name="—_EM-KT_Cheng Shin Model" xfId="1329" xr:uid="{00000000-0005-0000-0000-000018030000}"/>
    <cellStyle name="—_EM-KT_CK Hutch InvestmentProp Mar 24 2006" xfId="1330" xr:uid="{00000000-0005-0000-0000-000019030000}"/>
    <cellStyle name="—_EM-KT_CKC_Hutch_group structure" xfId="1331" xr:uid="{00000000-0005-0000-0000-00001A030000}"/>
    <cellStyle name="—_EM-KT_Cost of capital" xfId="1332" xr:uid="{00000000-0005-0000-0000-00001B030000}"/>
    <cellStyle name="—_EM-KT_Eagle" xfId="1333" xr:uid="{00000000-0005-0000-0000-00001C030000}"/>
    <cellStyle name="—_EM-KT_Great Eagle 080425" xfId="1334" xr:uid="{00000000-0005-0000-0000-00001D030000}"/>
    <cellStyle name="—_EM-KT_HLG stub" xfId="1335" xr:uid="{00000000-0005-0000-0000-00001E030000}"/>
    <cellStyle name="—_EM-KT_HSH under review" xfId="1336" xr:uid="{00000000-0005-0000-0000-00001F030000}"/>
    <cellStyle name="—_EM-KT_Hutchison Model 090514" xfId="1337" xr:uid="{00000000-0005-0000-0000-000020030000}"/>
    <cellStyle name="—_EM-KT_Hysan" xfId="1338" xr:uid="{00000000-0005-0000-0000-000021030000}"/>
    <cellStyle name="—_EM-KT_Landlords" xfId="1339" xr:uid="{00000000-0005-0000-0000-000022030000}"/>
    <cellStyle name="—_EM-KT_MN071101" xfId="1340" xr:uid="{00000000-0005-0000-0000-000023030000}"/>
    <cellStyle name="—_EM-KT_MN-Langham" xfId="1341" xr:uid="{00000000-0005-0000-0000-000024030000}"/>
    <cellStyle name="—_EM-KT_NAV" xfId="1342" xr:uid="{00000000-0005-0000-0000-000025030000}"/>
    <cellStyle name="—_EM-KT_Novatek forecast 280404" xfId="1343" xr:uid="{00000000-0005-0000-0000-000026030000}"/>
    <cellStyle name="—_EM-KT_Office supply &amp; demand" xfId="1344" xr:uid="{00000000-0005-0000-0000-000027030000}"/>
    <cellStyle name="—_EM-KT_Prosperity REIT_2006Mar27" xfId="1345" xr:uid="{00000000-0005-0000-0000-000028030000}"/>
    <cellStyle name="—_EM-KT_QP_0019.HK" xfId="1346" xr:uid="{00000000-0005-0000-0000-000029030000}"/>
    <cellStyle name="—_EM-KT_RPT-Developers-2008Sep" xfId="1347" xr:uid="{00000000-0005-0000-0000-00002A030000}"/>
    <cellStyle name="—_EM-KT_RPT-Hongkong Land 080430" xfId="1348" xr:uid="{00000000-0005-0000-0000-00002B030000}"/>
    <cellStyle name="—_EM-KT_RPT-Landlords-2008Sep" xfId="1349" xr:uid="{00000000-0005-0000-0000-00002C030000}"/>
    <cellStyle name="—_EM-KT_Shangri-La under review" xfId="1350" xr:uid="{00000000-0005-0000-0000-00002D030000}"/>
    <cellStyle name="—_EM-KT_Swire Model" xfId="1351" xr:uid="{00000000-0005-0000-0000-00002E030000}"/>
    <cellStyle name="—_EM-KT_SWIRESS" xfId="1352" xr:uid="{00000000-0005-0000-0000-00002F030000}"/>
    <cellStyle name="—_EM-KT_Yifan template 2" xfId="1353" xr:uid="{00000000-0005-0000-0000-000030030000}"/>
    <cellStyle name="—_EM-KT_Yifan template 2_200869 sz - historical" xfId="1354" xr:uid="{00000000-0005-0000-0000-000031030000}"/>
    <cellStyle name="—_EM-KT_Yifan template 2_600519.SS" xfId="1355" xr:uid="{00000000-0005-0000-0000-000032030000}"/>
    <cellStyle name="—_EM-KT_Yifan template 2_Changyu (200869.SZ)_060330" xfId="1356" xr:uid="{00000000-0005-0000-0000-000033030000}"/>
    <cellStyle name="—_EM-KT_Yifan template 2_China Foods (506.HK)" xfId="1357" xr:uid="{00000000-0005-0000-0000-000034030000}"/>
    <cellStyle name="—_EM-KT_Yifan template 2_COFCO (506.HK)" xfId="1358" xr:uid="{00000000-0005-0000-0000-000035030000}"/>
    <cellStyle name="—_EM-KT_Yifan template 2_COFCO (506.HK)_after spinoff" xfId="1359" xr:uid="{00000000-0005-0000-0000-000036030000}"/>
    <cellStyle name="—_EM-KT_Yifan template 2_COFCO NAV - scenario 060117" xfId="1360" xr:uid="{00000000-0005-0000-0000-000037030000}"/>
    <cellStyle name="—_EM-KT_Yifan template 2_COFCO_051010" xfId="1361" xr:uid="{00000000-0005-0000-0000-000038030000}"/>
    <cellStyle name="—_EM-KT_Yifan template 2_COFCO_backup" xfId="1362" xr:uid="{00000000-0005-0000-0000-000039030000}"/>
    <cellStyle name="—_EM-MobileOne" xfId="1363" xr:uid="{00000000-0005-0000-0000-00003A030000}"/>
    <cellStyle name="—_EM-MobileOne_blank industrial template - new" xfId="1364" xr:uid="{00000000-0005-0000-0000-00003B030000}"/>
    <cellStyle name="—_EM-MobileOne_BS" xfId="1365" xr:uid="{00000000-0005-0000-0000-00003C030000}"/>
    <cellStyle name="—_EM-MobileOne_Eagle" xfId="1366" xr:uid="{00000000-0005-0000-0000-00003D030000}"/>
    <cellStyle name="—_EM-MobileOne_HSH under review" xfId="1367" xr:uid="{00000000-0005-0000-0000-00003E030000}"/>
    <cellStyle name="—_EM-MobileOne_Prosperity REIT_2006Mar27" xfId="1368" xr:uid="{00000000-0005-0000-0000-00003F030000}"/>
    <cellStyle name="—_EM-MobileOne_Shangri-La under review" xfId="1369" xr:uid="{00000000-0005-0000-0000-000040030000}"/>
    <cellStyle name="—_EM-Optus" xfId="1370" xr:uid="{00000000-0005-0000-0000-000041030000}"/>
    <cellStyle name="—_EM-Optus_AUO consolidated 2004_02" xfId="1371" xr:uid="{00000000-0005-0000-0000-000042030000}"/>
    <cellStyle name="—_EM-Optus_AUO forecast (GQ)2005_03" xfId="1372" xr:uid="{00000000-0005-0000-0000-000043030000}"/>
    <cellStyle name="—_EM-Optus_blank industrial template - new" xfId="1373" xr:uid="{00000000-0005-0000-0000-000044030000}"/>
    <cellStyle name="—_EM-Optus_Book6" xfId="1374" xr:uid="{00000000-0005-0000-0000-000045030000}"/>
    <cellStyle name="—_EM-Optus_BS" xfId="1375" xr:uid="{00000000-0005-0000-0000-000046030000}"/>
    <cellStyle name="—_EM-Optus_BS_200869 sz - historical" xfId="1376" xr:uid="{00000000-0005-0000-0000-000047030000}"/>
    <cellStyle name="—_EM-Optus_BS_600519.SS" xfId="1377" xr:uid="{00000000-0005-0000-0000-000048030000}"/>
    <cellStyle name="—_EM-Optus_BS_Changyu (200869.SZ)_060330" xfId="1378" xr:uid="{00000000-0005-0000-0000-000049030000}"/>
    <cellStyle name="—_EM-Optus_BS_China Foods (506.HK)" xfId="1379" xr:uid="{00000000-0005-0000-0000-00004A030000}"/>
    <cellStyle name="—_EM-Optus_BS_COFCO (506.HK)" xfId="1380" xr:uid="{00000000-0005-0000-0000-00004B030000}"/>
    <cellStyle name="—_EM-Optus_BS_COFCO (506.HK)_after spinoff" xfId="1381" xr:uid="{00000000-0005-0000-0000-00004C030000}"/>
    <cellStyle name="—_EM-Optus_BS_COFCO NAV - scenario 060117" xfId="1382" xr:uid="{00000000-0005-0000-0000-00004D030000}"/>
    <cellStyle name="—_EM-Optus_BS_COFCO_051010" xfId="1383" xr:uid="{00000000-0005-0000-0000-00004E030000}"/>
    <cellStyle name="—_EM-Optus_BS_COFCO_backup" xfId="1384" xr:uid="{00000000-0005-0000-0000-00004F030000}"/>
    <cellStyle name="—_EM-Optus_Champion REIT under review" xfId="1385" xr:uid="{00000000-0005-0000-0000-000050030000}"/>
    <cellStyle name="—_EM-Optus_Cheng Shin Model" xfId="1386" xr:uid="{00000000-0005-0000-0000-000051030000}"/>
    <cellStyle name="—_EM-Optus_CK Hutch InvestmentProp Mar 24 2006" xfId="1387" xr:uid="{00000000-0005-0000-0000-000052030000}"/>
    <cellStyle name="—_EM-Optus_CKC_Hutch_group structure" xfId="1388" xr:uid="{00000000-0005-0000-0000-000053030000}"/>
    <cellStyle name="—_EM-Optus_Cost of capital" xfId="1389" xr:uid="{00000000-0005-0000-0000-000054030000}"/>
    <cellStyle name="—_EM-Optus_Eagle" xfId="1390" xr:uid="{00000000-0005-0000-0000-000055030000}"/>
    <cellStyle name="—_EM-Optus_Great Eagle 080425" xfId="1391" xr:uid="{00000000-0005-0000-0000-000056030000}"/>
    <cellStyle name="—_EM-Optus_HLG stub" xfId="1392" xr:uid="{00000000-0005-0000-0000-000057030000}"/>
    <cellStyle name="—_EM-Optus_HSH under review" xfId="1393" xr:uid="{00000000-0005-0000-0000-000058030000}"/>
    <cellStyle name="—_EM-Optus_Hutchison Model 090514" xfId="1394" xr:uid="{00000000-0005-0000-0000-000059030000}"/>
    <cellStyle name="—_EM-Optus_Hysan" xfId="1395" xr:uid="{00000000-0005-0000-0000-00005A030000}"/>
    <cellStyle name="—_EM-Optus_Landlords" xfId="1396" xr:uid="{00000000-0005-0000-0000-00005B030000}"/>
    <cellStyle name="—_EM-Optus_MN071101" xfId="1397" xr:uid="{00000000-0005-0000-0000-00005C030000}"/>
    <cellStyle name="—_EM-Optus_MN-Langham" xfId="1398" xr:uid="{00000000-0005-0000-0000-00005D030000}"/>
    <cellStyle name="—_EM-Optus_Novatek forecast 280404" xfId="1399" xr:uid="{00000000-0005-0000-0000-00005E030000}"/>
    <cellStyle name="—_EM-Optus_Office supply &amp; demand" xfId="1400" xr:uid="{00000000-0005-0000-0000-00005F030000}"/>
    <cellStyle name="—_EM-Optus_Prosperity REIT_2006Mar27" xfId="1401" xr:uid="{00000000-0005-0000-0000-000060030000}"/>
    <cellStyle name="—_EM-Optus_RPT-Developers-2008Sep" xfId="1402" xr:uid="{00000000-0005-0000-0000-000061030000}"/>
    <cellStyle name="—_EM-Optus_RPT-Hongkong Land 080430" xfId="1403" xr:uid="{00000000-0005-0000-0000-000062030000}"/>
    <cellStyle name="—_EM-Optus_RPT-Landlords-2008Sep" xfId="1404" xr:uid="{00000000-0005-0000-0000-000063030000}"/>
    <cellStyle name="—_EM-Optus_Shangri-La under review" xfId="1405" xr:uid="{00000000-0005-0000-0000-000064030000}"/>
    <cellStyle name="—_EM-Optus_Yifan template 2" xfId="1406" xr:uid="{00000000-0005-0000-0000-000065030000}"/>
    <cellStyle name="—_EM-Optus_Yifan template 2_200869 sz - historical" xfId="1407" xr:uid="{00000000-0005-0000-0000-000066030000}"/>
    <cellStyle name="—_EM-Optus_Yifan template 2_600519.SS" xfId="1408" xr:uid="{00000000-0005-0000-0000-000067030000}"/>
    <cellStyle name="—_EM-Optus_Yifan template 2_Changyu (200869.SZ)_060330" xfId="1409" xr:uid="{00000000-0005-0000-0000-000068030000}"/>
    <cellStyle name="—_EM-Optus_Yifan template 2_China Foods (506.HK)" xfId="1410" xr:uid="{00000000-0005-0000-0000-000069030000}"/>
    <cellStyle name="—_EM-Optus_Yifan template 2_COFCO (506.HK)" xfId="1411" xr:uid="{00000000-0005-0000-0000-00006A030000}"/>
    <cellStyle name="—_EM-Optus_Yifan template 2_COFCO (506.HK)_after spinoff" xfId="1412" xr:uid="{00000000-0005-0000-0000-00006B030000}"/>
    <cellStyle name="—_EM-Optus_Yifan template 2_COFCO NAV - scenario 060117" xfId="1413" xr:uid="{00000000-0005-0000-0000-00006C030000}"/>
    <cellStyle name="—_EM-Optus_Yifan template 2_COFCO_051010" xfId="1414" xr:uid="{00000000-0005-0000-0000-00006D030000}"/>
    <cellStyle name="—_EM-Optus_Yifan template 2_COFCO_backup" xfId="1415" xr:uid="{00000000-0005-0000-0000-00006E030000}"/>
    <cellStyle name="—_EM-PLDT" xfId="1416" xr:uid="{00000000-0005-0000-0000-00006F030000}"/>
    <cellStyle name="—_EM-PLDT consolidated - aug 1 00" xfId="1417" xr:uid="{00000000-0005-0000-0000-000070030000}"/>
    <cellStyle name="—_EM-PLDT consolidated - mar 5 01" xfId="1418" xr:uid="{00000000-0005-0000-0000-000071030000}"/>
    <cellStyle name="—_EM-PLDT consolidated - mar 5 01_CKC_Hutch_group structure" xfId="1419" xr:uid="{00000000-0005-0000-0000-000072030000}"/>
    <cellStyle name="—_EM-PLDT consolidated - may 25 00" xfId="1420" xr:uid="{00000000-0005-0000-0000-000073030000}"/>
    <cellStyle name="—_EM-PLDT_AUO consolidated 2004_02" xfId="1421" xr:uid="{00000000-0005-0000-0000-000074030000}"/>
    <cellStyle name="—_EM-PLDT_AUO forecast (GQ)2005_03" xfId="1422" xr:uid="{00000000-0005-0000-0000-000075030000}"/>
    <cellStyle name="—_EM-PLDT_blank industrial template - new" xfId="1423" xr:uid="{00000000-0005-0000-0000-000076030000}"/>
    <cellStyle name="—_EM-PLDT_BS" xfId="1424" xr:uid="{00000000-0005-0000-0000-000077030000}"/>
    <cellStyle name="—_EM-PLDT_Eagle" xfId="1425" xr:uid="{00000000-0005-0000-0000-000078030000}"/>
    <cellStyle name="—_EM-PLDT_HSH under review" xfId="1426" xr:uid="{00000000-0005-0000-0000-000079030000}"/>
    <cellStyle name="—_EM-PLDT_Novatek forecast 280404" xfId="1427" xr:uid="{00000000-0005-0000-0000-00007A030000}"/>
    <cellStyle name="—_EM-PLDT_Prosperity REIT_2006Mar27" xfId="1428" xr:uid="{00000000-0005-0000-0000-00007B030000}"/>
    <cellStyle name="—_EM-PLDT_Shangri-La under review" xfId="1429" xr:uid="{00000000-0005-0000-0000-00007C030000}"/>
    <cellStyle name="—_EM-SKTelecom" xfId="1430" xr:uid="{00000000-0005-0000-0000-00007D030000}"/>
    <cellStyle name="—_EM-SKTelecom_CKC_Hutch_group structure" xfId="1431" xr:uid="{00000000-0005-0000-0000-00007E030000}"/>
    <cellStyle name="—_EM-SKTelecom_Feb01report" xfId="1432" xr:uid="{00000000-0005-0000-0000-00007F030000}"/>
    <cellStyle name="—_EM-SKTelecom_Feb01report_NAV" xfId="1433" xr:uid="{00000000-0005-0000-0000-000080030000}"/>
    <cellStyle name="—_EM-SKTelecom_Feb01report_QP_0019.HK" xfId="1434" xr:uid="{00000000-0005-0000-0000-000081030000}"/>
    <cellStyle name="—_EM-SKTelecom_Feb01report_Swire Model" xfId="1435" xr:uid="{00000000-0005-0000-0000-000082030000}"/>
    <cellStyle name="—_EM-SKTelecom_Feb01report_SWIRESS" xfId="1436" xr:uid="{00000000-0005-0000-0000-000083030000}"/>
    <cellStyle name="—_EM-SKTelecom_Hutchison Model" xfId="1437" xr:uid="{00000000-0005-0000-0000-000084030000}"/>
    <cellStyle name="—_EM-SKTelecom_Hutchison Model 090514" xfId="1438" xr:uid="{00000000-0005-0000-0000-000085030000}"/>
    <cellStyle name="—_EM-SKTelecom_hutchss" xfId="1439" xr:uid="{00000000-0005-0000-0000-000086030000}"/>
    <cellStyle name="—_EM-SKTelecom_NAV" xfId="1440" xr:uid="{00000000-0005-0000-0000-000087030000}"/>
    <cellStyle name="—_EM-SKTelecom_old" xfId="1441" xr:uid="{00000000-0005-0000-0000-000088030000}"/>
    <cellStyle name="—_EM-SKTelecom_old_(GS) China Pharmaceutical Group model" xfId="1442" xr:uid="{00000000-0005-0000-0000-000089030000}"/>
    <cellStyle name="—_EM-SKTelecom_old_(GS) China Pharmaceutical Group model_Want-Want" xfId="1443" xr:uid="{00000000-0005-0000-0000-00008A030000}"/>
    <cellStyle name="—_EM-SKTelecom_old_(GS) Global Bio-chem model" xfId="1444" xr:uid="{00000000-0005-0000-0000-00008B030000}"/>
    <cellStyle name="—_EM-SKTelecom_old_AUO consolidated 2004_02" xfId="1445" xr:uid="{00000000-0005-0000-0000-00008C030000}"/>
    <cellStyle name="—_EM-SKTelecom_old_AUO forecast (GQ)2005_03" xfId="1446" xr:uid="{00000000-0005-0000-0000-00008D030000}"/>
    <cellStyle name="—_EM-SKTelecom_old_blank industrial template - new" xfId="1447" xr:uid="{00000000-0005-0000-0000-00008E030000}"/>
    <cellStyle name="—_EM-SKTelecom_old_Book6" xfId="1448" xr:uid="{00000000-0005-0000-0000-00008F030000}"/>
    <cellStyle name="—_EM-SKTelecom_old_Book7" xfId="1449" xr:uid="{00000000-0005-0000-0000-000090030000}"/>
    <cellStyle name="—_EM-SKTelecom_old_Book7_AUO consolidated 2004_02" xfId="1450" xr:uid="{00000000-0005-0000-0000-000091030000}"/>
    <cellStyle name="—_EM-SKTelecom_old_Book7_AUO forecast (GQ)2005_03" xfId="1451" xr:uid="{00000000-0005-0000-0000-000092030000}"/>
    <cellStyle name="—_EM-SKTelecom_old_Book7_blank industrial template - new" xfId="1452" xr:uid="{00000000-0005-0000-0000-000093030000}"/>
    <cellStyle name="—_EM-SKTelecom_old_Book7_BS" xfId="1453" xr:uid="{00000000-0005-0000-0000-000094030000}"/>
    <cellStyle name="—_EM-SKTelecom_old_Book7_Eagle" xfId="1454" xr:uid="{00000000-0005-0000-0000-000095030000}"/>
    <cellStyle name="—_EM-SKTelecom_old_Book7_HSH under review" xfId="1455" xr:uid="{00000000-0005-0000-0000-000096030000}"/>
    <cellStyle name="—_EM-SKTelecom_old_Book7_Novatek forecast 280404" xfId="1456" xr:uid="{00000000-0005-0000-0000-000097030000}"/>
    <cellStyle name="—_EM-SKTelecom_old_Book7_Prosperity REIT_2006Mar27" xfId="1457" xr:uid="{00000000-0005-0000-0000-000098030000}"/>
    <cellStyle name="—_EM-SKTelecom_old_Book7_Shangri-La under review" xfId="1458" xr:uid="{00000000-0005-0000-0000-000099030000}"/>
    <cellStyle name="—_EM-SKTelecom_old_Book8" xfId="1459" xr:uid="{00000000-0005-0000-0000-00009A030000}"/>
    <cellStyle name="—_EM-SKTelecom_old_Book8_CKC_Hutch_group structure" xfId="1460" xr:uid="{00000000-0005-0000-0000-00009B030000}"/>
    <cellStyle name="—_EM-SKTelecom_old_Book8_Hutchison Model 090514" xfId="1461" xr:uid="{00000000-0005-0000-0000-00009C030000}"/>
    <cellStyle name="—_EM-SKTelecom_old_Book8_NAV" xfId="1462" xr:uid="{00000000-0005-0000-0000-00009D030000}"/>
    <cellStyle name="—_EM-SKTelecom_old_Book8_QP_0019.HK" xfId="1463" xr:uid="{00000000-0005-0000-0000-00009E030000}"/>
    <cellStyle name="—_EM-SKTelecom_old_Book8_Swire Model" xfId="1464" xr:uid="{00000000-0005-0000-0000-00009F030000}"/>
    <cellStyle name="—_EM-SKTelecom_old_Book8_SWIRESS" xfId="1465" xr:uid="{00000000-0005-0000-0000-0000A0030000}"/>
    <cellStyle name="—_EM-SKTelecom_old_BS" xfId="1466" xr:uid="{00000000-0005-0000-0000-0000A1030000}"/>
    <cellStyle name="—_EM-SKTelecom_old_BS_200869 sz - historical" xfId="1467" xr:uid="{00000000-0005-0000-0000-0000A2030000}"/>
    <cellStyle name="—_EM-SKTelecom_old_BS_600519.SS" xfId="1468" xr:uid="{00000000-0005-0000-0000-0000A3030000}"/>
    <cellStyle name="—_EM-SKTelecom_old_BS_Changyu (200869.SZ)_060330" xfId="1469" xr:uid="{00000000-0005-0000-0000-0000A4030000}"/>
    <cellStyle name="—_EM-SKTelecom_old_BS_China Foods (506.HK)" xfId="1470" xr:uid="{00000000-0005-0000-0000-0000A5030000}"/>
    <cellStyle name="—_EM-SKTelecom_old_BS_COFCO (506.HK)" xfId="1471" xr:uid="{00000000-0005-0000-0000-0000A6030000}"/>
    <cellStyle name="—_EM-SKTelecom_old_BS_COFCO (506.HK)_after spinoff" xfId="1472" xr:uid="{00000000-0005-0000-0000-0000A7030000}"/>
    <cellStyle name="—_EM-SKTelecom_old_BS_COFCO NAV - scenario 060117" xfId="1473" xr:uid="{00000000-0005-0000-0000-0000A8030000}"/>
    <cellStyle name="—_EM-SKTelecom_old_BS_COFCO_051010" xfId="1474" xr:uid="{00000000-0005-0000-0000-0000A9030000}"/>
    <cellStyle name="—_EM-SKTelecom_old_BS_COFCO_backup" xfId="1475" xr:uid="{00000000-0005-0000-0000-0000AA030000}"/>
    <cellStyle name="—_EM-SKTelecom_old_Champion REIT under review" xfId="1476" xr:uid="{00000000-0005-0000-0000-0000AB030000}"/>
    <cellStyle name="—_EM-SKTelecom_old_Cheng Shin Model" xfId="1477" xr:uid="{00000000-0005-0000-0000-0000AC030000}"/>
    <cellStyle name="—_EM-SKTelecom_old_CITICSS" xfId="1478" xr:uid="{00000000-0005-0000-0000-0000AD030000}"/>
    <cellStyle name="—_EM-SKTelecom_old_CITICSS_Mike_original" xfId="1479" xr:uid="{00000000-0005-0000-0000-0000AE030000}"/>
    <cellStyle name="—_EM-SKTelecom_old_CK Hutch InvestmentProp Mar 24 2006" xfId="1480" xr:uid="{00000000-0005-0000-0000-0000AF030000}"/>
    <cellStyle name="—_EM-SKTelecom_old_CKC_Hutch_group structure" xfId="1481" xr:uid="{00000000-0005-0000-0000-0000B0030000}"/>
    <cellStyle name="—_EM-SKTelecom_old_CMHss" xfId="1482" xr:uid="{00000000-0005-0000-0000-0000B1030000}"/>
    <cellStyle name="—_EM-SKTelecom_old_CMHss_Hutchison Model" xfId="1483" xr:uid="{00000000-0005-0000-0000-0000B2030000}"/>
    <cellStyle name="—_EM-SKTelecom_old_CMHss_Hutchison Model 090514" xfId="1484" xr:uid="{00000000-0005-0000-0000-0000B3030000}"/>
    <cellStyle name="—_EM-SKTelecom_old_CMHss_hutchss" xfId="1485" xr:uid="{00000000-0005-0000-0000-0000B4030000}"/>
    <cellStyle name="—_EM-SKTelecom_old_CMHss_NAV" xfId="1486" xr:uid="{00000000-0005-0000-0000-0000B5030000}"/>
    <cellStyle name="—_EM-SKTelecom_old_Cost of capital" xfId="1487" xr:uid="{00000000-0005-0000-0000-0000B6030000}"/>
    <cellStyle name="—_EM-SKTelecom_old_Eagle" xfId="1488" xr:uid="{00000000-0005-0000-0000-0000B7030000}"/>
    <cellStyle name="—_EM-SKTelecom_old_earnings" xfId="1489" xr:uid="{00000000-0005-0000-0000-0000B8030000}"/>
    <cellStyle name="—_EM-SKTelecom_old_earnings_AUO consolidated 2004_02" xfId="1490" xr:uid="{00000000-0005-0000-0000-0000B9030000}"/>
    <cellStyle name="—_EM-SKTelecom_old_earnings_AUO forecast (GQ)2005_03" xfId="1491" xr:uid="{00000000-0005-0000-0000-0000BA030000}"/>
    <cellStyle name="—_EM-SKTelecom_old_earnings_blank industrial template - new" xfId="1492" xr:uid="{00000000-0005-0000-0000-0000BB030000}"/>
    <cellStyle name="—_EM-SKTelecom_old_earnings_BS" xfId="1493" xr:uid="{00000000-0005-0000-0000-0000BC030000}"/>
    <cellStyle name="—_EM-SKTelecom_old_earnings_Eagle" xfId="1494" xr:uid="{00000000-0005-0000-0000-0000BD030000}"/>
    <cellStyle name="—_EM-SKTelecom_old_earnings_HSH under review" xfId="1495" xr:uid="{00000000-0005-0000-0000-0000BE030000}"/>
    <cellStyle name="—_EM-SKTelecom_old_earnings_Novatek forecast 280404" xfId="1496" xr:uid="{00000000-0005-0000-0000-0000BF030000}"/>
    <cellStyle name="—_EM-SKTelecom_old_earnings_Prosperity REIT_2006Mar27" xfId="1497" xr:uid="{00000000-0005-0000-0000-0000C0030000}"/>
    <cellStyle name="—_EM-SKTelecom_old_earnings_Shangri-La under review" xfId="1498" xr:uid="{00000000-0005-0000-0000-0000C1030000}"/>
    <cellStyle name="—_EM-SKTelecom_old_EM_ChinaTelecom" xfId="1499" xr:uid="{00000000-0005-0000-0000-0000C2030000}"/>
    <cellStyle name="—_EM-SKTelecom_old_EM_ChinaTelecom_AUO consolidated 2004_02" xfId="1500" xr:uid="{00000000-0005-0000-0000-0000C3030000}"/>
    <cellStyle name="—_EM-SKTelecom_old_EM_ChinaTelecom_AUO forecast (GQ)2005_03" xfId="1501" xr:uid="{00000000-0005-0000-0000-0000C4030000}"/>
    <cellStyle name="—_EM-SKTelecom_old_EM_ChinaTelecom_blank industrial template - new" xfId="1502" xr:uid="{00000000-0005-0000-0000-0000C5030000}"/>
    <cellStyle name="—_EM-SKTelecom_old_EM_ChinaTelecom_BS" xfId="1503" xr:uid="{00000000-0005-0000-0000-0000C6030000}"/>
    <cellStyle name="—_EM-SKTelecom_old_EM_ChinaTelecom_Eagle" xfId="1504" xr:uid="{00000000-0005-0000-0000-0000C7030000}"/>
    <cellStyle name="—_EM-SKTelecom_old_EM_ChinaTelecom_HSH under review" xfId="1505" xr:uid="{00000000-0005-0000-0000-0000C8030000}"/>
    <cellStyle name="—_EM-SKTelecom_old_EM_ChinaTelecom_Novatek forecast 280404" xfId="1506" xr:uid="{00000000-0005-0000-0000-0000C9030000}"/>
    <cellStyle name="—_EM-SKTelecom_old_EM_ChinaTelecom_Prosperity REIT_2006Mar27" xfId="1507" xr:uid="{00000000-0005-0000-0000-0000CA030000}"/>
    <cellStyle name="—_EM-SKTelecom_old_EM_ChinaTelecom_Shangri-La under review" xfId="1508" xr:uid="{00000000-0005-0000-0000-0000CB030000}"/>
    <cellStyle name="—_EM-SKTelecom_old_EM_CU" xfId="1509" xr:uid="{00000000-0005-0000-0000-0000CC030000}"/>
    <cellStyle name="—_EM-SKTelecom_old_EM_CU_AUO consolidated 2004_02" xfId="1510" xr:uid="{00000000-0005-0000-0000-0000CD030000}"/>
    <cellStyle name="—_EM-SKTelecom_old_EM_CU_AUO forecast (GQ)2005_03" xfId="1511" xr:uid="{00000000-0005-0000-0000-0000CE030000}"/>
    <cellStyle name="—_EM-SKTelecom_old_EM_CU_blank industrial template - new" xfId="1512" xr:uid="{00000000-0005-0000-0000-0000CF030000}"/>
    <cellStyle name="—_EM-SKTelecom_old_EM_CU_BS" xfId="1513" xr:uid="{00000000-0005-0000-0000-0000D0030000}"/>
    <cellStyle name="—_EM-SKTelecom_old_EM_CU_Eagle" xfId="1514" xr:uid="{00000000-0005-0000-0000-0000D1030000}"/>
    <cellStyle name="—_EM-SKTelecom_old_EM_CU_HSH under review" xfId="1515" xr:uid="{00000000-0005-0000-0000-0000D2030000}"/>
    <cellStyle name="—_EM-SKTelecom_old_EM_CU_Novatek forecast 280404" xfId="1516" xr:uid="{00000000-0005-0000-0000-0000D3030000}"/>
    <cellStyle name="—_EM-SKTelecom_old_EM_CU_Prosperity REIT_2006Mar27" xfId="1517" xr:uid="{00000000-0005-0000-0000-0000D4030000}"/>
    <cellStyle name="—_EM-SKTelecom_old_EM_CU_Shangri-La under review" xfId="1518" xr:uid="{00000000-0005-0000-0000-0000D5030000}"/>
    <cellStyle name="—_EM-SKTelecom_old_EM_FETone" xfId="1519" xr:uid="{00000000-0005-0000-0000-0000D6030000}"/>
    <cellStyle name="—_EM-SKTelecom_old_EM_FETone_AUO consolidated 2004_02" xfId="1520" xr:uid="{00000000-0005-0000-0000-0000D7030000}"/>
    <cellStyle name="—_EM-SKTelecom_old_EM_FETone_AUO forecast (GQ)2005_03" xfId="1521" xr:uid="{00000000-0005-0000-0000-0000D8030000}"/>
    <cellStyle name="—_EM-SKTelecom_old_EM_FETone_blank industrial template - new" xfId="1522" xr:uid="{00000000-0005-0000-0000-0000D9030000}"/>
    <cellStyle name="—_EM-SKTelecom_old_EM_FETone_BS" xfId="1523" xr:uid="{00000000-0005-0000-0000-0000DA030000}"/>
    <cellStyle name="—_EM-SKTelecom_old_EM_FETone_Eagle" xfId="1524" xr:uid="{00000000-0005-0000-0000-0000DB030000}"/>
    <cellStyle name="—_EM-SKTelecom_old_EM_FETone_HSH under review" xfId="1525" xr:uid="{00000000-0005-0000-0000-0000DC030000}"/>
    <cellStyle name="—_EM-SKTelecom_old_EM_FETone_new" xfId="1526" xr:uid="{00000000-0005-0000-0000-0000DD030000}"/>
    <cellStyle name="—_EM-SKTelecom_old_EM_FETone_new_AUO consolidated 2004_02" xfId="1527" xr:uid="{00000000-0005-0000-0000-0000DE030000}"/>
    <cellStyle name="—_EM-SKTelecom_old_EM_FETone_new_AUO forecast (GQ)2005_03" xfId="1528" xr:uid="{00000000-0005-0000-0000-0000DF030000}"/>
    <cellStyle name="—_EM-SKTelecom_old_EM_FETone_new_blank industrial template - new" xfId="1529" xr:uid="{00000000-0005-0000-0000-0000E0030000}"/>
    <cellStyle name="—_EM-SKTelecom_old_EM_FETone_new_BS" xfId="1530" xr:uid="{00000000-0005-0000-0000-0000E1030000}"/>
    <cellStyle name="—_EM-SKTelecom_old_EM_FETone_new_Eagle" xfId="1531" xr:uid="{00000000-0005-0000-0000-0000E2030000}"/>
    <cellStyle name="—_EM-SKTelecom_old_EM_FETone_new_HSH under review" xfId="1532" xr:uid="{00000000-0005-0000-0000-0000E3030000}"/>
    <cellStyle name="—_EM-SKTelecom_old_EM_FETone_new_Novatek forecast 280404" xfId="1533" xr:uid="{00000000-0005-0000-0000-0000E4030000}"/>
    <cellStyle name="—_EM-SKTelecom_old_EM_FETone_new_Prosperity REIT_2006Mar27" xfId="1534" xr:uid="{00000000-0005-0000-0000-0000E5030000}"/>
    <cellStyle name="—_EM-SKTelecom_old_EM_FETone_new_Shangri-La under review" xfId="1535" xr:uid="{00000000-0005-0000-0000-0000E6030000}"/>
    <cellStyle name="—_EM-SKTelecom_old_EM_FETone_Novatek forecast 280404" xfId="1536" xr:uid="{00000000-0005-0000-0000-0000E7030000}"/>
    <cellStyle name="—_EM-SKTelecom_old_EM_FETone_Prosperity REIT_2006Mar27" xfId="1537" xr:uid="{00000000-0005-0000-0000-0000E8030000}"/>
    <cellStyle name="—_EM-SKTelecom_old_EM_FETone_Shangri-La under review" xfId="1538" xr:uid="{00000000-0005-0000-0000-0000E9030000}"/>
    <cellStyle name="—_EM-SKTelecom_old_EM_TCC" xfId="1539" xr:uid="{00000000-0005-0000-0000-0000EA030000}"/>
    <cellStyle name="—_EM-SKTelecom_old_EM_TCC_AUO consolidated 2004_02" xfId="1540" xr:uid="{00000000-0005-0000-0000-0000EB030000}"/>
    <cellStyle name="—_EM-SKTelecom_old_EM_TCC_AUO forecast (GQ)2005_03" xfId="1541" xr:uid="{00000000-0005-0000-0000-0000EC030000}"/>
    <cellStyle name="—_EM-SKTelecom_old_EM_TCC_blank industrial template - new" xfId="1542" xr:uid="{00000000-0005-0000-0000-0000ED030000}"/>
    <cellStyle name="—_EM-SKTelecom_old_EM_TCC_BS" xfId="1543" xr:uid="{00000000-0005-0000-0000-0000EE030000}"/>
    <cellStyle name="—_EM-SKTelecom_old_EM_TCC_Eagle" xfId="1544" xr:uid="{00000000-0005-0000-0000-0000EF030000}"/>
    <cellStyle name="—_EM-SKTelecom_old_EM_TCC_HSH under review" xfId="1545" xr:uid="{00000000-0005-0000-0000-0000F0030000}"/>
    <cellStyle name="—_EM-SKTelecom_old_EM_TCC_new" xfId="1546" xr:uid="{00000000-0005-0000-0000-0000F1030000}"/>
    <cellStyle name="—_EM-SKTelecom_old_EM_TCC_new_AUO consolidated 2004_02" xfId="1547" xr:uid="{00000000-0005-0000-0000-0000F2030000}"/>
    <cellStyle name="—_EM-SKTelecom_old_EM_TCC_new_AUO forecast (GQ)2005_03" xfId="1548" xr:uid="{00000000-0005-0000-0000-0000F3030000}"/>
    <cellStyle name="—_EM-SKTelecom_old_EM_TCC_new_blank industrial template - new" xfId="1549" xr:uid="{00000000-0005-0000-0000-0000F4030000}"/>
    <cellStyle name="—_EM-SKTelecom_old_EM_TCC_new_BS" xfId="1550" xr:uid="{00000000-0005-0000-0000-0000F5030000}"/>
    <cellStyle name="—_EM-SKTelecom_old_EM_TCC_new_Eagle" xfId="1551" xr:uid="{00000000-0005-0000-0000-0000F6030000}"/>
    <cellStyle name="—_EM-SKTelecom_old_EM_TCC_new_HSH under review" xfId="1552" xr:uid="{00000000-0005-0000-0000-0000F7030000}"/>
    <cellStyle name="—_EM-SKTelecom_old_EM_TCC_new_Novatek forecast 280404" xfId="1553" xr:uid="{00000000-0005-0000-0000-0000F8030000}"/>
    <cellStyle name="—_EM-SKTelecom_old_EM_TCC_new_Prosperity REIT_2006Mar27" xfId="1554" xr:uid="{00000000-0005-0000-0000-0000F9030000}"/>
    <cellStyle name="—_EM-SKTelecom_old_EM_TCC_new_Shangri-La under review" xfId="1555" xr:uid="{00000000-0005-0000-0000-0000FA030000}"/>
    <cellStyle name="—_EM-SKTelecom_old_EM_TCC_Novatek forecast 280404" xfId="1556" xr:uid="{00000000-0005-0000-0000-0000FB030000}"/>
    <cellStyle name="—_EM-SKTelecom_old_EM_TCC_Prosperity REIT_2006Mar27" xfId="1557" xr:uid="{00000000-0005-0000-0000-0000FC030000}"/>
    <cellStyle name="—_EM-SKTelecom_old_EM_TCC_Shangri-La under review" xfId="1558" xr:uid="{00000000-0005-0000-0000-0000FD030000}"/>
    <cellStyle name="—_EM-SKTelecom_old_EM-Chunghwa" xfId="1559" xr:uid="{00000000-0005-0000-0000-0000FE030000}"/>
    <cellStyle name="—_EM-SKTelecom_old_EM-Chunghwa_AUO consolidated 2004_02" xfId="1560" xr:uid="{00000000-0005-0000-0000-0000FF030000}"/>
    <cellStyle name="—_EM-SKTelecom_old_EM-Chunghwa_AUO forecast (GQ)2005_03" xfId="1561" xr:uid="{00000000-0005-0000-0000-000000040000}"/>
    <cellStyle name="—_EM-SKTelecom_old_EM-Chunghwa_blank industrial template - new" xfId="1562" xr:uid="{00000000-0005-0000-0000-000001040000}"/>
    <cellStyle name="—_EM-SKTelecom_old_EM-Chunghwa_BS" xfId="1563" xr:uid="{00000000-0005-0000-0000-000002040000}"/>
    <cellStyle name="—_EM-SKTelecom_old_EM-Chunghwa_Eagle" xfId="1564" xr:uid="{00000000-0005-0000-0000-000003040000}"/>
    <cellStyle name="—_EM-SKTelecom_old_EM-Chunghwa_HSH under review" xfId="1565" xr:uid="{00000000-0005-0000-0000-000004040000}"/>
    <cellStyle name="—_EM-SKTelecom_old_EM-Chunghwa_Novatek forecast 280404" xfId="1566" xr:uid="{00000000-0005-0000-0000-000005040000}"/>
    <cellStyle name="—_EM-SKTelecom_old_EM-Chunghwa_Prosperity REIT_2006Mar27" xfId="1567" xr:uid="{00000000-0005-0000-0000-000006040000}"/>
    <cellStyle name="—_EM-SKTelecom_old_EM-Chunghwa_Shangri-La under review" xfId="1568" xr:uid="{00000000-0005-0000-0000-000007040000}"/>
    <cellStyle name="—_EM-SKTelecom_old_EM-Chunghwa_Want-Want" xfId="1569" xr:uid="{00000000-0005-0000-0000-000008040000}"/>
    <cellStyle name="—_EM-SKTelecom_old_EM-HTI" xfId="1570" xr:uid="{00000000-0005-0000-0000-000009040000}"/>
    <cellStyle name="—_EM-SKTelecom_old_EM-HTI_(GS) China Pharmaceutical Group model" xfId="1571" xr:uid="{00000000-0005-0000-0000-00000A040000}"/>
    <cellStyle name="—_EM-SKTelecom_old_EM-HTI_(GS) Global Bio-chem model" xfId="1572" xr:uid="{00000000-0005-0000-0000-00000B040000}"/>
    <cellStyle name="—_EM-SKTelecom_old_EM-HTI_100902 Helen NTT FCF to be sent" xfId="1573" xr:uid="{00000000-0005-0000-0000-00000C040000}"/>
    <cellStyle name="—_EM-SKTelecom_old_EM-HTI_AUO consolidated 2004_02" xfId="1574" xr:uid="{00000000-0005-0000-0000-00000D040000}"/>
    <cellStyle name="—_EM-SKTelecom_old_EM-HTI_AUO forecast (GQ)2005_03" xfId="1575" xr:uid="{00000000-0005-0000-0000-00000E040000}"/>
    <cellStyle name="—_EM-SKTelecom_old_EM-HTI_blank industrial template - new" xfId="1576" xr:uid="{00000000-0005-0000-0000-00000F040000}"/>
    <cellStyle name="—_EM-SKTelecom_old_EM-HTI_Book4" xfId="1577" xr:uid="{00000000-0005-0000-0000-000010040000}"/>
    <cellStyle name="—_EM-SKTelecom_old_EM-HTI_Book4_BS" xfId="1578" xr:uid="{00000000-0005-0000-0000-000011040000}"/>
    <cellStyle name="—_EM-SKTelecom_old_EM-HTI_Book4_BS_200869 sz - historical" xfId="1579" xr:uid="{00000000-0005-0000-0000-000012040000}"/>
    <cellStyle name="—_EM-SKTelecom_old_EM-HTI_Book4_BS_600519.SS" xfId="1580" xr:uid="{00000000-0005-0000-0000-000013040000}"/>
    <cellStyle name="—_EM-SKTelecom_old_EM-HTI_Book4_BS_Changyu (200869.SZ)_060330" xfId="1581" xr:uid="{00000000-0005-0000-0000-000014040000}"/>
    <cellStyle name="—_EM-SKTelecom_old_EM-HTI_Book4_BS_China Foods (506.HK)" xfId="1582" xr:uid="{00000000-0005-0000-0000-000015040000}"/>
    <cellStyle name="—_EM-SKTelecom_old_EM-HTI_Book4_BS_COFCO (506.HK)" xfId="1583" xr:uid="{00000000-0005-0000-0000-000016040000}"/>
    <cellStyle name="—_EM-SKTelecom_old_EM-HTI_Book4_BS_COFCO (506.HK)_after spinoff" xfId="1584" xr:uid="{00000000-0005-0000-0000-000017040000}"/>
    <cellStyle name="—_EM-SKTelecom_old_EM-HTI_Book4_BS_COFCO NAV - scenario 060117" xfId="1585" xr:uid="{00000000-0005-0000-0000-000018040000}"/>
    <cellStyle name="—_EM-SKTelecom_old_EM-HTI_Book4_BS_COFCO_051010" xfId="1586" xr:uid="{00000000-0005-0000-0000-000019040000}"/>
    <cellStyle name="—_EM-SKTelecom_old_EM-HTI_Book4_BS_COFCO_backup" xfId="1587" xr:uid="{00000000-0005-0000-0000-00001A040000}"/>
    <cellStyle name="—_EM-SKTelecom_old_EM-HTI_Book4_CKC_Hutch_group structure" xfId="1588" xr:uid="{00000000-0005-0000-0000-00001B040000}"/>
    <cellStyle name="—_EM-SKTelecom_old_EM-HTI_Book4_Cost of capital" xfId="1589" xr:uid="{00000000-0005-0000-0000-00001C040000}"/>
    <cellStyle name="—_EM-SKTelecom_old_EM-HTI_Book4_HSH under review" xfId="1590" xr:uid="{00000000-0005-0000-0000-00001D040000}"/>
    <cellStyle name="—_EM-SKTelecom_old_EM-HTI_Book4_Shangri-La under review" xfId="1591" xr:uid="{00000000-0005-0000-0000-00001E040000}"/>
    <cellStyle name="—_EM-SKTelecom_old_EM-HTI_Book4_Yifan template 2" xfId="1592" xr:uid="{00000000-0005-0000-0000-00001F040000}"/>
    <cellStyle name="—_EM-SKTelecom_old_EM-HTI_Book4_Yifan template 2_200869 sz - historical" xfId="1593" xr:uid="{00000000-0005-0000-0000-000020040000}"/>
    <cellStyle name="—_EM-SKTelecom_old_EM-HTI_Book4_Yifan template 2_600519.SS" xfId="1594" xr:uid="{00000000-0005-0000-0000-000021040000}"/>
    <cellStyle name="—_EM-SKTelecom_old_EM-HTI_Book4_Yifan template 2_Changyu (200869.SZ)_060330" xfId="1595" xr:uid="{00000000-0005-0000-0000-000022040000}"/>
    <cellStyle name="—_EM-SKTelecom_old_EM-HTI_Book4_Yifan template 2_China Foods (506.HK)" xfId="1596" xr:uid="{00000000-0005-0000-0000-000023040000}"/>
    <cellStyle name="—_EM-SKTelecom_old_EM-HTI_Book4_Yifan template 2_COFCO (506.HK)" xfId="1597" xr:uid="{00000000-0005-0000-0000-000024040000}"/>
    <cellStyle name="—_EM-SKTelecom_old_EM-HTI_Book4_Yifan template 2_COFCO (506.HK)_after spinoff" xfId="1598" xr:uid="{00000000-0005-0000-0000-000025040000}"/>
    <cellStyle name="—_EM-SKTelecom_old_EM-HTI_Book4_Yifan template 2_COFCO NAV - scenario 060117" xfId="1599" xr:uid="{00000000-0005-0000-0000-000026040000}"/>
    <cellStyle name="—_EM-SKTelecom_old_EM-HTI_Book4_Yifan template 2_COFCO_051010" xfId="1600" xr:uid="{00000000-0005-0000-0000-000027040000}"/>
    <cellStyle name="—_EM-SKTelecom_old_EM-HTI_Book4_Yifan template 2_COFCO_backup" xfId="1601" xr:uid="{00000000-0005-0000-0000-000028040000}"/>
    <cellStyle name="—_EM-SKTelecom_old_EM-HTI_Book6" xfId="1602" xr:uid="{00000000-0005-0000-0000-000029040000}"/>
    <cellStyle name="—_EM-SKTelecom_old_EM-HTI_Book7" xfId="1603" xr:uid="{00000000-0005-0000-0000-00002A040000}"/>
    <cellStyle name="—_EM-SKTelecom_old_EM-HTI_Book7_CKC_Hutch_group structure" xfId="1604" xr:uid="{00000000-0005-0000-0000-00002B040000}"/>
    <cellStyle name="—_EM-SKTelecom_old_EM-HTI_Book7_Hutchison Model 090514" xfId="1605" xr:uid="{00000000-0005-0000-0000-00002C040000}"/>
    <cellStyle name="—_EM-SKTelecom_old_EM-HTI_BS" xfId="1606" xr:uid="{00000000-0005-0000-0000-00002D040000}"/>
    <cellStyle name="—_EM-SKTelecom_old_EM-HTI_BS_200869 sz - historical" xfId="1607" xr:uid="{00000000-0005-0000-0000-00002E040000}"/>
    <cellStyle name="—_EM-SKTelecom_old_EM-HTI_BS_600519.SS" xfId="1608" xr:uid="{00000000-0005-0000-0000-00002F040000}"/>
    <cellStyle name="—_EM-SKTelecom_old_EM-HTI_BS_Changyu (200869.SZ)_060330" xfId="1609" xr:uid="{00000000-0005-0000-0000-000030040000}"/>
    <cellStyle name="—_EM-SKTelecom_old_EM-HTI_BS_China Foods (506.HK)" xfId="1610" xr:uid="{00000000-0005-0000-0000-000031040000}"/>
    <cellStyle name="—_EM-SKTelecom_old_EM-HTI_BS_COFCO (506.HK)" xfId="1611" xr:uid="{00000000-0005-0000-0000-000032040000}"/>
    <cellStyle name="—_EM-SKTelecom_old_EM-HTI_BS_COFCO (506.HK)_after spinoff" xfId="1612" xr:uid="{00000000-0005-0000-0000-000033040000}"/>
    <cellStyle name="—_EM-SKTelecom_old_EM-HTI_BS_COFCO NAV - scenario 060117" xfId="1613" xr:uid="{00000000-0005-0000-0000-000034040000}"/>
    <cellStyle name="—_EM-SKTelecom_old_EM-HTI_BS_COFCO_051010" xfId="1614" xr:uid="{00000000-0005-0000-0000-000035040000}"/>
    <cellStyle name="—_EM-SKTelecom_old_EM-HTI_BS_COFCO_backup" xfId="1615" xr:uid="{00000000-0005-0000-0000-000036040000}"/>
    <cellStyle name="—_EM-SKTelecom_old_EM-HTI_Champion REIT under review" xfId="1616" xr:uid="{00000000-0005-0000-0000-000037040000}"/>
    <cellStyle name="—_EM-SKTelecom_old_EM-HTI_Cheng Shin Model" xfId="1617" xr:uid="{00000000-0005-0000-0000-000038040000}"/>
    <cellStyle name="—_EM-SKTelecom_old_EM-HTI_CK Hutch InvestmentProp Mar 24 2006" xfId="1618" xr:uid="{00000000-0005-0000-0000-000039040000}"/>
    <cellStyle name="—_EM-SKTelecom_old_EM-HTI_CKC_Hutch_group structure" xfId="1619" xr:uid="{00000000-0005-0000-0000-00003A040000}"/>
    <cellStyle name="—_EM-SKTelecom_old_EM-HTI_Cost of capital" xfId="1620" xr:uid="{00000000-0005-0000-0000-00003B040000}"/>
    <cellStyle name="—_EM-SKTelecom_old_EM-HTI_Eagle" xfId="1621" xr:uid="{00000000-0005-0000-0000-00003C040000}"/>
    <cellStyle name="—_EM-SKTelecom_old_EM-HTI_EM_ChinaTelecom" xfId="1622" xr:uid="{00000000-0005-0000-0000-00003D040000}"/>
    <cellStyle name="—_EM-SKTelecom_old_EM-HTI_EM_ChinaTelecom_AUO consolidated 2004_02" xfId="1623" xr:uid="{00000000-0005-0000-0000-00003E040000}"/>
    <cellStyle name="—_EM-SKTelecom_old_EM-HTI_EM_ChinaTelecom_AUO forecast (GQ)2005_03" xfId="1624" xr:uid="{00000000-0005-0000-0000-00003F040000}"/>
    <cellStyle name="—_EM-SKTelecom_old_EM-HTI_EM_ChinaTelecom_blank industrial template - new" xfId="1625" xr:uid="{00000000-0005-0000-0000-000040040000}"/>
    <cellStyle name="—_EM-SKTelecom_old_EM-HTI_EM_ChinaTelecom_BS" xfId="1626" xr:uid="{00000000-0005-0000-0000-000041040000}"/>
    <cellStyle name="—_EM-SKTelecom_old_EM-HTI_EM_ChinaTelecom_Eagle" xfId="1627" xr:uid="{00000000-0005-0000-0000-000042040000}"/>
    <cellStyle name="—_EM-SKTelecom_old_EM-HTI_EM_ChinaTelecom_HSH under review" xfId="1628" xr:uid="{00000000-0005-0000-0000-000043040000}"/>
    <cellStyle name="—_EM-SKTelecom_old_EM-HTI_EM_ChinaTelecom_Novatek forecast 280404" xfId="1629" xr:uid="{00000000-0005-0000-0000-000044040000}"/>
    <cellStyle name="—_EM-SKTelecom_old_EM-HTI_EM_ChinaTelecom_Prosperity REIT_2006Mar27" xfId="1630" xr:uid="{00000000-0005-0000-0000-000045040000}"/>
    <cellStyle name="—_EM-SKTelecom_old_EM-HTI_EM_ChinaTelecom_Shangri-La under review" xfId="1631" xr:uid="{00000000-0005-0000-0000-000046040000}"/>
    <cellStyle name="—_EM-SKTelecom_old_EM-HTI_EM_FETone_new" xfId="1632" xr:uid="{00000000-0005-0000-0000-000047040000}"/>
    <cellStyle name="—_EM-SKTelecom_old_EM-HTI_EM_FETone_new_AUO consolidated 2004_02" xfId="1633" xr:uid="{00000000-0005-0000-0000-000048040000}"/>
    <cellStyle name="—_EM-SKTelecom_old_EM-HTI_EM_FETone_new_AUO forecast (GQ)2005_03" xfId="1634" xr:uid="{00000000-0005-0000-0000-000049040000}"/>
    <cellStyle name="—_EM-SKTelecom_old_EM-HTI_EM_FETone_new_blank industrial template - new" xfId="1635" xr:uid="{00000000-0005-0000-0000-00004A040000}"/>
    <cellStyle name="—_EM-SKTelecom_old_EM-HTI_EM_FETone_new_BS" xfId="1636" xr:uid="{00000000-0005-0000-0000-00004B040000}"/>
    <cellStyle name="—_EM-SKTelecom_old_EM-HTI_EM_FETone_new_Eagle" xfId="1637" xr:uid="{00000000-0005-0000-0000-00004C040000}"/>
    <cellStyle name="—_EM-SKTelecom_old_EM-HTI_EM_FETone_new_HSH under review" xfId="1638" xr:uid="{00000000-0005-0000-0000-00004D040000}"/>
    <cellStyle name="—_EM-SKTelecom_old_EM-HTI_EM_FETone_new_Novatek forecast 280404" xfId="1639" xr:uid="{00000000-0005-0000-0000-00004E040000}"/>
    <cellStyle name="—_EM-SKTelecom_old_EM-HTI_EM_FETone_new_Prosperity REIT_2006Mar27" xfId="1640" xr:uid="{00000000-0005-0000-0000-00004F040000}"/>
    <cellStyle name="—_EM-SKTelecom_old_EM-HTI_EM_FETone_new_Shangri-La under review" xfId="1641" xr:uid="{00000000-0005-0000-0000-000050040000}"/>
    <cellStyle name="—_EM-SKTelecom_old_EM-HTI_EM_NZT" xfId="1642" xr:uid="{00000000-0005-0000-0000-000051040000}"/>
    <cellStyle name="—_EM-SKTelecom_old_EM-HTI_EM_NZT_Book7" xfId="1643" xr:uid="{00000000-0005-0000-0000-000052040000}"/>
    <cellStyle name="—_EM-SKTelecom_old_EM-HTI_EM_NZT_Book7_CKC_Hutch_group structure" xfId="1644" xr:uid="{00000000-0005-0000-0000-000053040000}"/>
    <cellStyle name="—_EM-SKTelecom_old_EM-HTI_EM_NZT_Book7_Hutchison Model 090514" xfId="1645" xr:uid="{00000000-0005-0000-0000-000054040000}"/>
    <cellStyle name="—_EM-SKTelecom_old_EM-HTI_EM_NZT_Book7_NAV" xfId="1646" xr:uid="{00000000-0005-0000-0000-000055040000}"/>
    <cellStyle name="—_EM-SKTelecom_old_EM-HTI_EM_NZT_Book7_QP_0019.HK" xfId="1647" xr:uid="{00000000-0005-0000-0000-000056040000}"/>
    <cellStyle name="—_EM-SKTelecom_old_EM-HTI_EM_NZT_Book7_Swire Model" xfId="1648" xr:uid="{00000000-0005-0000-0000-000057040000}"/>
    <cellStyle name="—_EM-SKTelecom_old_EM-HTI_EM_NZT_Book7_SWIRESS" xfId="1649" xr:uid="{00000000-0005-0000-0000-000058040000}"/>
    <cellStyle name="—_EM-SKTelecom_old_EM-HTI_EM_NZT_BS" xfId="1650" xr:uid="{00000000-0005-0000-0000-000059040000}"/>
    <cellStyle name="—_EM-SKTelecom_old_EM-HTI_EM_NZT_BS_200869 sz - historical" xfId="1651" xr:uid="{00000000-0005-0000-0000-00005A040000}"/>
    <cellStyle name="—_EM-SKTelecom_old_EM-HTI_EM_NZT_BS_600519.SS" xfId="1652" xr:uid="{00000000-0005-0000-0000-00005B040000}"/>
    <cellStyle name="—_EM-SKTelecom_old_EM-HTI_EM_NZT_BS_Changyu (200869.SZ)_060330" xfId="1653" xr:uid="{00000000-0005-0000-0000-00005C040000}"/>
    <cellStyle name="—_EM-SKTelecom_old_EM-HTI_EM_NZT_BS_China Foods (506.HK)" xfId="1654" xr:uid="{00000000-0005-0000-0000-00005D040000}"/>
    <cellStyle name="—_EM-SKTelecom_old_EM-HTI_EM_NZT_BS_COFCO (506.HK)" xfId="1655" xr:uid="{00000000-0005-0000-0000-00005E040000}"/>
    <cellStyle name="—_EM-SKTelecom_old_EM-HTI_EM_NZT_BS_COFCO (506.HK)_after spinoff" xfId="1656" xr:uid="{00000000-0005-0000-0000-00005F040000}"/>
    <cellStyle name="—_EM-SKTelecom_old_EM-HTI_EM_NZT_BS_COFCO NAV - scenario 060117" xfId="1657" xr:uid="{00000000-0005-0000-0000-000060040000}"/>
    <cellStyle name="—_EM-SKTelecom_old_EM-HTI_EM_NZT_BS_COFCO_051010" xfId="1658" xr:uid="{00000000-0005-0000-0000-000061040000}"/>
    <cellStyle name="—_EM-SKTelecom_old_EM-HTI_EM_NZT_BS_COFCO_backup" xfId="1659" xr:uid="{00000000-0005-0000-0000-000062040000}"/>
    <cellStyle name="—_EM-SKTelecom_old_EM-HTI_EM_NZT_CKC_Hutch_group structure" xfId="1660" xr:uid="{00000000-0005-0000-0000-000063040000}"/>
    <cellStyle name="—_EM-SKTelecom_old_EM-HTI_EM_NZT_Cost of capital" xfId="1661" xr:uid="{00000000-0005-0000-0000-000064040000}"/>
    <cellStyle name="—_EM-SKTelecom_old_EM-HTI_EM_NZT_HSH under review" xfId="1662" xr:uid="{00000000-0005-0000-0000-000065040000}"/>
    <cellStyle name="—_EM-SKTelecom_old_EM-HTI_EM_NZT_Shangri-La under review" xfId="1663" xr:uid="{00000000-0005-0000-0000-000066040000}"/>
    <cellStyle name="—_EM-SKTelecom_old_EM-HTI_EM_NZT_Yifan template 2" xfId="1664" xr:uid="{00000000-0005-0000-0000-000067040000}"/>
    <cellStyle name="—_EM-SKTelecom_old_EM-HTI_EM_NZT_Yifan template 2_200869 sz - historical" xfId="1665" xr:uid="{00000000-0005-0000-0000-000068040000}"/>
    <cellStyle name="—_EM-SKTelecom_old_EM-HTI_EM_NZT_Yifan template 2_600519.SS" xfId="1666" xr:uid="{00000000-0005-0000-0000-000069040000}"/>
    <cellStyle name="—_EM-SKTelecom_old_EM-HTI_EM_NZT_Yifan template 2_Changyu (200869.SZ)_060330" xfId="1667" xr:uid="{00000000-0005-0000-0000-00006A040000}"/>
    <cellStyle name="—_EM-SKTelecom_old_EM-HTI_EM_NZT_Yifan template 2_China Foods (506.HK)" xfId="1668" xr:uid="{00000000-0005-0000-0000-00006B040000}"/>
    <cellStyle name="—_EM-SKTelecom_old_EM-HTI_EM_NZT_Yifan template 2_COFCO (506.HK)" xfId="1669" xr:uid="{00000000-0005-0000-0000-00006C040000}"/>
    <cellStyle name="—_EM-SKTelecom_old_EM-HTI_EM_NZT_Yifan template 2_COFCO (506.HK)_after spinoff" xfId="1670" xr:uid="{00000000-0005-0000-0000-00006D040000}"/>
    <cellStyle name="—_EM-SKTelecom_old_EM-HTI_EM_NZT_Yifan template 2_COFCO NAV - scenario 060117" xfId="1671" xr:uid="{00000000-0005-0000-0000-00006E040000}"/>
    <cellStyle name="—_EM-SKTelecom_old_EM-HTI_EM_NZT_Yifan template 2_COFCO_051010" xfId="1672" xr:uid="{00000000-0005-0000-0000-00006F040000}"/>
    <cellStyle name="—_EM-SKTelecom_old_EM-HTI_EM_NZT_Yifan template 2_COFCO_backup" xfId="1673" xr:uid="{00000000-0005-0000-0000-000070040000}"/>
    <cellStyle name="—_EM-SKTelecom_old_EM-HTI_EM_TCC" xfId="1674" xr:uid="{00000000-0005-0000-0000-000071040000}"/>
    <cellStyle name="—_EM-SKTelecom_old_EM-HTI_EM_TCC_AUO consolidated 2004_02" xfId="1675" xr:uid="{00000000-0005-0000-0000-000072040000}"/>
    <cellStyle name="—_EM-SKTelecom_old_EM-HTI_EM_TCC_AUO forecast (GQ)2005_03" xfId="1676" xr:uid="{00000000-0005-0000-0000-000073040000}"/>
    <cellStyle name="—_EM-SKTelecom_old_EM-HTI_EM_TCC_blank industrial template - new" xfId="1677" xr:uid="{00000000-0005-0000-0000-000074040000}"/>
    <cellStyle name="—_EM-SKTelecom_old_EM-HTI_EM_TCC_BS" xfId="1678" xr:uid="{00000000-0005-0000-0000-000075040000}"/>
    <cellStyle name="—_EM-SKTelecom_old_EM-HTI_EM_TCC_Eagle" xfId="1679" xr:uid="{00000000-0005-0000-0000-000076040000}"/>
    <cellStyle name="—_EM-SKTelecom_old_EM-HTI_EM_TCC_HSH under review" xfId="1680" xr:uid="{00000000-0005-0000-0000-000077040000}"/>
    <cellStyle name="—_EM-SKTelecom_old_EM-HTI_EM_TCC_new" xfId="1681" xr:uid="{00000000-0005-0000-0000-000078040000}"/>
    <cellStyle name="—_EM-SKTelecom_old_EM-HTI_EM_TCC_new_AUO consolidated 2004_02" xfId="1682" xr:uid="{00000000-0005-0000-0000-000079040000}"/>
    <cellStyle name="—_EM-SKTelecom_old_EM-HTI_EM_TCC_new_AUO forecast (GQ)2005_03" xfId="1683" xr:uid="{00000000-0005-0000-0000-00007A040000}"/>
    <cellStyle name="—_EM-SKTelecom_old_EM-HTI_EM_TCC_new_blank industrial template - new" xfId="1684" xr:uid="{00000000-0005-0000-0000-00007B040000}"/>
    <cellStyle name="—_EM-SKTelecom_old_EM-HTI_EM_TCC_new_BS" xfId="1685" xr:uid="{00000000-0005-0000-0000-00007C040000}"/>
    <cellStyle name="—_EM-SKTelecom_old_EM-HTI_EM_TCC_new_Eagle" xfId="1686" xr:uid="{00000000-0005-0000-0000-00007D040000}"/>
    <cellStyle name="—_EM-SKTelecom_old_EM-HTI_EM_TCC_new_HSH under review" xfId="1687" xr:uid="{00000000-0005-0000-0000-00007E040000}"/>
    <cellStyle name="—_EM-SKTelecom_old_EM-HTI_EM_TCC_new_Novatek forecast 280404" xfId="1688" xr:uid="{00000000-0005-0000-0000-00007F040000}"/>
    <cellStyle name="—_EM-SKTelecom_old_EM-HTI_EM_TCC_new_Prosperity REIT_2006Mar27" xfId="1689" xr:uid="{00000000-0005-0000-0000-000080040000}"/>
    <cellStyle name="—_EM-SKTelecom_old_EM-HTI_EM_TCC_new_Shangri-La under review" xfId="1690" xr:uid="{00000000-0005-0000-0000-000081040000}"/>
    <cellStyle name="—_EM-SKTelecom_old_EM-HTI_EM_TCC_Novatek forecast 280404" xfId="1691" xr:uid="{00000000-0005-0000-0000-000082040000}"/>
    <cellStyle name="—_EM-SKTelecom_old_EM-HTI_EM_TCC_Prosperity REIT_2006Mar27" xfId="1692" xr:uid="{00000000-0005-0000-0000-000083040000}"/>
    <cellStyle name="—_EM-SKTelecom_old_EM-HTI_EM_TCC_Shangri-La under review" xfId="1693" xr:uid="{00000000-0005-0000-0000-000084040000}"/>
    <cellStyle name="—_EM-SKTelecom_old_EM-HTI_EM-Chunghwa" xfId="1694" xr:uid="{00000000-0005-0000-0000-000085040000}"/>
    <cellStyle name="—_EM-SKTelecom_old_EM-HTI_EM-Chunghwa_AUO consolidated 2004_02" xfId="1695" xr:uid="{00000000-0005-0000-0000-000086040000}"/>
    <cellStyle name="—_EM-SKTelecom_old_EM-HTI_EM-Chunghwa_AUO forecast (GQ)2005_03" xfId="1696" xr:uid="{00000000-0005-0000-0000-000087040000}"/>
    <cellStyle name="—_EM-SKTelecom_old_EM-HTI_EM-Chunghwa_blank industrial template - new" xfId="1697" xr:uid="{00000000-0005-0000-0000-000088040000}"/>
    <cellStyle name="—_EM-SKTelecom_old_EM-HTI_EM-Chunghwa_BS" xfId="1698" xr:uid="{00000000-0005-0000-0000-000089040000}"/>
    <cellStyle name="—_EM-SKTelecom_old_EM-HTI_EM-Chunghwa_Eagle" xfId="1699" xr:uid="{00000000-0005-0000-0000-00008A040000}"/>
    <cellStyle name="—_EM-SKTelecom_old_EM-HTI_EM-Chunghwa_HSH under review" xfId="1700" xr:uid="{00000000-0005-0000-0000-00008B040000}"/>
    <cellStyle name="—_EM-SKTelecom_old_EM-HTI_EM-Chunghwa_Novatek forecast 280404" xfId="1701" xr:uid="{00000000-0005-0000-0000-00008C040000}"/>
    <cellStyle name="—_EM-SKTelecom_old_EM-HTI_EM-Chunghwa_Prosperity REIT_2006Mar27" xfId="1702" xr:uid="{00000000-0005-0000-0000-00008D040000}"/>
    <cellStyle name="—_EM-SKTelecom_old_EM-HTI_EM-Chunghwa_Shangri-La under review" xfId="1703" xr:uid="{00000000-0005-0000-0000-00008E040000}"/>
    <cellStyle name="—_EM-SKTelecom_old_EM-HTI_GlobalValuation_Japan" xfId="1704" xr:uid="{00000000-0005-0000-0000-00008F040000}"/>
    <cellStyle name="—_EM-SKTelecom_old_EM-HTI_Great Eagle 080425" xfId="1705" xr:uid="{00000000-0005-0000-0000-000090040000}"/>
    <cellStyle name="—_EM-SKTelecom_old_EM-HTI_HLG stub" xfId="1706" xr:uid="{00000000-0005-0000-0000-000091040000}"/>
    <cellStyle name="—_EM-SKTelecom_old_EM-HTI_HSH under review" xfId="1707" xr:uid="{00000000-0005-0000-0000-000092040000}"/>
    <cellStyle name="—_EM-SKTelecom_old_EM-HTI_Hutchison Model 090514" xfId="1708" xr:uid="{00000000-0005-0000-0000-000093040000}"/>
    <cellStyle name="—_EM-SKTelecom_old_EM-HTI_Hysan" xfId="1709" xr:uid="{00000000-0005-0000-0000-000094040000}"/>
    <cellStyle name="—_EM-SKTelecom_old_EM-HTI_Interim" xfId="1710" xr:uid="{00000000-0005-0000-0000-000095040000}"/>
    <cellStyle name="—_EM-SKTelecom_old_EM-HTI_JT CROCI" xfId="1711" xr:uid="{00000000-0005-0000-0000-000096040000}"/>
    <cellStyle name="—_EM-SKTelecom_old_EM-HTI_KDDI CROCI" xfId="1712" xr:uid="{00000000-0005-0000-0000-000097040000}"/>
    <cellStyle name="—_EM-SKTelecom_old_EM-HTI_Landlords" xfId="1713" xr:uid="{00000000-0005-0000-0000-000098040000}"/>
    <cellStyle name="—_EM-SKTelecom_old_EM-HTI_li&amp;fung model from Mike Warren_050317" xfId="1714" xr:uid="{00000000-0005-0000-0000-000099040000}"/>
    <cellStyle name="—_EM-SKTelecom_old_EM-HTI_MN071101" xfId="1715" xr:uid="{00000000-0005-0000-0000-00009A040000}"/>
    <cellStyle name="—_EM-SKTelecom_old_EM-HTI_MN-Langham" xfId="1716" xr:uid="{00000000-0005-0000-0000-00009B040000}"/>
    <cellStyle name="—_EM-SKTelecom_old_EM-HTI_Model" xfId="1717" xr:uid="{00000000-0005-0000-0000-00009C040000}"/>
    <cellStyle name="—_EM-SKTelecom_old_EM-HTI_Novatek forecast" xfId="1718" xr:uid="{00000000-0005-0000-0000-00009D040000}"/>
    <cellStyle name="—_EM-SKTelecom_old_EM-HTI_Novatek forecast 280404" xfId="1719" xr:uid="{00000000-0005-0000-0000-00009E040000}"/>
    <cellStyle name="—_EM-SKTelecom_old_EM-HTI_NTT CROCI" xfId="1720" xr:uid="{00000000-0005-0000-0000-00009F040000}"/>
    <cellStyle name="—_EM-SKTelecom_old_EM-HTI_NTT proportionate" xfId="1721" xr:uid="{00000000-0005-0000-0000-0000A0040000}"/>
    <cellStyle name="—_EM-SKTelecom_old_EM-HTI_Office supply &amp; demand" xfId="1722" xr:uid="{00000000-0005-0000-0000-0000A1040000}"/>
    <cellStyle name="—_EM-SKTelecom_old_EM-HTI_Prosperity REIT_2006Mar27" xfId="1723" xr:uid="{00000000-0005-0000-0000-0000A2040000}"/>
    <cellStyle name="—_EM-SKTelecom_old_EM-HTI_RPT-Developers-2008Sep" xfId="1724" xr:uid="{00000000-0005-0000-0000-0000A3040000}"/>
    <cellStyle name="—_EM-SKTelecom_old_EM-HTI_RPT-Hongkong Land 080430" xfId="1725" xr:uid="{00000000-0005-0000-0000-0000A4040000}"/>
    <cellStyle name="—_EM-SKTelecom_old_EM-HTI_RPT-Landlords-2008Sep" xfId="1726" xr:uid="{00000000-0005-0000-0000-0000A5040000}"/>
    <cellStyle name="—_EM-SKTelecom_old_EM-HTI_Shangri-La under review" xfId="1727" xr:uid="{00000000-0005-0000-0000-0000A6040000}"/>
    <cellStyle name="—_EM-SKTelecom_old_EM-HTI_Sheet1" xfId="1728" xr:uid="{00000000-0005-0000-0000-0000A7040000}"/>
    <cellStyle name="—_EM-SKTelecom_old_EM-HTI_Yifan template 2" xfId="1729" xr:uid="{00000000-0005-0000-0000-0000A8040000}"/>
    <cellStyle name="—_EM-SKTelecom_old_EM-HTI_Yifan template 2_200869 sz - historical" xfId="1730" xr:uid="{00000000-0005-0000-0000-0000A9040000}"/>
    <cellStyle name="—_EM-SKTelecom_old_EM-HTI_Yifan template 2_600519.SS" xfId="1731" xr:uid="{00000000-0005-0000-0000-0000AA040000}"/>
    <cellStyle name="—_EM-SKTelecom_old_EM-HTI_Yifan template 2_Changyu (200869.SZ)_060330" xfId="1732" xr:uid="{00000000-0005-0000-0000-0000AB040000}"/>
    <cellStyle name="—_EM-SKTelecom_old_EM-HTI_Yifan template 2_China Foods (506.HK)" xfId="1733" xr:uid="{00000000-0005-0000-0000-0000AC040000}"/>
    <cellStyle name="—_EM-SKTelecom_old_EM-HTI_Yifan template 2_COFCO (506.HK)" xfId="1734" xr:uid="{00000000-0005-0000-0000-0000AD040000}"/>
    <cellStyle name="—_EM-SKTelecom_old_EM-HTI_Yifan template 2_COFCO (506.HK)_after spinoff" xfId="1735" xr:uid="{00000000-0005-0000-0000-0000AE040000}"/>
    <cellStyle name="—_EM-SKTelecom_old_EM-HTI_Yifan template 2_COFCO NAV - scenario 060117" xfId="1736" xr:uid="{00000000-0005-0000-0000-0000AF040000}"/>
    <cellStyle name="—_EM-SKTelecom_old_EM-HTI_Yifan template 2_COFCO_051010" xfId="1737" xr:uid="{00000000-0005-0000-0000-0000B0040000}"/>
    <cellStyle name="—_EM-SKTelecom_old_EM-HTI_Yifan template 2_COFCO_backup" xfId="1738" xr:uid="{00000000-0005-0000-0000-0000B1040000}"/>
    <cellStyle name="—_EM-SKTelecom_old_EM-SKTelecom" xfId="1739" xr:uid="{00000000-0005-0000-0000-0000B2040000}"/>
    <cellStyle name="—_EM-SKTelecom_old_EM-SKTelecom_CKC_Hutch_group structure" xfId="1740" xr:uid="{00000000-0005-0000-0000-0000B3040000}"/>
    <cellStyle name="—_EM-SKTelecom_old_EM-SKTelecom_Feb01report" xfId="1741" xr:uid="{00000000-0005-0000-0000-0000B4040000}"/>
    <cellStyle name="—_EM-SKTelecom_old_EM-SKTelecom_Feb01report_NAV" xfId="1742" xr:uid="{00000000-0005-0000-0000-0000B5040000}"/>
    <cellStyle name="—_EM-SKTelecom_old_EM-SKTelecom_Feb01report_QP_0019.HK" xfId="1743" xr:uid="{00000000-0005-0000-0000-0000B6040000}"/>
    <cellStyle name="—_EM-SKTelecom_old_EM-SKTelecom_Feb01report_Swire Model" xfId="1744" xr:uid="{00000000-0005-0000-0000-0000B7040000}"/>
    <cellStyle name="—_EM-SKTelecom_old_EM-SKTelecom_Feb01report_SWIRESS" xfId="1745" xr:uid="{00000000-0005-0000-0000-0000B8040000}"/>
    <cellStyle name="—_EM-SKTelecom_old_EM-SKTelecom_Hutchison Model" xfId="1746" xr:uid="{00000000-0005-0000-0000-0000B9040000}"/>
    <cellStyle name="—_EM-SKTelecom_old_EM-SKTelecom_Hutchison Model 090514" xfId="1747" xr:uid="{00000000-0005-0000-0000-0000BA040000}"/>
    <cellStyle name="—_EM-SKTelecom_old_EM-SKTelecom_hutchss" xfId="1748" xr:uid="{00000000-0005-0000-0000-0000BB040000}"/>
    <cellStyle name="—_EM-SKTelecom_old_EM-SKTelecom_NAV" xfId="1749" xr:uid="{00000000-0005-0000-0000-0000BC040000}"/>
    <cellStyle name="—_EM-SKTelecom_old_EM-SKTelecom_Prop Dev" xfId="1750" xr:uid="{00000000-0005-0000-0000-0000BD040000}"/>
    <cellStyle name="—_EM-SKTelecom_old_Feb01report" xfId="1751" xr:uid="{00000000-0005-0000-0000-0000BE040000}"/>
    <cellStyle name="—_EM-SKTelecom_old_Feb01report_NAV" xfId="1752" xr:uid="{00000000-0005-0000-0000-0000BF040000}"/>
    <cellStyle name="—_EM-SKTelecom_old_Feb01report_QP_0019.HK" xfId="1753" xr:uid="{00000000-0005-0000-0000-0000C0040000}"/>
    <cellStyle name="—_EM-SKTelecom_old_Feb01report_Swire Model" xfId="1754" xr:uid="{00000000-0005-0000-0000-0000C1040000}"/>
    <cellStyle name="—_EM-SKTelecom_old_Feb01report_SWIRESS" xfId="1755" xr:uid="{00000000-0005-0000-0000-0000C2040000}"/>
    <cellStyle name="—_EM-SKTelecom_old_Great Eagle 080425" xfId="1756" xr:uid="{00000000-0005-0000-0000-0000C3040000}"/>
    <cellStyle name="—_EM-SKTelecom_old_HLG stub" xfId="1757" xr:uid="{00000000-0005-0000-0000-0000C4040000}"/>
    <cellStyle name="—_EM-SKTelecom_old_HSH under review" xfId="1758" xr:uid="{00000000-0005-0000-0000-0000C5040000}"/>
    <cellStyle name="—_EM-SKTelecom_old_Hutchison Model 090514" xfId="1759" xr:uid="{00000000-0005-0000-0000-0000C6040000}"/>
    <cellStyle name="—_EM-SKTelecom_old_hutchss" xfId="1760" xr:uid="{00000000-0005-0000-0000-0000C7040000}"/>
    <cellStyle name="—_EM-SKTelecom_old_hutchss_NAV" xfId="1761" xr:uid="{00000000-0005-0000-0000-0000C8040000}"/>
    <cellStyle name="—_EM-SKTelecom_old_hutchss_QP_0019.HK" xfId="1762" xr:uid="{00000000-0005-0000-0000-0000C9040000}"/>
    <cellStyle name="—_EM-SKTelecom_old_hutchss_Swire Model" xfId="1763" xr:uid="{00000000-0005-0000-0000-0000CA040000}"/>
    <cellStyle name="—_EM-SKTelecom_old_hutchss_SWIRESS" xfId="1764" xr:uid="{00000000-0005-0000-0000-0000CB040000}"/>
    <cellStyle name="—_EM-SKTelecom_old_Hysan" xfId="1765" xr:uid="{00000000-0005-0000-0000-0000CC040000}"/>
    <cellStyle name="—_EM-SKTelecom_old_Interim" xfId="1766" xr:uid="{00000000-0005-0000-0000-0000CD040000}"/>
    <cellStyle name="—_EM-SKTelecom_old_Landlords" xfId="1767" xr:uid="{00000000-0005-0000-0000-0000CE040000}"/>
    <cellStyle name="—_EM-SKTelecom_old_li&amp;fung model from Mike Warren_050317" xfId="1768" xr:uid="{00000000-0005-0000-0000-0000CF040000}"/>
    <cellStyle name="—_EM-SKTelecom_old_li&amp;fungSS" xfId="1769" xr:uid="{00000000-0005-0000-0000-0000D0040000}"/>
    <cellStyle name="—_EM-SKTelecom_old_li&amp;fungSS_CKC_Hutch_group structure" xfId="1770" xr:uid="{00000000-0005-0000-0000-0000D1040000}"/>
    <cellStyle name="—_EM-SKTelecom_old_li&amp;fungSS_Hutchison Model 090514" xfId="1771" xr:uid="{00000000-0005-0000-0000-0000D2040000}"/>
    <cellStyle name="—_EM-SKTelecom_old_li&amp;fungSS_NAV" xfId="1772" xr:uid="{00000000-0005-0000-0000-0000D3040000}"/>
    <cellStyle name="—_EM-SKTelecom_old_li&amp;fungSS_QP_0019.HK" xfId="1773" xr:uid="{00000000-0005-0000-0000-0000D4040000}"/>
    <cellStyle name="—_EM-SKTelecom_old_li&amp;fungSS_Swire Model" xfId="1774" xr:uid="{00000000-0005-0000-0000-0000D5040000}"/>
    <cellStyle name="—_EM-SKTelecom_old_li&amp;fungSS_SWIRESS" xfId="1775" xr:uid="{00000000-0005-0000-0000-0000D6040000}"/>
    <cellStyle name="—_EM-SKTelecom_old_MASTER" xfId="1776" xr:uid="{00000000-0005-0000-0000-0000D7040000}"/>
    <cellStyle name="—_EM-SKTelecom_old_MN071101" xfId="1777" xr:uid="{00000000-0005-0000-0000-0000D8040000}"/>
    <cellStyle name="—_EM-SKTelecom_old_MN-Langham" xfId="1778" xr:uid="{00000000-0005-0000-0000-0000D9040000}"/>
    <cellStyle name="—_EM-SKTelecom_old_Model" xfId="1779" xr:uid="{00000000-0005-0000-0000-0000DA040000}"/>
    <cellStyle name="—_EM-SKTelecom_old_Novatek forecast" xfId="1780" xr:uid="{00000000-0005-0000-0000-0000DB040000}"/>
    <cellStyle name="—_EM-SKTelecom_old_Novatek forecast 280404" xfId="1781" xr:uid="{00000000-0005-0000-0000-0000DC040000}"/>
    <cellStyle name="—_EM-SKTelecom_old_Office supply &amp; demand" xfId="1782" xr:uid="{00000000-0005-0000-0000-0000DD040000}"/>
    <cellStyle name="—_EM-SKTelecom_old_Prop Dev" xfId="1783" xr:uid="{00000000-0005-0000-0000-0000DE040000}"/>
    <cellStyle name="—_EM-SKTelecom_old_Prosperity REIT_2006Mar27" xfId="1784" xr:uid="{00000000-0005-0000-0000-0000DF040000}"/>
    <cellStyle name="—_EM-SKTelecom_old_Revenue" xfId="1785" xr:uid="{00000000-0005-0000-0000-0000E0040000}"/>
    <cellStyle name="—_EM-SKTelecom_old_Revenue_AUO consolidated 2004_02" xfId="1786" xr:uid="{00000000-0005-0000-0000-0000E1040000}"/>
    <cellStyle name="—_EM-SKTelecom_old_Revenue_AUO forecast (GQ)2005_03" xfId="1787" xr:uid="{00000000-0005-0000-0000-0000E2040000}"/>
    <cellStyle name="—_EM-SKTelecom_old_Revenue_blank industrial template - new" xfId="1788" xr:uid="{00000000-0005-0000-0000-0000E3040000}"/>
    <cellStyle name="—_EM-SKTelecom_old_Revenue_BS" xfId="1789" xr:uid="{00000000-0005-0000-0000-0000E4040000}"/>
    <cellStyle name="—_EM-SKTelecom_old_Revenue_Eagle" xfId="1790" xr:uid="{00000000-0005-0000-0000-0000E5040000}"/>
    <cellStyle name="—_EM-SKTelecom_old_Revenue_HSH under review" xfId="1791" xr:uid="{00000000-0005-0000-0000-0000E6040000}"/>
    <cellStyle name="—_EM-SKTelecom_old_Revenue_Novatek forecast 280404" xfId="1792" xr:uid="{00000000-0005-0000-0000-0000E7040000}"/>
    <cellStyle name="—_EM-SKTelecom_old_Revenue_Prosperity REIT_2006Mar27" xfId="1793" xr:uid="{00000000-0005-0000-0000-0000E8040000}"/>
    <cellStyle name="—_EM-SKTelecom_old_Revenue_Shangri-La under review" xfId="1794" xr:uid="{00000000-0005-0000-0000-0000E9040000}"/>
    <cellStyle name="—_EM-SKTelecom_old_RPT-Developers-2008Sep" xfId="1795" xr:uid="{00000000-0005-0000-0000-0000EA040000}"/>
    <cellStyle name="—_EM-SKTelecom_old_RPT-Hongkong Land 080430" xfId="1796" xr:uid="{00000000-0005-0000-0000-0000EB040000}"/>
    <cellStyle name="—_EM-SKTelecom_old_RPT-Landlords-2008Sep" xfId="1797" xr:uid="{00000000-0005-0000-0000-0000EC040000}"/>
    <cellStyle name="—_EM-SKTelecom_old_Shangri-La under review" xfId="1798" xr:uid="{00000000-0005-0000-0000-0000ED040000}"/>
    <cellStyle name="—_EM-SKTelecom_old_ShunTakSS" xfId="1799" xr:uid="{00000000-0005-0000-0000-0000EE040000}"/>
    <cellStyle name="—_EM-SKTelecom_old_Strategy_data_update" xfId="1800" xr:uid="{00000000-0005-0000-0000-0000EF040000}"/>
    <cellStyle name="—_EM-SKTelecom_old_Strategy_data_update_AUO consolidated 2004_02" xfId="1801" xr:uid="{00000000-0005-0000-0000-0000F0040000}"/>
    <cellStyle name="—_EM-SKTelecom_old_Strategy_data_update_AUO forecast (GQ)2005_03" xfId="1802" xr:uid="{00000000-0005-0000-0000-0000F1040000}"/>
    <cellStyle name="—_EM-SKTelecom_old_Strategy_data_update_blank industrial template - new" xfId="1803" xr:uid="{00000000-0005-0000-0000-0000F2040000}"/>
    <cellStyle name="—_EM-SKTelecom_old_Strategy_data_update_BS" xfId="1804" xr:uid="{00000000-0005-0000-0000-0000F3040000}"/>
    <cellStyle name="—_EM-SKTelecom_old_Strategy_data_update_Eagle" xfId="1805" xr:uid="{00000000-0005-0000-0000-0000F4040000}"/>
    <cellStyle name="—_EM-SKTelecom_old_Strategy_data_update_HSH under review" xfId="1806" xr:uid="{00000000-0005-0000-0000-0000F5040000}"/>
    <cellStyle name="—_EM-SKTelecom_old_Strategy_data_update_Novatek forecast 280404" xfId="1807" xr:uid="{00000000-0005-0000-0000-0000F6040000}"/>
    <cellStyle name="—_EM-SKTelecom_old_Strategy_data_update_Prosperity REIT_2006Mar27" xfId="1808" xr:uid="{00000000-0005-0000-0000-0000F7040000}"/>
    <cellStyle name="—_EM-SKTelecom_old_Strategy_data_update_Shangri-La under review" xfId="1809" xr:uid="{00000000-0005-0000-0000-0000F8040000}"/>
    <cellStyle name="—_EM-SKTelecom_old_Yifan template 2" xfId="1810" xr:uid="{00000000-0005-0000-0000-0000F9040000}"/>
    <cellStyle name="—_EM-SKTelecom_old_Yifan template 2_200869 sz - historical" xfId="1811" xr:uid="{00000000-0005-0000-0000-0000FA040000}"/>
    <cellStyle name="—_EM-SKTelecom_old_Yifan template 2_600519.SS" xfId="1812" xr:uid="{00000000-0005-0000-0000-0000FB040000}"/>
    <cellStyle name="—_EM-SKTelecom_old_Yifan template 2_Changyu (200869.SZ)_060330" xfId="1813" xr:uid="{00000000-0005-0000-0000-0000FC040000}"/>
    <cellStyle name="—_EM-SKTelecom_old_Yifan template 2_China Foods (506.HK)" xfId="1814" xr:uid="{00000000-0005-0000-0000-0000FD040000}"/>
    <cellStyle name="—_EM-SKTelecom_old_Yifan template 2_COFCO (506.HK)" xfId="1815" xr:uid="{00000000-0005-0000-0000-0000FE040000}"/>
    <cellStyle name="—_EM-SKTelecom_old_Yifan template 2_COFCO (506.HK)_after spinoff" xfId="1816" xr:uid="{00000000-0005-0000-0000-0000FF040000}"/>
    <cellStyle name="—_EM-SKTelecom_old_Yifan template 2_COFCO NAV - scenario 060117" xfId="1817" xr:uid="{00000000-0005-0000-0000-000000050000}"/>
    <cellStyle name="—_EM-SKTelecom_old_Yifan template 2_COFCO_051010" xfId="1818" xr:uid="{00000000-0005-0000-0000-000001050000}"/>
    <cellStyle name="—_EM-SKTelecom_old_Yifan template 2_COFCO_backup" xfId="1819" xr:uid="{00000000-0005-0000-0000-000002050000}"/>
    <cellStyle name="—_EM-SKTelecom_Prop Dev" xfId="1820" xr:uid="{00000000-0005-0000-0000-000003050000}"/>
    <cellStyle name="_Esprit (1)" xfId="1821" xr:uid="{00000000-0005-0000-0000-000004050000}"/>
    <cellStyle name="_Esprit fin" xfId="1822" xr:uid="{00000000-0005-0000-0000-000005050000}"/>
    <cellStyle name="_ESPRIT OPTION" xfId="1823" xr:uid="{00000000-0005-0000-0000-000006050000}"/>
    <cellStyle name="_Esprit_052109" xfId="1824" xr:uid="{00000000-0005-0000-0000-000007050000}"/>
    <cellStyle name="_Euro" xfId="423" xr:uid="{00000000-0005-0000-0000-000008050000}"/>
    <cellStyle name="_Euro_blank industrial template - new" xfId="1825" xr:uid="{00000000-0005-0000-0000-000009050000}"/>
    <cellStyle name="_Euro_BS" xfId="1826" xr:uid="{00000000-0005-0000-0000-00000A050000}"/>
    <cellStyle name="_Euro_DCFTemplatev1" xfId="1827" xr:uid="{00000000-0005-0000-0000-00000B050000}"/>
    <cellStyle name="_Euro_Eagle" xfId="1828" xr:uid="{00000000-0005-0000-0000-00000C050000}"/>
    <cellStyle name="_Euro_Fu Sheng Rev and GM model" xfId="1829" xr:uid="{00000000-0005-0000-0000-00000D050000}"/>
    <cellStyle name="_Euro_Giant Model MASTER" xfId="1830" xr:uid="{00000000-0005-0000-0000-00000E050000}"/>
    <cellStyle name="_Euro_Prosperity REIT_2006Mar27" xfId="1831" xr:uid="{00000000-0005-0000-0000-00000F050000}"/>
    <cellStyle name="_Euro_Regal REIT_afterlisting" xfId="1832" xr:uid="{00000000-0005-0000-0000-000010050000}"/>
    <cellStyle name="_Euro_Sales charts 0728" xfId="1833" xr:uid="{00000000-0005-0000-0000-000011050000}"/>
    <cellStyle name="_Euro_Shangri-La" xfId="1834" xr:uid="{00000000-0005-0000-0000-000012050000}"/>
    <cellStyle name="_Euro_Shangri-La_being edited" xfId="1835" xr:uid="{00000000-0005-0000-0000-000013050000}"/>
    <cellStyle name="_Euro_Tong yang model copy valuation" xfId="1836" xr:uid="{00000000-0005-0000-0000-000014050000}"/>
    <cellStyle name="_Euro_Tong yang model copy valuation_Fu Sheng Rev and GM model" xfId="1837" xr:uid="{00000000-0005-0000-0000-000015050000}"/>
    <cellStyle name="_Euro_Two stage DDM" xfId="1838" xr:uid="{00000000-0005-0000-0000-000016050000}"/>
    <cellStyle name="_Euro_Two stage DDM_Fu Sheng Rev and GM model" xfId="1839" xr:uid="{00000000-0005-0000-0000-000017050000}"/>
    <cellStyle name="—_European Mktg - May99" xfId="1840" xr:uid="{00000000-0005-0000-0000-000018050000}"/>
    <cellStyle name="—_European Mktg - May99_CKC_Hutch_group structure" xfId="1841" xr:uid="{00000000-0005-0000-0000-000019050000}"/>
    <cellStyle name="—_European Mktg - May99_Feb01report" xfId="1842" xr:uid="{00000000-0005-0000-0000-00001A050000}"/>
    <cellStyle name="—_European Mktg - May99_Feb01report_NAV" xfId="1843" xr:uid="{00000000-0005-0000-0000-00001B050000}"/>
    <cellStyle name="—_European Mktg - May99_Feb01report_QP_0019.HK" xfId="1844" xr:uid="{00000000-0005-0000-0000-00001C050000}"/>
    <cellStyle name="—_European Mktg - May99_Feb01report_Swire Model" xfId="1845" xr:uid="{00000000-0005-0000-0000-00001D050000}"/>
    <cellStyle name="—_European Mktg - May99_Feb01report_SWIRESS" xfId="1846" xr:uid="{00000000-0005-0000-0000-00001E050000}"/>
    <cellStyle name="—_European Mktg - May99_Hutchison Model" xfId="1847" xr:uid="{00000000-0005-0000-0000-00001F050000}"/>
    <cellStyle name="—_European Mktg - May99_Hutchison Model 090514" xfId="1848" xr:uid="{00000000-0005-0000-0000-000020050000}"/>
    <cellStyle name="—_European Mktg - May99_hutchss" xfId="1849" xr:uid="{00000000-0005-0000-0000-000021050000}"/>
    <cellStyle name="—_European Mktg - May99_NAV" xfId="1850" xr:uid="{00000000-0005-0000-0000-000022050000}"/>
    <cellStyle name="—_European Mktg - May99_Prop Dev" xfId="1851" xr:uid="{00000000-0005-0000-0000-000023050000}"/>
    <cellStyle name="—_FCFC-GSoutput 12Aug04" xfId="1852" xr:uid="{00000000-0005-0000-0000-000024050000}"/>
    <cellStyle name="—_Feb01report" xfId="1853" xr:uid="{00000000-0005-0000-0000-000025050000}"/>
    <cellStyle name="—_Feb01report_NAV" xfId="1854" xr:uid="{00000000-0005-0000-0000-000026050000}"/>
    <cellStyle name="—_Feb01report_QP_0019.HK" xfId="1855" xr:uid="{00000000-0005-0000-0000-000027050000}"/>
    <cellStyle name="—_Feb01report_Swire Model" xfId="1856" xr:uid="{00000000-0005-0000-0000-000028050000}"/>
    <cellStyle name="—_Feb01report_SWIRESS" xfId="1857" xr:uid="{00000000-0005-0000-0000-000029050000}"/>
    <cellStyle name="_Final Switches 2001 before inserting in template" xfId="1858" xr:uid="{00000000-0005-0000-0000-00002A050000}"/>
    <cellStyle name="_Final Switches 2001 before inserting in template_" xfId="1859" xr:uid="{00000000-0005-0000-0000-00002B050000}"/>
    <cellStyle name="_Final Switches 2001 before inserting in template__Tong yang model copy valuation" xfId="1860" xr:uid="{00000000-0005-0000-0000-00002C050000}"/>
    <cellStyle name="_Final Switches 2001 before inserting in template__Tong yang model copy valuation_Tsann Kuen Model" xfId="1861" xr:uid="{00000000-0005-0000-0000-00002D050000}"/>
    <cellStyle name="_Final Switches 2001 before inserting in template__Tong yang model copy valuation_TSRC Model" xfId="1862" xr:uid="{00000000-0005-0000-0000-00002E050000}"/>
    <cellStyle name="_Final Switches 2001 before inserting in template__Tsann Kuen Model" xfId="1863" xr:uid="{00000000-0005-0000-0000-00002F050000}"/>
    <cellStyle name="_Final Switches 2001 before inserting in template__TSRC Model" xfId="1864" xr:uid="{00000000-0005-0000-0000-000030050000}"/>
    <cellStyle name="_Final Switches 2001 before inserting in template__Two stage DDM" xfId="1865" xr:uid="{00000000-0005-0000-0000-000031050000}"/>
    <cellStyle name="_Final Switches 2001 before inserting in template__Two stage DDM_Tsann Kuen Model" xfId="1866" xr:uid="{00000000-0005-0000-0000-000032050000}"/>
    <cellStyle name="_Final Switches 2001 before inserting in template__Two stage DDM_TSRC Model" xfId="1867" xr:uid="{00000000-0005-0000-0000-000033050000}"/>
    <cellStyle name="_Final Switches 2001 before inserting in template_1" xfId="1868" xr:uid="{00000000-0005-0000-0000-000034050000}"/>
    <cellStyle name="_Final Switches 2001 before inserting in template_1_Tong yang model copy valuation" xfId="1869" xr:uid="{00000000-0005-0000-0000-000035050000}"/>
    <cellStyle name="_Final Switches 2001 before inserting in template_1_Tong yang model copy valuation_Tsann Kuen Model" xfId="1870" xr:uid="{00000000-0005-0000-0000-000036050000}"/>
    <cellStyle name="_Final Switches 2001 before inserting in template_1_Tong yang model copy valuation_TSRC Model" xfId="1871" xr:uid="{00000000-0005-0000-0000-000037050000}"/>
    <cellStyle name="_Final Switches 2001 before inserting in template_1_Tsann Kuen Model" xfId="1872" xr:uid="{00000000-0005-0000-0000-000038050000}"/>
    <cellStyle name="_Final Switches 2001 before inserting in template_1_TSRC Model" xfId="1873" xr:uid="{00000000-0005-0000-0000-000039050000}"/>
    <cellStyle name="_Final Switches 2001 before inserting in template_1_Two stage DDM" xfId="1874" xr:uid="{00000000-0005-0000-0000-00003A050000}"/>
    <cellStyle name="_Final Switches 2001 before inserting in template_1_Two stage DDM_Tsann Kuen Model" xfId="1875" xr:uid="{00000000-0005-0000-0000-00003B050000}"/>
    <cellStyle name="_Final Switches 2001 before inserting in template_1_Two stage DDM_TSRC Model" xfId="1876" xr:uid="{00000000-0005-0000-0000-00003C050000}"/>
    <cellStyle name="_Final Switches 2001 before inserting in template_2" xfId="1877" xr:uid="{00000000-0005-0000-0000-00003D050000}"/>
    <cellStyle name="_Final Switches 2001 before inserting in template_2_Tong yang model copy valuation" xfId="1878" xr:uid="{00000000-0005-0000-0000-00003E050000}"/>
    <cellStyle name="_Final Switches 2001 before inserting in template_2_Tong yang model copy valuation_Tsann Kuen Model" xfId="1879" xr:uid="{00000000-0005-0000-0000-00003F050000}"/>
    <cellStyle name="_Final Switches 2001 before inserting in template_2_Tong yang model copy valuation_TSRC Model" xfId="1880" xr:uid="{00000000-0005-0000-0000-000040050000}"/>
    <cellStyle name="_Final Switches 2001 before inserting in template_2_Tsann Kuen Model" xfId="1881" xr:uid="{00000000-0005-0000-0000-000041050000}"/>
    <cellStyle name="_Final Switches 2001 before inserting in template_2_TSRC Model" xfId="1882" xr:uid="{00000000-0005-0000-0000-000042050000}"/>
    <cellStyle name="_Final Switches 2001 before inserting in template_2_Two stage DDM" xfId="1883" xr:uid="{00000000-0005-0000-0000-000043050000}"/>
    <cellStyle name="_Final Switches 2001 before inserting in template_2_Two stage DDM_Tsann Kuen Model" xfId="1884" xr:uid="{00000000-0005-0000-0000-000044050000}"/>
    <cellStyle name="_Final Switches 2001 before inserting in template_2_Two stage DDM_TSRC Model" xfId="1885" xr:uid="{00000000-0005-0000-0000-000045050000}"/>
    <cellStyle name="_Final Switches 2001 before inserting in template_2324tw_WIP" xfId="1886" xr:uid="{00000000-0005-0000-0000-000046050000}"/>
    <cellStyle name="_Final Switches 2001 before inserting in template_2357tw-WIP" xfId="1887" xr:uid="{00000000-0005-0000-0000-000047050000}"/>
    <cellStyle name="_Final Switches 2001 before inserting in template_2376tw_WIP" xfId="1888" xr:uid="{00000000-0005-0000-0000-000048050000}"/>
    <cellStyle name="_Final Switches 2001 before inserting in template_2382tw_WIP" xfId="1889" xr:uid="{00000000-0005-0000-0000-000049050000}"/>
    <cellStyle name="_Final Switches 2001 before inserting in template_Company" xfId="1890" xr:uid="{00000000-0005-0000-0000-00004A050000}"/>
    <cellStyle name="_Final Switches 2001 before inserting in template_for notexpress" xfId="1891" xr:uid="{00000000-0005-0000-0000-00004B050000}"/>
    <cellStyle name="_Final Switches 2001 before inserting in template_Fu Sheng Rev and GM model" xfId="1892" xr:uid="{00000000-0005-0000-0000-00004C050000}"/>
    <cellStyle name="_Final Switches 2001 before inserting in template_Fu Sheng Rev and GM model_Tsann Kuen Model" xfId="1893" xr:uid="{00000000-0005-0000-0000-00004D050000}"/>
    <cellStyle name="_Final Switches 2001 before inserting in template_Fu Sheng Rev and GM model_TSRC Model" xfId="1894" xr:uid="{00000000-0005-0000-0000-00004E050000}"/>
    <cellStyle name="_Final Switches 2001 before inserting in template_Giant Model MASTER" xfId="1895" xr:uid="{00000000-0005-0000-0000-00004F050000}"/>
    <cellStyle name="_Final Switches 2001 before inserting in template_Giant Model MASTER_Tsann Kuen Model" xfId="1896" xr:uid="{00000000-0005-0000-0000-000050050000}"/>
    <cellStyle name="_Final Switches 2001 before inserting in template_Giant Model MASTER_TSRC Model" xfId="1897" xr:uid="{00000000-0005-0000-0000-000051050000}"/>
    <cellStyle name="_Final Switches 2001 before inserting in template_GS1" xfId="1898" xr:uid="{00000000-0005-0000-0000-000052050000}"/>
    <cellStyle name="_Final Switches 2001 before inserting in template_GS1_GS2" xfId="1899" xr:uid="{00000000-0005-0000-0000-000053050000}"/>
    <cellStyle name="_Final Switches 2001 before inserting in template_GS1_GS2_Tong yang model copy valuation" xfId="1900" xr:uid="{00000000-0005-0000-0000-000054050000}"/>
    <cellStyle name="_Final Switches 2001 before inserting in template_GS1_GS2_Tong yang model copy valuation_Tsann Kuen Model" xfId="1901" xr:uid="{00000000-0005-0000-0000-000055050000}"/>
    <cellStyle name="_Final Switches 2001 before inserting in template_GS1_GS2_Tong yang model copy valuation_TSRC Model" xfId="1902" xr:uid="{00000000-0005-0000-0000-000056050000}"/>
    <cellStyle name="_Final Switches 2001 before inserting in template_GS1_GS2_Tsann Kuen Model" xfId="1903" xr:uid="{00000000-0005-0000-0000-000057050000}"/>
    <cellStyle name="_Final Switches 2001 before inserting in template_GS1_GS2_TSRC Model" xfId="1904" xr:uid="{00000000-0005-0000-0000-000058050000}"/>
    <cellStyle name="_Final Switches 2001 before inserting in template_GS1_GS2_Two stage DDM" xfId="1905" xr:uid="{00000000-0005-0000-0000-000059050000}"/>
    <cellStyle name="_Final Switches 2001 before inserting in template_GS1_GS2_Two stage DDM_Tsann Kuen Model" xfId="1906" xr:uid="{00000000-0005-0000-0000-00005A050000}"/>
    <cellStyle name="_Final Switches 2001 before inserting in template_GS1_GS2_Two stage DDM_TSRC Model" xfId="1907" xr:uid="{00000000-0005-0000-0000-00005B050000}"/>
    <cellStyle name="_Final Switches 2001 before inserting in template_GS1_Tong yang model copy valuation" xfId="1908" xr:uid="{00000000-0005-0000-0000-00005C050000}"/>
    <cellStyle name="_Final Switches 2001 before inserting in template_GS1_Tong yang model copy valuation_Tsann Kuen Model" xfId="1909" xr:uid="{00000000-0005-0000-0000-00005D050000}"/>
    <cellStyle name="_Final Switches 2001 before inserting in template_GS1_Tong yang model copy valuation_TSRC Model" xfId="1910" xr:uid="{00000000-0005-0000-0000-00005E050000}"/>
    <cellStyle name="_Final Switches 2001 before inserting in template_GS1_Tsann Kuen Model" xfId="1911" xr:uid="{00000000-0005-0000-0000-00005F050000}"/>
    <cellStyle name="_Final Switches 2001 before inserting in template_GS1_TSRC Model" xfId="1912" xr:uid="{00000000-0005-0000-0000-000060050000}"/>
    <cellStyle name="_Final Switches 2001 before inserting in template_GS1_Two stage DDM" xfId="1913" xr:uid="{00000000-0005-0000-0000-000061050000}"/>
    <cellStyle name="_Final Switches 2001 before inserting in template_GS1_Two stage DDM_Tsann Kuen Model" xfId="1914" xr:uid="{00000000-0005-0000-0000-000062050000}"/>
    <cellStyle name="_Final Switches 2001 before inserting in template_GS1_Two stage DDM_TSRC Model" xfId="1915" xr:uid="{00000000-0005-0000-0000-000063050000}"/>
    <cellStyle name="_Final Switches 2001 before inserting in template_Q sheet for ASUSTeK" xfId="1916" xr:uid="{00000000-0005-0000-0000-000064050000}"/>
    <cellStyle name="_Final Switches 2001 before inserting in template_QA-GS1" xfId="1917" xr:uid="{00000000-0005-0000-0000-000065050000}"/>
    <cellStyle name="_Final Switches 2001 before inserting in template_QA-GS1_GS2" xfId="1918" xr:uid="{00000000-0005-0000-0000-000066050000}"/>
    <cellStyle name="_Final Switches 2001 before inserting in template_QA-GS1_GS2_Tong yang model copy valuation" xfId="1919" xr:uid="{00000000-0005-0000-0000-000067050000}"/>
    <cellStyle name="_Final Switches 2001 before inserting in template_QA-GS1_GS2_Tong yang model copy valuation_Tsann Kuen Model" xfId="1920" xr:uid="{00000000-0005-0000-0000-000068050000}"/>
    <cellStyle name="_Final Switches 2001 before inserting in template_QA-GS1_GS2_Tong yang model copy valuation_TSRC Model" xfId="1921" xr:uid="{00000000-0005-0000-0000-000069050000}"/>
    <cellStyle name="_Final Switches 2001 before inserting in template_QA-GS1_GS2_Tsann Kuen Model" xfId="1922" xr:uid="{00000000-0005-0000-0000-00006A050000}"/>
    <cellStyle name="_Final Switches 2001 before inserting in template_QA-GS1_GS2_TSRC Model" xfId="1923" xr:uid="{00000000-0005-0000-0000-00006B050000}"/>
    <cellStyle name="_Final Switches 2001 before inserting in template_QA-GS1_GS2_Two stage DDM" xfId="1924" xr:uid="{00000000-0005-0000-0000-00006C050000}"/>
    <cellStyle name="_Final Switches 2001 before inserting in template_QA-GS1_GS2_Two stage DDM_Tsann Kuen Model" xfId="1925" xr:uid="{00000000-0005-0000-0000-00006D050000}"/>
    <cellStyle name="_Final Switches 2001 before inserting in template_QA-GS1_GS2_Two stage DDM_TSRC Model" xfId="1926" xr:uid="{00000000-0005-0000-0000-00006E050000}"/>
    <cellStyle name="_Final Switches 2001 before inserting in template_QA-GS1_Tong yang model copy valuation" xfId="1927" xr:uid="{00000000-0005-0000-0000-00006F050000}"/>
    <cellStyle name="_Final Switches 2001 before inserting in template_QA-GS1_Tong yang model copy valuation_Tsann Kuen Model" xfId="1928" xr:uid="{00000000-0005-0000-0000-000070050000}"/>
    <cellStyle name="_Final Switches 2001 before inserting in template_QA-GS1_Tong yang model copy valuation_TSRC Model" xfId="1929" xr:uid="{00000000-0005-0000-0000-000071050000}"/>
    <cellStyle name="_Final Switches 2001 before inserting in template_QA-GS1_Tsann Kuen Model" xfId="1930" xr:uid="{00000000-0005-0000-0000-000072050000}"/>
    <cellStyle name="_Final Switches 2001 before inserting in template_QA-GS1_TSRC Model" xfId="1931" xr:uid="{00000000-0005-0000-0000-000073050000}"/>
    <cellStyle name="_Final Switches 2001 before inserting in template_QA-GS1_Two stage DDM" xfId="1932" xr:uid="{00000000-0005-0000-0000-000074050000}"/>
    <cellStyle name="_Final Switches 2001 before inserting in template_QA-GS1_Two stage DDM_Tsann Kuen Model" xfId="1933" xr:uid="{00000000-0005-0000-0000-000075050000}"/>
    <cellStyle name="_Final Switches 2001 before inserting in template_QA-GS1_Two stage DDM_TSRC Model" xfId="1934" xr:uid="{00000000-0005-0000-0000-000076050000}"/>
    <cellStyle name="_Final Switches 2001 before inserting in template_Quaterly operating data (FROM COMPANY) 2003-09-12" xfId="1935" xr:uid="{00000000-0005-0000-0000-000077050000}"/>
    <cellStyle name="_Final Switches 2001 before inserting in template_Quaterly operating data (FROM COMPANY) 2003-09-12_Tong yang model copy valuation" xfId="1936" xr:uid="{00000000-0005-0000-0000-000078050000}"/>
    <cellStyle name="_Final Switches 2001 before inserting in template_Quaterly operating data (FROM COMPANY) 2003-09-12_Tong yang model copy valuation_Tsann Kuen Model" xfId="1937" xr:uid="{00000000-0005-0000-0000-000079050000}"/>
    <cellStyle name="_Final Switches 2001 before inserting in template_Quaterly operating data (FROM COMPANY) 2003-09-12_Tong yang model copy valuation_TSRC Model" xfId="1938" xr:uid="{00000000-0005-0000-0000-00007A050000}"/>
    <cellStyle name="_Final Switches 2001 before inserting in template_Quaterly operating data (FROM COMPANY) 2003-09-12_Tsann Kuen Model" xfId="1939" xr:uid="{00000000-0005-0000-0000-00007B050000}"/>
    <cellStyle name="_Final Switches 2001 before inserting in template_Quaterly operating data (FROM COMPANY) 2003-09-12_TSRC Model" xfId="1940" xr:uid="{00000000-0005-0000-0000-00007C050000}"/>
    <cellStyle name="_Final Switches 2001 before inserting in template_Quaterly operating data (FROM COMPANY) 2003-09-12_Two stage DDM" xfId="1941" xr:uid="{00000000-0005-0000-0000-00007D050000}"/>
    <cellStyle name="_Final Switches 2001 before inserting in template_Quaterly operating data (FROM COMPANY) 2003-09-12_Two stage DDM_Tsann Kuen Model" xfId="1942" xr:uid="{00000000-0005-0000-0000-00007E050000}"/>
    <cellStyle name="_Final Switches 2001 before inserting in template_Quaterly operating data (FROM COMPANY) 2003-09-12_Two stage DDM_TSRC Model" xfId="1943" xr:uid="{00000000-0005-0000-0000-00007F050000}"/>
    <cellStyle name="_Final Switches 2001 before inserting in template_QUESTI~11" xfId="1944" xr:uid="{00000000-0005-0000-0000-000080050000}"/>
    <cellStyle name="_Final Switches 2001 before inserting in template_QUESTI~11_GS2" xfId="1945" xr:uid="{00000000-0005-0000-0000-000081050000}"/>
    <cellStyle name="_Final Switches 2001 before inserting in template_QUESTI~11_GS2_Tong yang model copy valuation" xfId="1946" xr:uid="{00000000-0005-0000-0000-000082050000}"/>
    <cellStyle name="_Final Switches 2001 before inserting in template_QUESTI~11_GS2_Tong yang model copy valuation_Tsann Kuen Model" xfId="1947" xr:uid="{00000000-0005-0000-0000-000083050000}"/>
    <cellStyle name="_Final Switches 2001 before inserting in template_QUESTI~11_GS2_Tong yang model copy valuation_TSRC Model" xfId="1948" xr:uid="{00000000-0005-0000-0000-000084050000}"/>
    <cellStyle name="_Final Switches 2001 before inserting in template_QUESTI~11_GS2_Tsann Kuen Model" xfId="1949" xr:uid="{00000000-0005-0000-0000-000085050000}"/>
    <cellStyle name="_Final Switches 2001 before inserting in template_QUESTI~11_GS2_TSRC Model" xfId="1950" xr:uid="{00000000-0005-0000-0000-000086050000}"/>
    <cellStyle name="_Final Switches 2001 before inserting in template_QUESTI~11_GS2_Two stage DDM" xfId="1951" xr:uid="{00000000-0005-0000-0000-000087050000}"/>
    <cellStyle name="_Final Switches 2001 before inserting in template_QUESTI~11_GS2_Two stage DDM_Tsann Kuen Model" xfId="1952" xr:uid="{00000000-0005-0000-0000-000088050000}"/>
    <cellStyle name="_Final Switches 2001 before inserting in template_QUESTI~11_GS2_Two stage DDM_TSRC Model" xfId="1953" xr:uid="{00000000-0005-0000-0000-000089050000}"/>
    <cellStyle name="_Final Switches 2001 before inserting in template_QUESTI~11_Tong yang model copy valuation" xfId="1954" xr:uid="{00000000-0005-0000-0000-00008A050000}"/>
    <cellStyle name="_Final Switches 2001 before inserting in template_QUESTI~11_Tong yang model copy valuation_Tsann Kuen Model" xfId="1955" xr:uid="{00000000-0005-0000-0000-00008B050000}"/>
    <cellStyle name="_Final Switches 2001 before inserting in template_QUESTI~11_Tong yang model copy valuation_TSRC Model" xfId="1956" xr:uid="{00000000-0005-0000-0000-00008C050000}"/>
    <cellStyle name="_Final Switches 2001 before inserting in template_QUESTI~11_Tsann Kuen Model" xfId="1957" xr:uid="{00000000-0005-0000-0000-00008D050000}"/>
    <cellStyle name="_Final Switches 2001 before inserting in template_QUESTI~11_TSRC Model" xfId="1958" xr:uid="{00000000-0005-0000-0000-00008E050000}"/>
    <cellStyle name="_Final Switches 2001 before inserting in template_QUESTI~11_Two stage DDM" xfId="1959" xr:uid="{00000000-0005-0000-0000-00008F050000}"/>
    <cellStyle name="_Final Switches 2001 before inserting in template_QUESTI~11_Two stage DDM_Tsann Kuen Model" xfId="1960" xr:uid="{00000000-0005-0000-0000-000090050000}"/>
    <cellStyle name="_Final Switches 2001 before inserting in template_QUESTI~11_Two stage DDM_TSRC Model" xfId="1961" xr:uid="{00000000-0005-0000-0000-000091050000}"/>
    <cellStyle name="_Final Switches 2001 before inserting in template_Tong yang model copy valuation" xfId="1962" xr:uid="{00000000-0005-0000-0000-000092050000}"/>
    <cellStyle name="_Final Switches 2001 before inserting in template_Tong yang model copy valuation_Fu Sheng Rev and GM model" xfId="1963" xr:uid="{00000000-0005-0000-0000-000093050000}"/>
    <cellStyle name="_Final Switches 2001 before inserting in template_Tong yang model copy valuation_Fu Sheng Rev and GM model_Tsann Kuen Model" xfId="1964" xr:uid="{00000000-0005-0000-0000-000094050000}"/>
    <cellStyle name="_Final Switches 2001 before inserting in template_Tong yang model copy valuation_Fu Sheng Rev and GM model_TSRC Model" xfId="1965" xr:uid="{00000000-0005-0000-0000-000095050000}"/>
    <cellStyle name="_Final Switches 2001 before inserting in template_Two stage DDM" xfId="1966" xr:uid="{00000000-0005-0000-0000-000096050000}"/>
    <cellStyle name="_Final Switches 2001 before inserting in template_Two stage DDM_Fu Sheng Rev and GM model" xfId="1967" xr:uid="{00000000-0005-0000-0000-000097050000}"/>
    <cellStyle name="_Final Switches 2001 before inserting in template_Two stage DDM_Fu Sheng Rev and GM model_Tsann Kuen Model" xfId="1968" xr:uid="{00000000-0005-0000-0000-000098050000}"/>
    <cellStyle name="_Final Switches 2001 before inserting in template_Two stage DDM_Fu Sheng Rev and GM model_TSRC Model" xfId="1969" xr:uid="{00000000-0005-0000-0000-000099050000}"/>
    <cellStyle name="_forecast annual stats" xfId="1970" xr:uid="{00000000-0005-0000-0000-00009A050000}"/>
    <cellStyle name="_forecast annual stats_" xfId="1971" xr:uid="{00000000-0005-0000-0000-00009B050000}"/>
    <cellStyle name="_forecast annual stats__Tong yang model copy valuation" xfId="1972" xr:uid="{00000000-0005-0000-0000-00009C050000}"/>
    <cellStyle name="_forecast annual stats__Tong yang model copy valuation_Tsann Kuen Model" xfId="1973" xr:uid="{00000000-0005-0000-0000-00009D050000}"/>
    <cellStyle name="_forecast annual stats__Tong yang model copy valuation_TSRC Model" xfId="1974" xr:uid="{00000000-0005-0000-0000-00009E050000}"/>
    <cellStyle name="_forecast annual stats__Tsann Kuen Model" xfId="1975" xr:uid="{00000000-0005-0000-0000-00009F050000}"/>
    <cellStyle name="_forecast annual stats__TSRC Model" xfId="1976" xr:uid="{00000000-0005-0000-0000-0000A0050000}"/>
    <cellStyle name="_forecast annual stats__Two stage DDM" xfId="1977" xr:uid="{00000000-0005-0000-0000-0000A1050000}"/>
    <cellStyle name="_forecast annual stats__Two stage DDM_Tsann Kuen Model" xfId="1978" xr:uid="{00000000-0005-0000-0000-0000A2050000}"/>
    <cellStyle name="_forecast annual stats__Two stage DDM_TSRC Model" xfId="1979" xr:uid="{00000000-0005-0000-0000-0000A3050000}"/>
    <cellStyle name="_forecast annual stats_1" xfId="1980" xr:uid="{00000000-0005-0000-0000-0000A4050000}"/>
    <cellStyle name="_forecast annual stats_1_Tong yang model copy valuation" xfId="1981" xr:uid="{00000000-0005-0000-0000-0000A5050000}"/>
    <cellStyle name="_forecast annual stats_1_Tong yang model copy valuation_Tsann Kuen Model" xfId="1982" xr:uid="{00000000-0005-0000-0000-0000A6050000}"/>
    <cellStyle name="_forecast annual stats_1_Tong yang model copy valuation_TSRC Model" xfId="1983" xr:uid="{00000000-0005-0000-0000-0000A7050000}"/>
    <cellStyle name="_forecast annual stats_1_Tsann Kuen Model" xfId="1984" xr:uid="{00000000-0005-0000-0000-0000A8050000}"/>
    <cellStyle name="_forecast annual stats_1_TSRC Model" xfId="1985" xr:uid="{00000000-0005-0000-0000-0000A9050000}"/>
    <cellStyle name="_forecast annual stats_1_Two stage DDM" xfId="1986" xr:uid="{00000000-0005-0000-0000-0000AA050000}"/>
    <cellStyle name="_forecast annual stats_1_Two stage DDM_Tsann Kuen Model" xfId="1987" xr:uid="{00000000-0005-0000-0000-0000AB050000}"/>
    <cellStyle name="_forecast annual stats_1_Two stage DDM_TSRC Model" xfId="1988" xr:uid="{00000000-0005-0000-0000-0000AC050000}"/>
    <cellStyle name="_forecast annual stats_2" xfId="1989" xr:uid="{00000000-0005-0000-0000-0000AD050000}"/>
    <cellStyle name="_forecast annual stats_2_Tong yang model copy valuation" xfId="1990" xr:uid="{00000000-0005-0000-0000-0000AE050000}"/>
    <cellStyle name="_forecast annual stats_2_Tong yang model copy valuation_Tsann Kuen Model" xfId="1991" xr:uid="{00000000-0005-0000-0000-0000AF050000}"/>
    <cellStyle name="_forecast annual stats_2_Tong yang model copy valuation_TSRC Model" xfId="1992" xr:uid="{00000000-0005-0000-0000-0000B0050000}"/>
    <cellStyle name="_forecast annual stats_2_Tsann Kuen Model" xfId="1993" xr:uid="{00000000-0005-0000-0000-0000B1050000}"/>
    <cellStyle name="_forecast annual stats_2_TSRC Model" xfId="1994" xr:uid="{00000000-0005-0000-0000-0000B2050000}"/>
    <cellStyle name="_forecast annual stats_2_Two stage DDM" xfId="1995" xr:uid="{00000000-0005-0000-0000-0000B3050000}"/>
    <cellStyle name="_forecast annual stats_2_Two stage DDM_Tsann Kuen Model" xfId="1996" xr:uid="{00000000-0005-0000-0000-0000B4050000}"/>
    <cellStyle name="_forecast annual stats_2_Two stage DDM_TSRC Model" xfId="1997" xr:uid="{00000000-0005-0000-0000-0000B5050000}"/>
    <cellStyle name="_forecast annual stats_2324tw_WIP" xfId="1998" xr:uid="{00000000-0005-0000-0000-0000B6050000}"/>
    <cellStyle name="_forecast annual stats_2357tw-WIP" xfId="1999" xr:uid="{00000000-0005-0000-0000-0000B7050000}"/>
    <cellStyle name="_forecast annual stats_2376tw_WIP" xfId="2000" xr:uid="{00000000-0005-0000-0000-0000B8050000}"/>
    <cellStyle name="_forecast annual stats_2382tw_WIP" xfId="2001" xr:uid="{00000000-0005-0000-0000-0000B9050000}"/>
    <cellStyle name="_forecast annual stats_Company" xfId="2002" xr:uid="{00000000-0005-0000-0000-0000BA050000}"/>
    <cellStyle name="_forecast annual stats_for notexpress" xfId="2003" xr:uid="{00000000-0005-0000-0000-0000BB050000}"/>
    <cellStyle name="_forecast annual stats_Fu Sheng Rev and GM model" xfId="2004" xr:uid="{00000000-0005-0000-0000-0000BC050000}"/>
    <cellStyle name="_forecast annual stats_Fu Sheng Rev and GM model_Tsann Kuen Model" xfId="2005" xr:uid="{00000000-0005-0000-0000-0000BD050000}"/>
    <cellStyle name="_forecast annual stats_Fu Sheng Rev and GM model_TSRC Model" xfId="2006" xr:uid="{00000000-0005-0000-0000-0000BE050000}"/>
    <cellStyle name="_forecast annual stats_Giant Model MASTER" xfId="2007" xr:uid="{00000000-0005-0000-0000-0000BF050000}"/>
    <cellStyle name="_forecast annual stats_Giant Model MASTER_Tsann Kuen Model" xfId="2008" xr:uid="{00000000-0005-0000-0000-0000C0050000}"/>
    <cellStyle name="_forecast annual stats_Giant Model MASTER_TSRC Model" xfId="2009" xr:uid="{00000000-0005-0000-0000-0000C1050000}"/>
    <cellStyle name="_forecast annual stats_GS1" xfId="2010" xr:uid="{00000000-0005-0000-0000-0000C2050000}"/>
    <cellStyle name="_forecast annual stats_GS1_GS2" xfId="2011" xr:uid="{00000000-0005-0000-0000-0000C3050000}"/>
    <cellStyle name="_forecast annual stats_GS1_GS2_Tong yang model copy valuation" xfId="2012" xr:uid="{00000000-0005-0000-0000-0000C4050000}"/>
    <cellStyle name="_forecast annual stats_GS1_GS2_Tong yang model copy valuation_Tsann Kuen Model" xfId="2013" xr:uid="{00000000-0005-0000-0000-0000C5050000}"/>
    <cellStyle name="_forecast annual stats_GS1_GS2_Tong yang model copy valuation_TSRC Model" xfId="2014" xr:uid="{00000000-0005-0000-0000-0000C6050000}"/>
    <cellStyle name="_forecast annual stats_GS1_GS2_Tsann Kuen Model" xfId="2015" xr:uid="{00000000-0005-0000-0000-0000C7050000}"/>
    <cellStyle name="_forecast annual stats_GS1_GS2_TSRC Model" xfId="2016" xr:uid="{00000000-0005-0000-0000-0000C8050000}"/>
    <cellStyle name="_forecast annual stats_GS1_GS2_Two stage DDM" xfId="2017" xr:uid="{00000000-0005-0000-0000-0000C9050000}"/>
    <cellStyle name="_forecast annual stats_GS1_GS2_Two stage DDM_Tsann Kuen Model" xfId="2018" xr:uid="{00000000-0005-0000-0000-0000CA050000}"/>
    <cellStyle name="_forecast annual stats_GS1_GS2_Two stage DDM_TSRC Model" xfId="2019" xr:uid="{00000000-0005-0000-0000-0000CB050000}"/>
    <cellStyle name="_forecast annual stats_GS1_Tong yang model copy valuation" xfId="2020" xr:uid="{00000000-0005-0000-0000-0000CC050000}"/>
    <cellStyle name="_forecast annual stats_GS1_Tong yang model copy valuation_Tsann Kuen Model" xfId="2021" xr:uid="{00000000-0005-0000-0000-0000CD050000}"/>
    <cellStyle name="_forecast annual stats_GS1_Tong yang model copy valuation_TSRC Model" xfId="2022" xr:uid="{00000000-0005-0000-0000-0000CE050000}"/>
    <cellStyle name="_forecast annual stats_GS1_Tsann Kuen Model" xfId="2023" xr:uid="{00000000-0005-0000-0000-0000CF050000}"/>
    <cellStyle name="_forecast annual stats_GS1_TSRC Model" xfId="2024" xr:uid="{00000000-0005-0000-0000-0000D0050000}"/>
    <cellStyle name="_forecast annual stats_GS1_Two stage DDM" xfId="2025" xr:uid="{00000000-0005-0000-0000-0000D1050000}"/>
    <cellStyle name="_forecast annual stats_GS1_Two stage DDM_Tsann Kuen Model" xfId="2026" xr:uid="{00000000-0005-0000-0000-0000D2050000}"/>
    <cellStyle name="_forecast annual stats_GS1_Two stage DDM_TSRC Model" xfId="2027" xr:uid="{00000000-0005-0000-0000-0000D3050000}"/>
    <cellStyle name="_forecast annual stats_Q sheet for ASUSTeK" xfId="2028" xr:uid="{00000000-0005-0000-0000-0000D4050000}"/>
    <cellStyle name="_forecast annual stats_QA-GS1" xfId="2029" xr:uid="{00000000-0005-0000-0000-0000D5050000}"/>
    <cellStyle name="_forecast annual stats_QA-GS1_GS2" xfId="2030" xr:uid="{00000000-0005-0000-0000-0000D6050000}"/>
    <cellStyle name="_forecast annual stats_QA-GS1_GS2_Tong yang model copy valuation" xfId="2031" xr:uid="{00000000-0005-0000-0000-0000D7050000}"/>
    <cellStyle name="_forecast annual stats_QA-GS1_GS2_Tong yang model copy valuation_Tsann Kuen Model" xfId="2032" xr:uid="{00000000-0005-0000-0000-0000D8050000}"/>
    <cellStyle name="_forecast annual stats_QA-GS1_GS2_Tong yang model copy valuation_TSRC Model" xfId="2033" xr:uid="{00000000-0005-0000-0000-0000D9050000}"/>
    <cellStyle name="_forecast annual stats_QA-GS1_GS2_Tsann Kuen Model" xfId="2034" xr:uid="{00000000-0005-0000-0000-0000DA050000}"/>
    <cellStyle name="_forecast annual stats_QA-GS1_GS2_TSRC Model" xfId="2035" xr:uid="{00000000-0005-0000-0000-0000DB050000}"/>
    <cellStyle name="_forecast annual stats_QA-GS1_GS2_Two stage DDM" xfId="2036" xr:uid="{00000000-0005-0000-0000-0000DC050000}"/>
    <cellStyle name="_forecast annual stats_QA-GS1_GS2_Two stage DDM_Tsann Kuen Model" xfId="2037" xr:uid="{00000000-0005-0000-0000-0000DD050000}"/>
    <cellStyle name="_forecast annual stats_QA-GS1_GS2_Two stage DDM_TSRC Model" xfId="2038" xr:uid="{00000000-0005-0000-0000-0000DE050000}"/>
    <cellStyle name="_forecast annual stats_QA-GS1_Tong yang model copy valuation" xfId="2039" xr:uid="{00000000-0005-0000-0000-0000DF050000}"/>
    <cellStyle name="_forecast annual stats_QA-GS1_Tong yang model copy valuation_Tsann Kuen Model" xfId="2040" xr:uid="{00000000-0005-0000-0000-0000E0050000}"/>
    <cellStyle name="_forecast annual stats_QA-GS1_Tong yang model copy valuation_TSRC Model" xfId="2041" xr:uid="{00000000-0005-0000-0000-0000E1050000}"/>
    <cellStyle name="_forecast annual stats_QA-GS1_Tsann Kuen Model" xfId="2042" xr:uid="{00000000-0005-0000-0000-0000E2050000}"/>
    <cellStyle name="_forecast annual stats_QA-GS1_TSRC Model" xfId="2043" xr:uid="{00000000-0005-0000-0000-0000E3050000}"/>
    <cellStyle name="_forecast annual stats_QA-GS1_Two stage DDM" xfId="2044" xr:uid="{00000000-0005-0000-0000-0000E4050000}"/>
    <cellStyle name="_forecast annual stats_QA-GS1_Two stage DDM_Tsann Kuen Model" xfId="2045" xr:uid="{00000000-0005-0000-0000-0000E5050000}"/>
    <cellStyle name="_forecast annual stats_QA-GS1_Two stage DDM_TSRC Model" xfId="2046" xr:uid="{00000000-0005-0000-0000-0000E6050000}"/>
    <cellStyle name="_forecast annual stats_Quaterly operating data (FROM COMPANY) 2003-09-12" xfId="2047" xr:uid="{00000000-0005-0000-0000-0000E7050000}"/>
    <cellStyle name="_forecast annual stats_Quaterly operating data (FROM COMPANY) 2003-09-12_Tong yang model copy valuation" xfId="2048" xr:uid="{00000000-0005-0000-0000-0000E8050000}"/>
    <cellStyle name="_forecast annual stats_Quaterly operating data (FROM COMPANY) 2003-09-12_Tong yang model copy valuation_Tsann Kuen Model" xfId="2049" xr:uid="{00000000-0005-0000-0000-0000E9050000}"/>
    <cellStyle name="_forecast annual stats_Quaterly operating data (FROM COMPANY) 2003-09-12_Tong yang model copy valuation_TSRC Model" xfId="2050" xr:uid="{00000000-0005-0000-0000-0000EA050000}"/>
    <cellStyle name="_forecast annual stats_Quaterly operating data (FROM COMPANY) 2003-09-12_Tsann Kuen Model" xfId="2051" xr:uid="{00000000-0005-0000-0000-0000EB050000}"/>
    <cellStyle name="_forecast annual stats_Quaterly operating data (FROM COMPANY) 2003-09-12_TSRC Model" xfId="2052" xr:uid="{00000000-0005-0000-0000-0000EC050000}"/>
    <cellStyle name="_forecast annual stats_Quaterly operating data (FROM COMPANY) 2003-09-12_Two stage DDM" xfId="2053" xr:uid="{00000000-0005-0000-0000-0000ED050000}"/>
    <cellStyle name="_forecast annual stats_Quaterly operating data (FROM COMPANY) 2003-09-12_Two stage DDM_Tsann Kuen Model" xfId="2054" xr:uid="{00000000-0005-0000-0000-0000EE050000}"/>
    <cellStyle name="_forecast annual stats_Quaterly operating data (FROM COMPANY) 2003-09-12_Two stage DDM_TSRC Model" xfId="2055" xr:uid="{00000000-0005-0000-0000-0000EF050000}"/>
    <cellStyle name="_forecast annual stats_QUESTI~11" xfId="2056" xr:uid="{00000000-0005-0000-0000-0000F0050000}"/>
    <cellStyle name="_forecast annual stats_QUESTI~11_GS2" xfId="2057" xr:uid="{00000000-0005-0000-0000-0000F1050000}"/>
    <cellStyle name="_forecast annual stats_QUESTI~11_GS2_Tong yang model copy valuation" xfId="2058" xr:uid="{00000000-0005-0000-0000-0000F2050000}"/>
    <cellStyle name="_forecast annual stats_QUESTI~11_GS2_Tong yang model copy valuation_Tsann Kuen Model" xfId="2059" xr:uid="{00000000-0005-0000-0000-0000F3050000}"/>
    <cellStyle name="_forecast annual stats_QUESTI~11_GS2_Tong yang model copy valuation_TSRC Model" xfId="2060" xr:uid="{00000000-0005-0000-0000-0000F4050000}"/>
    <cellStyle name="_forecast annual stats_QUESTI~11_GS2_Tsann Kuen Model" xfId="2061" xr:uid="{00000000-0005-0000-0000-0000F5050000}"/>
    <cellStyle name="_forecast annual stats_QUESTI~11_GS2_TSRC Model" xfId="2062" xr:uid="{00000000-0005-0000-0000-0000F6050000}"/>
    <cellStyle name="_forecast annual stats_QUESTI~11_GS2_Two stage DDM" xfId="2063" xr:uid="{00000000-0005-0000-0000-0000F7050000}"/>
    <cellStyle name="_forecast annual stats_QUESTI~11_GS2_Two stage DDM_Tsann Kuen Model" xfId="2064" xr:uid="{00000000-0005-0000-0000-0000F8050000}"/>
    <cellStyle name="_forecast annual stats_QUESTI~11_GS2_Two stage DDM_TSRC Model" xfId="2065" xr:uid="{00000000-0005-0000-0000-0000F9050000}"/>
    <cellStyle name="_forecast annual stats_QUESTI~11_Tong yang model copy valuation" xfId="2066" xr:uid="{00000000-0005-0000-0000-0000FA050000}"/>
    <cellStyle name="_forecast annual stats_QUESTI~11_Tong yang model copy valuation_Tsann Kuen Model" xfId="2067" xr:uid="{00000000-0005-0000-0000-0000FB050000}"/>
    <cellStyle name="_forecast annual stats_QUESTI~11_Tong yang model copy valuation_TSRC Model" xfId="2068" xr:uid="{00000000-0005-0000-0000-0000FC050000}"/>
    <cellStyle name="_forecast annual stats_QUESTI~11_Tsann Kuen Model" xfId="2069" xr:uid="{00000000-0005-0000-0000-0000FD050000}"/>
    <cellStyle name="_forecast annual stats_QUESTI~11_TSRC Model" xfId="2070" xr:uid="{00000000-0005-0000-0000-0000FE050000}"/>
    <cellStyle name="_forecast annual stats_QUESTI~11_Two stage DDM" xfId="2071" xr:uid="{00000000-0005-0000-0000-0000FF050000}"/>
    <cellStyle name="_forecast annual stats_QUESTI~11_Two stage DDM_Tsann Kuen Model" xfId="2072" xr:uid="{00000000-0005-0000-0000-000000060000}"/>
    <cellStyle name="_forecast annual stats_QUESTI~11_Two stage DDM_TSRC Model" xfId="2073" xr:uid="{00000000-0005-0000-0000-000001060000}"/>
    <cellStyle name="_forecast annual stats_Tong yang model copy valuation" xfId="2074" xr:uid="{00000000-0005-0000-0000-000002060000}"/>
    <cellStyle name="_forecast annual stats_Tong yang model copy valuation_Fu Sheng Rev and GM model" xfId="2075" xr:uid="{00000000-0005-0000-0000-000003060000}"/>
    <cellStyle name="_forecast annual stats_Tong yang model copy valuation_Fu Sheng Rev and GM model_Tsann Kuen Model" xfId="2076" xr:uid="{00000000-0005-0000-0000-000004060000}"/>
    <cellStyle name="_forecast annual stats_Tong yang model copy valuation_Fu Sheng Rev and GM model_TSRC Model" xfId="2077" xr:uid="{00000000-0005-0000-0000-000005060000}"/>
    <cellStyle name="_forecast annual stats_Two stage DDM" xfId="2078" xr:uid="{00000000-0005-0000-0000-000006060000}"/>
    <cellStyle name="_forecast annual stats_Two stage DDM_Fu Sheng Rev and GM model" xfId="2079" xr:uid="{00000000-0005-0000-0000-000007060000}"/>
    <cellStyle name="_forecast annual stats_Two stage DDM_Fu Sheng Rev and GM model_Tsann Kuen Model" xfId="2080" xr:uid="{00000000-0005-0000-0000-000008060000}"/>
    <cellStyle name="_forecast annual stats_Two stage DDM_Fu Sheng Rev and GM model_TSRC Model" xfId="2081" xr:uid="{00000000-0005-0000-0000-000009060000}"/>
    <cellStyle name="—_FPACSS" xfId="2082" xr:uid="{00000000-0005-0000-0000-00000A060000}"/>
    <cellStyle name="—_FPC-MSTR Quantum" xfId="2083" xr:uid="{00000000-0005-0000-0000-00000B060000}"/>
    <cellStyle name="_Front-page table" xfId="2084" xr:uid="{00000000-0005-0000-0000-00000C060000}"/>
    <cellStyle name="_Front-page table_Model in HK$" xfId="2085" xr:uid="{00000000-0005-0000-0000-00000D060000}"/>
    <cellStyle name="_Front-page table_Uni-President Feb 10" xfId="2086" xr:uid="{00000000-0005-0000-0000-00000E060000}"/>
    <cellStyle name="_Front-page table_UP Model_Final_by" xfId="2087" xr:uid="{00000000-0005-0000-0000-00000F060000}"/>
    <cellStyle name="—_GlobalValuation_Japan" xfId="2088" xr:uid="{00000000-0005-0000-0000-000010060000}"/>
    <cellStyle name="_Golden eagle_072709" xfId="2089" xr:uid="{00000000-0005-0000-0000-000011060000}"/>
    <cellStyle name="_Great Eagle 080425" xfId="2090" xr:uid="{00000000-0005-0000-0000-000012060000}"/>
    <cellStyle name="—_Great Eagle 080425" xfId="2091" xr:uid="{00000000-0005-0000-0000-000013060000}"/>
    <cellStyle name="_GS AeJ Property Comp LIVE" xfId="2092" xr:uid="{00000000-0005-0000-0000-000014060000}"/>
    <cellStyle name="—_GS Assumptions-F" xfId="2093" xr:uid="{00000000-0005-0000-0000-000015060000}"/>
    <cellStyle name="—_GS Assumptions-F_100902 Helen NTT FCF to be sent" xfId="2094" xr:uid="{00000000-0005-0000-0000-000016060000}"/>
    <cellStyle name="—_GS Assumptions-F_AUO consolidated 2004_02" xfId="2095" xr:uid="{00000000-0005-0000-0000-000017060000}"/>
    <cellStyle name="—_GS Assumptions-F_AUO forecast (GQ)2005_03" xfId="2096" xr:uid="{00000000-0005-0000-0000-000018060000}"/>
    <cellStyle name="—_GS Assumptions-F_blank industrial template - new" xfId="2097" xr:uid="{00000000-0005-0000-0000-000019060000}"/>
    <cellStyle name="—_GS Assumptions-F_Book6" xfId="2098" xr:uid="{00000000-0005-0000-0000-00001A060000}"/>
    <cellStyle name="—_GS Assumptions-F_Book7" xfId="2099" xr:uid="{00000000-0005-0000-0000-00001B060000}"/>
    <cellStyle name="—_GS Assumptions-F_Book7_AUO consolidated 2004_02" xfId="2100" xr:uid="{00000000-0005-0000-0000-00001C060000}"/>
    <cellStyle name="—_GS Assumptions-F_Book7_AUO forecast (GQ)2005_03" xfId="2101" xr:uid="{00000000-0005-0000-0000-00001D060000}"/>
    <cellStyle name="—_GS Assumptions-F_Book7_blank industrial template - new" xfId="2102" xr:uid="{00000000-0005-0000-0000-00001E060000}"/>
    <cellStyle name="—_GS Assumptions-F_Book7_BS" xfId="2103" xr:uid="{00000000-0005-0000-0000-00001F060000}"/>
    <cellStyle name="—_GS Assumptions-F_Book7_CK Hutch InvestmentProp Mar 24 2006" xfId="2104" xr:uid="{00000000-0005-0000-0000-000020060000}"/>
    <cellStyle name="—_GS Assumptions-F_Book7_CKC_Hutch_group structure" xfId="2105" xr:uid="{00000000-0005-0000-0000-000021060000}"/>
    <cellStyle name="—_GS Assumptions-F_Book7_Eagle" xfId="2106" xr:uid="{00000000-0005-0000-0000-000022060000}"/>
    <cellStyle name="—_GS Assumptions-F_Book7_HSH under review" xfId="2107" xr:uid="{00000000-0005-0000-0000-000023060000}"/>
    <cellStyle name="—_GS Assumptions-F_Book7_Hutchison Model 090514" xfId="2108" xr:uid="{00000000-0005-0000-0000-000024060000}"/>
    <cellStyle name="—_GS Assumptions-F_Book7_Novatek forecast 280404" xfId="2109" xr:uid="{00000000-0005-0000-0000-000025060000}"/>
    <cellStyle name="—_GS Assumptions-F_Book7_Prosperity REIT_2006Mar27" xfId="2110" xr:uid="{00000000-0005-0000-0000-000026060000}"/>
    <cellStyle name="—_GS Assumptions-F_Book7_Shangri-La under review" xfId="2111" xr:uid="{00000000-0005-0000-0000-000027060000}"/>
    <cellStyle name="—_GS Assumptions-F_Book8" xfId="2112" xr:uid="{00000000-0005-0000-0000-000028060000}"/>
    <cellStyle name="—_GS Assumptions-F_Book8_CKC_Hutch_group structure" xfId="2113" xr:uid="{00000000-0005-0000-0000-000029060000}"/>
    <cellStyle name="—_GS Assumptions-F_Book8_Hutchison Model 090514" xfId="2114" xr:uid="{00000000-0005-0000-0000-00002A060000}"/>
    <cellStyle name="—_GS Assumptions-F_BS" xfId="2115" xr:uid="{00000000-0005-0000-0000-00002B060000}"/>
    <cellStyle name="—_GS Assumptions-F_BS_200869 sz - historical" xfId="2116" xr:uid="{00000000-0005-0000-0000-00002C060000}"/>
    <cellStyle name="—_GS Assumptions-F_BS_600519.SS" xfId="2117" xr:uid="{00000000-0005-0000-0000-00002D060000}"/>
    <cellStyle name="—_GS Assumptions-F_BS_Changyu (200869.SZ)_060330" xfId="2118" xr:uid="{00000000-0005-0000-0000-00002E060000}"/>
    <cellStyle name="—_GS Assumptions-F_BS_China Foods (506.HK)" xfId="2119" xr:uid="{00000000-0005-0000-0000-00002F060000}"/>
    <cellStyle name="—_GS Assumptions-F_BS_COFCO (506.HK)" xfId="2120" xr:uid="{00000000-0005-0000-0000-000030060000}"/>
    <cellStyle name="—_GS Assumptions-F_BS_COFCO (506.HK)_after spinoff" xfId="2121" xr:uid="{00000000-0005-0000-0000-000031060000}"/>
    <cellStyle name="—_GS Assumptions-F_BS_COFCO NAV - scenario 060117" xfId="2122" xr:uid="{00000000-0005-0000-0000-000032060000}"/>
    <cellStyle name="—_GS Assumptions-F_BS_COFCO_051010" xfId="2123" xr:uid="{00000000-0005-0000-0000-000033060000}"/>
    <cellStyle name="—_GS Assumptions-F_BS_COFCO_backup" xfId="2124" xr:uid="{00000000-0005-0000-0000-000034060000}"/>
    <cellStyle name="—_GS Assumptions-F_Champion REIT under review" xfId="2125" xr:uid="{00000000-0005-0000-0000-000035060000}"/>
    <cellStyle name="—_GS Assumptions-F_Cheng Shin Model" xfId="2126" xr:uid="{00000000-0005-0000-0000-000036060000}"/>
    <cellStyle name="—_GS Assumptions-F_CK Hutch InvestmentProp Mar 24 2006" xfId="2127" xr:uid="{00000000-0005-0000-0000-000037060000}"/>
    <cellStyle name="—_GS Assumptions-F_CKC_Hutch_group structure" xfId="2128" xr:uid="{00000000-0005-0000-0000-000038060000}"/>
    <cellStyle name="—_GS Assumptions-F_Cost of capital" xfId="2129" xr:uid="{00000000-0005-0000-0000-000039060000}"/>
    <cellStyle name="—_GS Assumptions-F_DoCoMo table 10July2000" xfId="2130" xr:uid="{00000000-0005-0000-0000-00003A060000}"/>
    <cellStyle name="—_GS Assumptions-F_DoCoMo table 10July2000_AUO consolidated 2004_02" xfId="2131" xr:uid="{00000000-0005-0000-0000-00003B060000}"/>
    <cellStyle name="—_GS Assumptions-F_DoCoMo table 10July2000_AUO forecast (GQ)2005_03" xfId="2132" xr:uid="{00000000-0005-0000-0000-00003C060000}"/>
    <cellStyle name="—_GS Assumptions-F_DoCoMo table 10July2000_blank industrial template - new" xfId="2133" xr:uid="{00000000-0005-0000-0000-00003D060000}"/>
    <cellStyle name="—_GS Assumptions-F_DoCoMo table 10July2000_BS" xfId="2134" xr:uid="{00000000-0005-0000-0000-00003E060000}"/>
    <cellStyle name="—_GS Assumptions-F_DoCoMo table 10July2000_Eagle" xfId="2135" xr:uid="{00000000-0005-0000-0000-00003F060000}"/>
    <cellStyle name="—_GS Assumptions-F_DoCoMo table 10July2000_HSH under review" xfId="2136" xr:uid="{00000000-0005-0000-0000-000040060000}"/>
    <cellStyle name="—_GS Assumptions-F_DoCoMo table 10July2000_Novatek forecast 280404" xfId="2137" xr:uid="{00000000-0005-0000-0000-000041060000}"/>
    <cellStyle name="—_GS Assumptions-F_DoCoMo table 10July2000_Prosperity REIT_2006Mar27" xfId="2138" xr:uid="{00000000-0005-0000-0000-000042060000}"/>
    <cellStyle name="—_GS Assumptions-F_DoCoMo table 10July2000_Shangri-La under review" xfId="2139" xr:uid="{00000000-0005-0000-0000-000043060000}"/>
    <cellStyle name="—_GS Assumptions-F_Eagle" xfId="2140" xr:uid="{00000000-0005-0000-0000-000044060000}"/>
    <cellStyle name="—_GS Assumptions-F_earnings" xfId="2141" xr:uid="{00000000-0005-0000-0000-000045060000}"/>
    <cellStyle name="—_GS Assumptions-F_earnings_AUO consolidated 2004_02" xfId="2142" xr:uid="{00000000-0005-0000-0000-000046060000}"/>
    <cellStyle name="—_GS Assumptions-F_earnings_AUO forecast (GQ)2005_03" xfId="2143" xr:uid="{00000000-0005-0000-0000-000047060000}"/>
    <cellStyle name="—_GS Assumptions-F_earnings_blank industrial template - new" xfId="2144" xr:uid="{00000000-0005-0000-0000-000048060000}"/>
    <cellStyle name="—_GS Assumptions-F_earnings_BS" xfId="2145" xr:uid="{00000000-0005-0000-0000-000049060000}"/>
    <cellStyle name="—_GS Assumptions-F_earnings_Eagle" xfId="2146" xr:uid="{00000000-0005-0000-0000-00004A060000}"/>
    <cellStyle name="—_GS Assumptions-F_earnings_HSH under review" xfId="2147" xr:uid="{00000000-0005-0000-0000-00004B060000}"/>
    <cellStyle name="—_GS Assumptions-F_earnings_Novatek forecast 280404" xfId="2148" xr:uid="{00000000-0005-0000-0000-00004C060000}"/>
    <cellStyle name="—_GS Assumptions-F_earnings_Prosperity REIT_2006Mar27" xfId="2149" xr:uid="{00000000-0005-0000-0000-00004D060000}"/>
    <cellStyle name="—_GS Assumptions-F_earnings_Shangri-La under review" xfId="2150" xr:uid="{00000000-0005-0000-0000-00004E060000}"/>
    <cellStyle name="—_GS Assumptions-F_EM_CMHK" xfId="2151" xr:uid="{00000000-0005-0000-0000-00004F060000}"/>
    <cellStyle name="—_GS Assumptions-F_EM_CMHK_AUO consolidated 2004_02" xfId="2152" xr:uid="{00000000-0005-0000-0000-000050060000}"/>
    <cellStyle name="—_GS Assumptions-F_EM_CMHK_AUO forecast (GQ)2005_03" xfId="2153" xr:uid="{00000000-0005-0000-0000-000051060000}"/>
    <cellStyle name="—_GS Assumptions-F_EM_CMHK_blank industrial template - new" xfId="2154" xr:uid="{00000000-0005-0000-0000-000052060000}"/>
    <cellStyle name="—_GS Assumptions-F_EM_CMHK_BS" xfId="2155" xr:uid="{00000000-0005-0000-0000-000053060000}"/>
    <cellStyle name="—_GS Assumptions-F_EM_CMHK_Eagle" xfId="2156" xr:uid="{00000000-0005-0000-0000-000054060000}"/>
    <cellStyle name="—_GS Assumptions-F_EM_CMHK_HSH under review" xfId="2157" xr:uid="{00000000-0005-0000-0000-000055060000}"/>
    <cellStyle name="—_GS Assumptions-F_EM_CMHK_Novatek forecast 280404" xfId="2158" xr:uid="{00000000-0005-0000-0000-000056060000}"/>
    <cellStyle name="—_GS Assumptions-F_EM_CMHK_Prosperity REIT_2006Mar27" xfId="2159" xr:uid="{00000000-0005-0000-0000-000057060000}"/>
    <cellStyle name="—_GS Assumptions-F_EM_CMHK_Shangri-La under review" xfId="2160" xr:uid="{00000000-0005-0000-0000-000058060000}"/>
    <cellStyle name="—_GS Assumptions-F_EM_FETone_new" xfId="2161" xr:uid="{00000000-0005-0000-0000-000059060000}"/>
    <cellStyle name="—_GS Assumptions-F_EM_FETone_new_AUO consolidated 2004_02" xfId="2162" xr:uid="{00000000-0005-0000-0000-00005A060000}"/>
    <cellStyle name="—_GS Assumptions-F_EM_FETone_new_AUO forecast (GQ)2005_03" xfId="2163" xr:uid="{00000000-0005-0000-0000-00005B060000}"/>
    <cellStyle name="—_GS Assumptions-F_EM_FETone_new_blank industrial template - new" xfId="2164" xr:uid="{00000000-0005-0000-0000-00005C060000}"/>
    <cellStyle name="—_GS Assumptions-F_EM_FETone_new_BS" xfId="2165" xr:uid="{00000000-0005-0000-0000-00005D060000}"/>
    <cellStyle name="—_GS Assumptions-F_EM_FETone_new_Eagle" xfId="2166" xr:uid="{00000000-0005-0000-0000-00005E060000}"/>
    <cellStyle name="—_GS Assumptions-F_EM_FETone_new_HSH under review" xfId="2167" xr:uid="{00000000-0005-0000-0000-00005F060000}"/>
    <cellStyle name="—_GS Assumptions-F_EM_FETone_new_Novatek forecast 280404" xfId="2168" xr:uid="{00000000-0005-0000-0000-000060060000}"/>
    <cellStyle name="—_GS Assumptions-F_EM_FETone_new_Prosperity REIT_2006Mar27" xfId="2169" xr:uid="{00000000-0005-0000-0000-000061060000}"/>
    <cellStyle name="—_GS Assumptions-F_EM_FETone_new_Shangri-La under review" xfId="2170" xr:uid="{00000000-0005-0000-0000-000062060000}"/>
    <cellStyle name="—_GS Assumptions-F_EM_NZT" xfId="2171" xr:uid="{00000000-0005-0000-0000-000063060000}"/>
    <cellStyle name="—_GS Assumptions-F_EM_NZT_BS" xfId="2172" xr:uid="{00000000-0005-0000-0000-000064060000}"/>
    <cellStyle name="—_GS Assumptions-F_EM_NZT_BS_200869 sz - historical" xfId="2173" xr:uid="{00000000-0005-0000-0000-000065060000}"/>
    <cellStyle name="—_GS Assumptions-F_EM_NZT_BS_600519.SS" xfId="2174" xr:uid="{00000000-0005-0000-0000-000066060000}"/>
    <cellStyle name="—_GS Assumptions-F_EM_NZT_BS_Changyu (200869.SZ)_060330" xfId="2175" xr:uid="{00000000-0005-0000-0000-000067060000}"/>
    <cellStyle name="—_GS Assumptions-F_EM_NZT_BS_China Foods (506.HK)" xfId="2176" xr:uid="{00000000-0005-0000-0000-000068060000}"/>
    <cellStyle name="—_GS Assumptions-F_EM_NZT_BS_COFCO (506.HK)" xfId="2177" xr:uid="{00000000-0005-0000-0000-000069060000}"/>
    <cellStyle name="—_GS Assumptions-F_EM_NZT_BS_COFCO (506.HK)_after spinoff" xfId="2178" xr:uid="{00000000-0005-0000-0000-00006A060000}"/>
    <cellStyle name="—_GS Assumptions-F_EM_NZT_BS_COFCO NAV - scenario 060117" xfId="2179" xr:uid="{00000000-0005-0000-0000-00006B060000}"/>
    <cellStyle name="—_GS Assumptions-F_EM_NZT_BS_COFCO_051010" xfId="2180" xr:uid="{00000000-0005-0000-0000-00006C060000}"/>
    <cellStyle name="—_GS Assumptions-F_EM_NZT_BS_COFCO_backup" xfId="2181" xr:uid="{00000000-0005-0000-0000-00006D060000}"/>
    <cellStyle name="—_GS Assumptions-F_EM_NZT_CKC_Hutch_group structure" xfId="2182" xr:uid="{00000000-0005-0000-0000-00006E060000}"/>
    <cellStyle name="—_GS Assumptions-F_EM_NZT_Cost of capital" xfId="2183" xr:uid="{00000000-0005-0000-0000-00006F060000}"/>
    <cellStyle name="—_GS Assumptions-F_EM_NZT_HSH under review" xfId="2184" xr:uid="{00000000-0005-0000-0000-000070060000}"/>
    <cellStyle name="—_GS Assumptions-F_EM_NZT_Shangri-La under review" xfId="2185" xr:uid="{00000000-0005-0000-0000-000071060000}"/>
    <cellStyle name="—_GS Assumptions-F_EM_NZT_Yifan template 2" xfId="2186" xr:uid="{00000000-0005-0000-0000-000072060000}"/>
    <cellStyle name="—_GS Assumptions-F_EM_NZT_Yifan template 2_200869 sz - historical" xfId="2187" xr:uid="{00000000-0005-0000-0000-000073060000}"/>
    <cellStyle name="—_GS Assumptions-F_EM_NZT_Yifan template 2_600519.SS" xfId="2188" xr:uid="{00000000-0005-0000-0000-000074060000}"/>
    <cellStyle name="—_GS Assumptions-F_EM_NZT_Yifan template 2_Changyu (200869.SZ)_060330" xfId="2189" xr:uid="{00000000-0005-0000-0000-000075060000}"/>
    <cellStyle name="—_GS Assumptions-F_EM_NZT_Yifan template 2_China Foods (506.HK)" xfId="2190" xr:uid="{00000000-0005-0000-0000-000076060000}"/>
    <cellStyle name="—_GS Assumptions-F_EM_NZT_Yifan template 2_COFCO (506.HK)" xfId="2191" xr:uid="{00000000-0005-0000-0000-000077060000}"/>
    <cellStyle name="—_GS Assumptions-F_EM_NZT_Yifan template 2_COFCO (506.HK)_after spinoff" xfId="2192" xr:uid="{00000000-0005-0000-0000-000078060000}"/>
    <cellStyle name="—_GS Assumptions-F_EM_NZT_Yifan template 2_COFCO NAV - scenario 060117" xfId="2193" xr:uid="{00000000-0005-0000-0000-000079060000}"/>
    <cellStyle name="—_GS Assumptions-F_EM_NZT_Yifan template 2_COFCO_051010" xfId="2194" xr:uid="{00000000-0005-0000-0000-00007A060000}"/>
    <cellStyle name="—_GS Assumptions-F_EM_NZT_Yifan template 2_COFCO_backup" xfId="2195" xr:uid="{00000000-0005-0000-0000-00007B060000}"/>
    <cellStyle name="—_GS Assumptions-F_EM_TCC_new" xfId="2196" xr:uid="{00000000-0005-0000-0000-00007C060000}"/>
    <cellStyle name="—_GS Assumptions-F_EM_TCC_new_AUO consolidated 2004_02" xfId="2197" xr:uid="{00000000-0005-0000-0000-00007D060000}"/>
    <cellStyle name="—_GS Assumptions-F_EM_TCC_new_AUO forecast (GQ)2005_03" xfId="2198" xr:uid="{00000000-0005-0000-0000-00007E060000}"/>
    <cellStyle name="—_GS Assumptions-F_EM_TCC_new_blank industrial template - new" xfId="2199" xr:uid="{00000000-0005-0000-0000-00007F060000}"/>
    <cellStyle name="—_GS Assumptions-F_EM_TCC_new_BS" xfId="2200" xr:uid="{00000000-0005-0000-0000-000080060000}"/>
    <cellStyle name="—_GS Assumptions-F_EM_TCC_new_Eagle" xfId="2201" xr:uid="{00000000-0005-0000-0000-000081060000}"/>
    <cellStyle name="—_GS Assumptions-F_EM_TCC_new_HSH under review" xfId="2202" xr:uid="{00000000-0005-0000-0000-000082060000}"/>
    <cellStyle name="—_GS Assumptions-F_EM_TCC_new_Novatek forecast 280404" xfId="2203" xr:uid="{00000000-0005-0000-0000-000083060000}"/>
    <cellStyle name="—_GS Assumptions-F_EM_TCC_new_Prosperity REIT_2006Mar27" xfId="2204" xr:uid="{00000000-0005-0000-0000-000084060000}"/>
    <cellStyle name="—_GS Assumptions-F_EM_TCC_new_Shangri-La under review" xfId="2205" xr:uid="{00000000-0005-0000-0000-000085060000}"/>
    <cellStyle name="—_GS Assumptions-F_EM-Optus" xfId="2206" xr:uid="{00000000-0005-0000-0000-000086060000}"/>
    <cellStyle name="—_GS Assumptions-F_EM-Optus_AUO consolidated 2004_02" xfId="2207" xr:uid="{00000000-0005-0000-0000-000087060000}"/>
    <cellStyle name="—_GS Assumptions-F_EM-Optus_AUO forecast (GQ)2005_03" xfId="2208" xr:uid="{00000000-0005-0000-0000-000088060000}"/>
    <cellStyle name="—_GS Assumptions-F_EM-Optus_blank industrial template - new" xfId="2209" xr:uid="{00000000-0005-0000-0000-000089060000}"/>
    <cellStyle name="—_GS Assumptions-F_EM-Optus_Book6" xfId="2210" xr:uid="{00000000-0005-0000-0000-00008A060000}"/>
    <cellStyle name="—_GS Assumptions-F_EM-Optus_BS" xfId="2211" xr:uid="{00000000-0005-0000-0000-00008B060000}"/>
    <cellStyle name="—_GS Assumptions-F_EM-Optus_BS_200869 sz - historical" xfId="2212" xr:uid="{00000000-0005-0000-0000-00008C060000}"/>
    <cellStyle name="—_GS Assumptions-F_EM-Optus_BS_600519.SS" xfId="2213" xr:uid="{00000000-0005-0000-0000-00008D060000}"/>
    <cellStyle name="—_GS Assumptions-F_EM-Optus_BS_Changyu (200869.SZ)_060330" xfId="2214" xr:uid="{00000000-0005-0000-0000-00008E060000}"/>
    <cellStyle name="—_GS Assumptions-F_EM-Optus_BS_China Foods (506.HK)" xfId="2215" xr:uid="{00000000-0005-0000-0000-00008F060000}"/>
    <cellStyle name="—_GS Assumptions-F_EM-Optus_BS_COFCO (506.HK)" xfId="2216" xr:uid="{00000000-0005-0000-0000-000090060000}"/>
    <cellStyle name="—_GS Assumptions-F_EM-Optus_BS_COFCO (506.HK)_after spinoff" xfId="2217" xr:uid="{00000000-0005-0000-0000-000091060000}"/>
    <cellStyle name="—_GS Assumptions-F_EM-Optus_BS_COFCO NAV - scenario 060117" xfId="2218" xr:uid="{00000000-0005-0000-0000-000092060000}"/>
    <cellStyle name="—_GS Assumptions-F_EM-Optus_BS_COFCO_051010" xfId="2219" xr:uid="{00000000-0005-0000-0000-000093060000}"/>
    <cellStyle name="—_GS Assumptions-F_EM-Optus_BS_COFCO_backup" xfId="2220" xr:uid="{00000000-0005-0000-0000-000094060000}"/>
    <cellStyle name="—_GS Assumptions-F_EM-Optus_Champion REIT under review" xfId="2221" xr:uid="{00000000-0005-0000-0000-000095060000}"/>
    <cellStyle name="—_GS Assumptions-F_EM-Optus_Cheng Shin Model" xfId="2222" xr:uid="{00000000-0005-0000-0000-000096060000}"/>
    <cellStyle name="—_GS Assumptions-F_EM-Optus_CK Hutch InvestmentProp Mar 24 2006" xfId="2223" xr:uid="{00000000-0005-0000-0000-000097060000}"/>
    <cellStyle name="—_GS Assumptions-F_EM-Optus_CKC_Hutch_group structure" xfId="2224" xr:uid="{00000000-0005-0000-0000-000098060000}"/>
    <cellStyle name="—_GS Assumptions-F_EM-Optus_Cost of capital" xfId="2225" xr:uid="{00000000-0005-0000-0000-000099060000}"/>
    <cellStyle name="—_GS Assumptions-F_EM-Optus_Eagle" xfId="2226" xr:uid="{00000000-0005-0000-0000-00009A060000}"/>
    <cellStyle name="—_GS Assumptions-F_EM-Optus_Great Eagle 080425" xfId="2227" xr:uid="{00000000-0005-0000-0000-00009B060000}"/>
    <cellStyle name="—_GS Assumptions-F_EM-Optus_HLG stub" xfId="2228" xr:uid="{00000000-0005-0000-0000-00009C060000}"/>
    <cellStyle name="—_GS Assumptions-F_EM-Optus_HSH under review" xfId="2229" xr:uid="{00000000-0005-0000-0000-00009D060000}"/>
    <cellStyle name="—_GS Assumptions-F_EM-Optus_Hutchison Model 090514" xfId="2230" xr:uid="{00000000-0005-0000-0000-00009E060000}"/>
    <cellStyle name="—_GS Assumptions-F_EM-Optus_Hysan" xfId="2231" xr:uid="{00000000-0005-0000-0000-00009F060000}"/>
    <cellStyle name="—_GS Assumptions-F_EM-Optus_Landlords" xfId="2232" xr:uid="{00000000-0005-0000-0000-0000A0060000}"/>
    <cellStyle name="—_GS Assumptions-F_EM-Optus_MN071101" xfId="2233" xr:uid="{00000000-0005-0000-0000-0000A1060000}"/>
    <cellStyle name="—_GS Assumptions-F_EM-Optus_MN-Langham" xfId="2234" xr:uid="{00000000-0005-0000-0000-0000A2060000}"/>
    <cellStyle name="—_GS Assumptions-F_EM-Optus_Novatek forecast 280404" xfId="2235" xr:uid="{00000000-0005-0000-0000-0000A3060000}"/>
    <cellStyle name="—_GS Assumptions-F_EM-Optus_Office supply &amp; demand" xfId="2236" xr:uid="{00000000-0005-0000-0000-0000A4060000}"/>
    <cellStyle name="—_GS Assumptions-F_EM-Optus_Prosperity REIT_2006Mar27" xfId="2237" xr:uid="{00000000-0005-0000-0000-0000A5060000}"/>
    <cellStyle name="—_GS Assumptions-F_EM-Optus_RPT-Developers-2008Sep" xfId="2238" xr:uid="{00000000-0005-0000-0000-0000A6060000}"/>
    <cellStyle name="—_GS Assumptions-F_EM-Optus_RPT-Hongkong Land 080430" xfId="2239" xr:uid="{00000000-0005-0000-0000-0000A7060000}"/>
    <cellStyle name="—_GS Assumptions-F_EM-Optus_RPT-Landlords-2008Sep" xfId="2240" xr:uid="{00000000-0005-0000-0000-0000A8060000}"/>
    <cellStyle name="—_GS Assumptions-F_EM-Optus_Shangri-La under review" xfId="2241" xr:uid="{00000000-0005-0000-0000-0000A9060000}"/>
    <cellStyle name="—_GS Assumptions-F_EM-Optus_Yifan template 2" xfId="2242" xr:uid="{00000000-0005-0000-0000-0000AA060000}"/>
    <cellStyle name="—_GS Assumptions-F_EM-Optus_Yifan template 2_200869 sz - historical" xfId="2243" xr:uid="{00000000-0005-0000-0000-0000AB060000}"/>
    <cellStyle name="—_GS Assumptions-F_EM-Optus_Yifan template 2_600519.SS" xfId="2244" xr:uid="{00000000-0005-0000-0000-0000AC060000}"/>
    <cellStyle name="—_GS Assumptions-F_EM-Optus_Yifan template 2_Changyu (200869.SZ)_060330" xfId="2245" xr:uid="{00000000-0005-0000-0000-0000AD060000}"/>
    <cellStyle name="—_GS Assumptions-F_EM-Optus_Yifan template 2_China Foods (506.HK)" xfId="2246" xr:uid="{00000000-0005-0000-0000-0000AE060000}"/>
    <cellStyle name="—_GS Assumptions-F_EM-Optus_Yifan template 2_COFCO (506.HK)" xfId="2247" xr:uid="{00000000-0005-0000-0000-0000AF060000}"/>
    <cellStyle name="—_GS Assumptions-F_EM-Optus_Yifan template 2_COFCO (506.HK)_after spinoff" xfId="2248" xr:uid="{00000000-0005-0000-0000-0000B0060000}"/>
    <cellStyle name="—_GS Assumptions-F_EM-Optus_Yifan template 2_COFCO NAV - scenario 060117" xfId="2249" xr:uid="{00000000-0005-0000-0000-0000B1060000}"/>
    <cellStyle name="—_GS Assumptions-F_EM-Optus_Yifan template 2_COFCO_051010" xfId="2250" xr:uid="{00000000-0005-0000-0000-0000B2060000}"/>
    <cellStyle name="—_GS Assumptions-F_EM-Optus_Yifan template 2_COFCO_backup" xfId="2251" xr:uid="{00000000-0005-0000-0000-0000B3060000}"/>
    <cellStyle name="—_GS Assumptions-F_EM-PLDT consolidated - aug 1 00" xfId="2252" xr:uid="{00000000-0005-0000-0000-0000B4060000}"/>
    <cellStyle name="—_GS Assumptions-F_EM-PLDT consolidated - mar 5 01" xfId="2253" xr:uid="{00000000-0005-0000-0000-0000B5060000}"/>
    <cellStyle name="—_GS Assumptions-F_EM-PLDT consolidated - mar 5 01_CKC_Hutch_group structure" xfId="2254" xr:uid="{00000000-0005-0000-0000-0000B6060000}"/>
    <cellStyle name="—_GS Assumptions-F_FCFC-GSoutput 12Aug04" xfId="2255" xr:uid="{00000000-0005-0000-0000-0000B7060000}"/>
    <cellStyle name="—_GS Assumptions-F_Feb01report" xfId="2256" xr:uid="{00000000-0005-0000-0000-0000B8060000}"/>
    <cellStyle name="—_GS Assumptions-F_Feb01report_NAV" xfId="2257" xr:uid="{00000000-0005-0000-0000-0000B9060000}"/>
    <cellStyle name="—_GS Assumptions-F_Feb01report_QP_0019.HK" xfId="2258" xr:uid="{00000000-0005-0000-0000-0000BA060000}"/>
    <cellStyle name="—_GS Assumptions-F_Feb01report_Swire Model" xfId="2259" xr:uid="{00000000-0005-0000-0000-0000BB060000}"/>
    <cellStyle name="—_GS Assumptions-F_Feb01report_SWIRESS" xfId="2260" xr:uid="{00000000-0005-0000-0000-0000BC060000}"/>
    <cellStyle name="—_GS Assumptions-F_FPACSS" xfId="2261" xr:uid="{00000000-0005-0000-0000-0000BD060000}"/>
    <cellStyle name="—_GS Assumptions-F_FPC-MSTR Quantum" xfId="2262" xr:uid="{00000000-0005-0000-0000-0000BE060000}"/>
    <cellStyle name="—_GS Assumptions-F_GlobalValuation_Japan" xfId="2263" xr:uid="{00000000-0005-0000-0000-0000BF060000}"/>
    <cellStyle name="—_GS Assumptions-F_Great Eagle 080425" xfId="2264" xr:uid="{00000000-0005-0000-0000-0000C0060000}"/>
    <cellStyle name="—_GS Assumptions-F_HLG stub" xfId="2265" xr:uid="{00000000-0005-0000-0000-0000C1060000}"/>
    <cellStyle name="—_GS Assumptions-F_HSH under review" xfId="2266" xr:uid="{00000000-0005-0000-0000-0000C2060000}"/>
    <cellStyle name="—_GS Assumptions-F_Hutchison Model 090514" xfId="2267" xr:uid="{00000000-0005-0000-0000-0000C3060000}"/>
    <cellStyle name="—_GS Assumptions-F_hutchss" xfId="2268" xr:uid="{00000000-0005-0000-0000-0000C4060000}"/>
    <cellStyle name="—_GS Assumptions-F_Hysan" xfId="2269" xr:uid="{00000000-0005-0000-0000-0000C5060000}"/>
    <cellStyle name="—_GS Assumptions-F_IPOmaster" xfId="2270" xr:uid="{00000000-0005-0000-0000-0000C6060000}"/>
    <cellStyle name="—_GS Assumptions-F_JMATHSS" xfId="2271" xr:uid="{00000000-0005-0000-0000-0000C7060000}"/>
    <cellStyle name="—_GS Assumptions-F_JT CROCI" xfId="2272" xr:uid="{00000000-0005-0000-0000-0000C8060000}"/>
    <cellStyle name="—_GS Assumptions-F_KDDI CROCI" xfId="2273" xr:uid="{00000000-0005-0000-0000-0000C9060000}"/>
    <cellStyle name="—_GS Assumptions-F_Landlords" xfId="2274" xr:uid="{00000000-0005-0000-0000-0000CA060000}"/>
    <cellStyle name="—_GS Assumptions-F_li&amp;fungSS" xfId="2275" xr:uid="{00000000-0005-0000-0000-0000CB060000}"/>
    <cellStyle name="—_GS Assumptions-F_MASTER" xfId="2276" xr:uid="{00000000-0005-0000-0000-0000CC060000}"/>
    <cellStyle name="—_GS Assumptions-F_MN071101" xfId="2277" xr:uid="{00000000-0005-0000-0000-0000CD060000}"/>
    <cellStyle name="—_GS Assumptions-F_MN-Langham" xfId="2278" xr:uid="{00000000-0005-0000-0000-0000CE060000}"/>
    <cellStyle name="—_GS Assumptions-F_Novatek forecast" xfId="2279" xr:uid="{00000000-0005-0000-0000-0000CF060000}"/>
    <cellStyle name="—_GS Assumptions-F_Novatek forecast 280404" xfId="2280" xr:uid="{00000000-0005-0000-0000-0000D0060000}"/>
    <cellStyle name="—_GS Assumptions-F_NTT CROCI" xfId="2281" xr:uid="{00000000-0005-0000-0000-0000D1060000}"/>
    <cellStyle name="—_GS Assumptions-F_NTT proportionate" xfId="2282" xr:uid="{00000000-0005-0000-0000-0000D2060000}"/>
    <cellStyle name="—_GS Assumptions-F_Office supply &amp; demand" xfId="2283" xr:uid="{00000000-0005-0000-0000-0000D3060000}"/>
    <cellStyle name="—_GS Assumptions-F_operating stats comp" xfId="2284" xr:uid="{00000000-0005-0000-0000-0000D4060000}"/>
    <cellStyle name="—_GS Assumptions-F_operating stats comp_AUO consolidated 2004_02" xfId="2285" xr:uid="{00000000-0005-0000-0000-0000D5060000}"/>
    <cellStyle name="—_GS Assumptions-F_operating stats comp_AUO forecast (GQ)2005_03" xfId="2286" xr:uid="{00000000-0005-0000-0000-0000D6060000}"/>
    <cellStyle name="—_GS Assumptions-F_operating stats comp_blank industrial template - new" xfId="2287" xr:uid="{00000000-0005-0000-0000-0000D7060000}"/>
    <cellStyle name="—_GS Assumptions-F_operating stats comp_BS" xfId="2288" xr:uid="{00000000-0005-0000-0000-0000D8060000}"/>
    <cellStyle name="—_GS Assumptions-F_operating stats comp_Eagle" xfId="2289" xr:uid="{00000000-0005-0000-0000-0000D9060000}"/>
    <cellStyle name="—_GS Assumptions-F_operating stats comp_HSH under review" xfId="2290" xr:uid="{00000000-0005-0000-0000-0000DA060000}"/>
    <cellStyle name="—_GS Assumptions-F_operating stats comp_Novatek forecast 280404" xfId="2291" xr:uid="{00000000-0005-0000-0000-0000DB060000}"/>
    <cellStyle name="—_GS Assumptions-F_operating stats comp_Prosperity REIT_2006Mar27" xfId="2292" xr:uid="{00000000-0005-0000-0000-0000DC060000}"/>
    <cellStyle name="—_GS Assumptions-F_operating stats comp_Shangri-La under review" xfId="2293" xr:uid="{00000000-0005-0000-0000-0000DD060000}"/>
    <cellStyle name="—_GS Assumptions-F_Prop Dev" xfId="2294" xr:uid="{00000000-0005-0000-0000-0000DE060000}"/>
    <cellStyle name="—_GS Assumptions-F_Prosperity REIT_2006Mar27" xfId="2295" xr:uid="{00000000-0005-0000-0000-0000DF060000}"/>
    <cellStyle name="—_GS Assumptions-F_RPT-Developers-2008Sep" xfId="2296" xr:uid="{00000000-0005-0000-0000-0000E0060000}"/>
    <cellStyle name="—_GS Assumptions-F_RPT-Hongkong Land 080430" xfId="2297" xr:uid="{00000000-0005-0000-0000-0000E1060000}"/>
    <cellStyle name="—_GS Assumptions-F_RPT-Landlords-2008Sep" xfId="2298" xr:uid="{00000000-0005-0000-0000-0000E2060000}"/>
    <cellStyle name="—_GS Assumptions-F_Shangri-La under review" xfId="2299" xr:uid="{00000000-0005-0000-0000-0000E3060000}"/>
    <cellStyle name="—_GS Assumptions-F_Sheet1" xfId="2300" xr:uid="{00000000-0005-0000-0000-0000E4060000}"/>
    <cellStyle name="—_GS Assumptions-F_ShunTakSS" xfId="2301" xr:uid="{00000000-0005-0000-0000-0000E5060000}"/>
    <cellStyle name="—_GS Assumptions-F_Strategy_data_update" xfId="2302" xr:uid="{00000000-0005-0000-0000-0000E6060000}"/>
    <cellStyle name="—_GS Assumptions-F_Strategy_data_update_AUO consolidated 2004_02" xfId="2303" xr:uid="{00000000-0005-0000-0000-0000E7060000}"/>
    <cellStyle name="—_GS Assumptions-F_Strategy_data_update_AUO forecast (GQ)2005_03" xfId="2304" xr:uid="{00000000-0005-0000-0000-0000E8060000}"/>
    <cellStyle name="—_GS Assumptions-F_Strategy_data_update_blank industrial template - new" xfId="2305" xr:uid="{00000000-0005-0000-0000-0000E9060000}"/>
    <cellStyle name="—_GS Assumptions-F_Strategy_data_update_BS" xfId="2306" xr:uid="{00000000-0005-0000-0000-0000EA060000}"/>
    <cellStyle name="—_GS Assumptions-F_Strategy_data_update_Eagle" xfId="2307" xr:uid="{00000000-0005-0000-0000-0000EB060000}"/>
    <cellStyle name="—_GS Assumptions-F_Strategy_data_update_HSH under review" xfId="2308" xr:uid="{00000000-0005-0000-0000-0000EC060000}"/>
    <cellStyle name="—_GS Assumptions-F_Strategy_data_update_Novatek forecast 280404" xfId="2309" xr:uid="{00000000-0005-0000-0000-0000ED060000}"/>
    <cellStyle name="—_GS Assumptions-F_Strategy_data_update_Prosperity REIT_2006Mar27" xfId="2310" xr:uid="{00000000-0005-0000-0000-0000EE060000}"/>
    <cellStyle name="—_GS Assumptions-F_Strategy_data_update_Shangri-La under review" xfId="2311" xr:uid="{00000000-0005-0000-0000-0000EF060000}"/>
    <cellStyle name="—_GS Assumptions-F_SWIRESS" xfId="2312" xr:uid="{00000000-0005-0000-0000-0000F0060000}"/>
    <cellStyle name="—_GS Assumptions-F_Synnex Model" xfId="2313" xr:uid="{00000000-0005-0000-0000-0000F1060000}"/>
    <cellStyle name="—_GS Assumptions-F_WHARFSS" xfId="2314" xr:uid="{00000000-0005-0000-0000-0000F2060000}"/>
    <cellStyle name="—_GS Assumptions-F_WHARFSS_CKC_Hutch_group structure" xfId="2315" xr:uid="{00000000-0005-0000-0000-0000F3060000}"/>
    <cellStyle name="—_GS Assumptions-F_WHARFSS_Hutchison Model" xfId="2316" xr:uid="{00000000-0005-0000-0000-0000F4060000}"/>
    <cellStyle name="—_GS Assumptions-F_WHARFSS_Hutchison Model 090514" xfId="2317" xr:uid="{00000000-0005-0000-0000-0000F5060000}"/>
    <cellStyle name="—_GS Assumptions-F_WHARFSS_hutchss" xfId="2318" xr:uid="{00000000-0005-0000-0000-0000F6060000}"/>
    <cellStyle name="—_GS Assumptions-F_WHARFSS_NAV" xfId="2319" xr:uid="{00000000-0005-0000-0000-0000F7060000}"/>
    <cellStyle name="—_GS Assumptions-F_WHARFSS_Prop Dev" xfId="2320" xr:uid="{00000000-0005-0000-0000-0000F8060000}"/>
    <cellStyle name="—_GS Assumptions-F_Yifan template 2" xfId="2321" xr:uid="{00000000-0005-0000-0000-0000F9060000}"/>
    <cellStyle name="—_GS Assumptions-F_Yifan template 2_200869 sz - historical" xfId="2322" xr:uid="{00000000-0005-0000-0000-0000FA060000}"/>
    <cellStyle name="—_GS Assumptions-F_Yifan template 2_600519.SS" xfId="2323" xr:uid="{00000000-0005-0000-0000-0000FB060000}"/>
    <cellStyle name="—_GS Assumptions-F_Yifan template 2_Changyu (200869.SZ)_060330" xfId="2324" xr:uid="{00000000-0005-0000-0000-0000FC060000}"/>
    <cellStyle name="—_GS Assumptions-F_Yifan template 2_China Foods (506.HK)" xfId="2325" xr:uid="{00000000-0005-0000-0000-0000FD060000}"/>
    <cellStyle name="—_GS Assumptions-F_Yifan template 2_COFCO (506.HK)" xfId="2326" xr:uid="{00000000-0005-0000-0000-0000FE060000}"/>
    <cellStyle name="—_GS Assumptions-F_Yifan template 2_COFCO (506.HK)_after spinoff" xfId="2327" xr:uid="{00000000-0005-0000-0000-0000FF060000}"/>
    <cellStyle name="—_GS Assumptions-F_Yifan template 2_COFCO NAV - scenario 060117" xfId="2328" xr:uid="{00000000-0005-0000-0000-000000070000}"/>
    <cellStyle name="—_GS Assumptions-F_Yifan template 2_COFCO_051010" xfId="2329" xr:uid="{00000000-0005-0000-0000-000001070000}"/>
    <cellStyle name="—_GS Assumptions-F_Yifan template 2_COFCO_backup" xfId="2330" xr:uid="{00000000-0005-0000-0000-000002070000}"/>
    <cellStyle name="—_GS Assumptions-F_Zhenhai-MSTR" xfId="2331" xr:uid="{00000000-0005-0000-0000-000003070000}"/>
    <cellStyle name="—_GS_Balance" xfId="2332" xr:uid="{00000000-0005-0000-0000-000004070000}"/>
    <cellStyle name="—_GS_Balance_100902 Helen NTT FCF to be sent" xfId="2333" xr:uid="{00000000-0005-0000-0000-000005070000}"/>
    <cellStyle name="—_GS_Balance_AUO consolidated 2004_02" xfId="2334" xr:uid="{00000000-0005-0000-0000-000006070000}"/>
    <cellStyle name="—_GS_Balance_AUO forecast (GQ)2005_03" xfId="2335" xr:uid="{00000000-0005-0000-0000-000007070000}"/>
    <cellStyle name="—_GS_Balance_blank industrial template - new" xfId="2336" xr:uid="{00000000-0005-0000-0000-000008070000}"/>
    <cellStyle name="—_GS_Balance_Book6" xfId="2337" xr:uid="{00000000-0005-0000-0000-000009070000}"/>
    <cellStyle name="—_GS_Balance_Book7" xfId="2338" xr:uid="{00000000-0005-0000-0000-00000A070000}"/>
    <cellStyle name="—_GS_Balance_Book7_AUO consolidated 2004_02" xfId="2339" xr:uid="{00000000-0005-0000-0000-00000B070000}"/>
    <cellStyle name="—_GS_Balance_Book7_AUO forecast (GQ)2005_03" xfId="2340" xr:uid="{00000000-0005-0000-0000-00000C070000}"/>
    <cellStyle name="—_GS_Balance_Book7_blank industrial template - new" xfId="2341" xr:uid="{00000000-0005-0000-0000-00000D070000}"/>
    <cellStyle name="—_GS_Balance_Book7_BS" xfId="2342" xr:uid="{00000000-0005-0000-0000-00000E070000}"/>
    <cellStyle name="—_GS_Balance_Book7_CK Hutch InvestmentProp Mar 24 2006" xfId="2343" xr:uid="{00000000-0005-0000-0000-00000F070000}"/>
    <cellStyle name="—_GS_Balance_Book7_CKC_Hutch_group structure" xfId="2344" xr:uid="{00000000-0005-0000-0000-000010070000}"/>
    <cellStyle name="—_GS_Balance_Book7_Eagle" xfId="2345" xr:uid="{00000000-0005-0000-0000-000011070000}"/>
    <cellStyle name="—_GS_Balance_Book7_HSH under review" xfId="2346" xr:uid="{00000000-0005-0000-0000-000012070000}"/>
    <cellStyle name="—_GS_Balance_Book7_Hutchison Model 090514" xfId="2347" xr:uid="{00000000-0005-0000-0000-000013070000}"/>
    <cellStyle name="—_GS_Balance_Book7_Novatek forecast 280404" xfId="2348" xr:uid="{00000000-0005-0000-0000-000014070000}"/>
    <cellStyle name="—_GS_Balance_Book7_Prosperity REIT_2006Mar27" xfId="2349" xr:uid="{00000000-0005-0000-0000-000015070000}"/>
    <cellStyle name="—_GS_Balance_Book7_Shangri-La under review" xfId="2350" xr:uid="{00000000-0005-0000-0000-000016070000}"/>
    <cellStyle name="—_GS_Balance_Book8" xfId="2351" xr:uid="{00000000-0005-0000-0000-000017070000}"/>
    <cellStyle name="—_GS_Balance_Book8_CKC_Hutch_group structure" xfId="2352" xr:uid="{00000000-0005-0000-0000-000018070000}"/>
    <cellStyle name="—_GS_Balance_Book8_Hutchison Model 090514" xfId="2353" xr:uid="{00000000-0005-0000-0000-000019070000}"/>
    <cellStyle name="—_GS_Balance_BS" xfId="2354" xr:uid="{00000000-0005-0000-0000-00001A070000}"/>
    <cellStyle name="—_GS_Balance_BS_200869 sz - historical" xfId="2355" xr:uid="{00000000-0005-0000-0000-00001B070000}"/>
    <cellStyle name="—_GS_Balance_BS_600519.SS" xfId="2356" xr:uid="{00000000-0005-0000-0000-00001C070000}"/>
    <cellStyle name="—_GS_Balance_BS_Changyu (200869.SZ)_060330" xfId="2357" xr:uid="{00000000-0005-0000-0000-00001D070000}"/>
    <cellStyle name="—_GS_Balance_BS_China Foods (506.HK)" xfId="2358" xr:uid="{00000000-0005-0000-0000-00001E070000}"/>
    <cellStyle name="—_GS_Balance_BS_COFCO (506.HK)" xfId="2359" xr:uid="{00000000-0005-0000-0000-00001F070000}"/>
    <cellStyle name="—_GS_Balance_BS_COFCO (506.HK)_after spinoff" xfId="2360" xr:uid="{00000000-0005-0000-0000-000020070000}"/>
    <cellStyle name="—_GS_Balance_BS_COFCO NAV - scenario 060117" xfId="2361" xr:uid="{00000000-0005-0000-0000-000021070000}"/>
    <cellStyle name="—_GS_Balance_BS_COFCO_051010" xfId="2362" xr:uid="{00000000-0005-0000-0000-000022070000}"/>
    <cellStyle name="—_GS_Balance_BS_COFCO_backup" xfId="2363" xr:uid="{00000000-0005-0000-0000-000023070000}"/>
    <cellStyle name="—_GS_Balance_Champion REIT under review" xfId="2364" xr:uid="{00000000-0005-0000-0000-000024070000}"/>
    <cellStyle name="—_GS_Balance_Cheng Shin Model" xfId="2365" xr:uid="{00000000-0005-0000-0000-000025070000}"/>
    <cellStyle name="—_GS_Balance_CK Hutch InvestmentProp Mar 24 2006" xfId="2366" xr:uid="{00000000-0005-0000-0000-000026070000}"/>
    <cellStyle name="—_GS_Balance_CKC_Hutch_group structure" xfId="2367" xr:uid="{00000000-0005-0000-0000-000027070000}"/>
    <cellStyle name="—_GS_Balance_Cost of capital" xfId="2368" xr:uid="{00000000-0005-0000-0000-000028070000}"/>
    <cellStyle name="—_GS_Balance_DoCoMo table 10July2000" xfId="2369" xr:uid="{00000000-0005-0000-0000-000029070000}"/>
    <cellStyle name="—_GS_Balance_DoCoMo table 10July2000_AUO consolidated 2004_02" xfId="2370" xr:uid="{00000000-0005-0000-0000-00002A070000}"/>
    <cellStyle name="—_GS_Balance_DoCoMo table 10July2000_AUO forecast (GQ)2005_03" xfId="2371" xr:uid="{00000000-0005-0000-0000-00002B070000}"/>
    <cellStyle name="—_GS_Balance_DoCoMo table 10July2000_blank industrial template - new" xfId="2372" xr:uid="{00000000-0005-0000-0000-00002C070000}"/>
    <cellStyle name="—_GS_Balance_DoCoMo table 10July2000_BS" xfId="2373" xr:uid="{00000000-0005-0000-0000-00002D070000}"/>
    <cellStyle name="—_GS_Balance_DoCoMo table 10July2000_Eagle" xfId="2374" xr:uid="{00000000-0005-0000-0000-00002E070000}"/>
    <cellStyle name="—_GS_Balance_DoCoMo table 10July2000_HSH under review" xfId="2375" xr:uid="{00000000-0005-0000-0000-00002F070000}"/>
    <cellStyle name="—_GS_Balance_DoCoMo table 10July2000_Novatek forecast 280404" xfId="2376" xr:uid="{00000000-0005-0000-0000-000030070000}"/>
    <cellStyle name="—_GS_Balance_DoCoMo table 10July2000_Prosperity REIT_2006Mar27" xfId="2377" xr:uid="{00000000-0005-0000-0000-000031070000}"/>
    <cellStyle name="—_GS_Balance_DoCoMo table 10July2000_Shangri-La under review" xfId="2378" xr:uid="{00000000-0005-0000-0000-000032070000}"/>
    <cellStyle name="—_GS_Balance_Eagle" xfId="2379" xr:uid="{00000000-0005-0000-0000-000033070000}"/>
    <cellStyle name="—_GS_Balance_earnings" xfId="2380" xr:uid="{00000000-0005-0000-0000-000034070000}"/>
    <cellStyle name="—_GS_Balance_earnings_AUO consolidated 2004_02" xfId="2381" xr:uid="{00000000-0005-0000-0000-000035070000}"/>
    <cellStyle name="—_GS_Balance_earnings_AUO forecast (GQ)2005_03" xfId="2382" xr:uid="{00000000-0005-0000-0000-000036070000}"/>
    <cellStyle name="—_GS_Balance_earnings_blank industrial template - new" xfId="2383" xr:uid="{00000000-0005-0000-0000-000037070000}"/>
    <cellStyle name="—_GS_Balance_earnings_BS" xfId="2384" xr:uid="{00000000-0005-0000-0000-000038070000}"/>
    <cellStyle name="—_GS_Balance_earnings_Eagle" xfId="2385" xr:uid="{00000000-0005-0000-0000-000039070000}"/>
    <cellStyle name="—_GS_Balance_earnings_HSH under review" xfId="2386" xr:uid="{00000000-0005-0000-0000-00003A070000}"/>
    <cellStyle name="—_GS_Balance_earnings_Novatek forecast 280404" xfId="2387" xr:uid="{00000000-0005-0000-0000-00003B070000}"/>
    <cellStyle name="—_GS_Balance_earnings_Prosperity REIT_2006Mar27" xfId="2388" xr:uid="{00000000-0005-0000-0000-00003C070000}"/>
    <cellStyle name="—_GS_Balance_earnings_Shangri-La under review" xfId="2389" xr:uid="{00000000-0005-0000-0000-00003D070000}"/>
    <cellStyle name="—_GS_Balance_EM_CMHK" xfId="2390" xr:uid="{00000000-0005-0000-0000-00003E070000}"/>
    <cellStyle name="—_GS_Balance_EM_CMHK_AUO consolidated 2004_02" xfId="2391" xr:uid="{00000000-0005-0000-0000-00003F070000}"/>
    <cellStyle name="—_GS_Balance_EM_CMHK_AUO forecast (GQ)2005_03" xfId="2392" xr:uid="{00000000-0005-0000-0000-000040070000}"/>
    <cellStyle name="—_GS_Balance_EM_CMHK_blank industrial template - new" xfId="2393" xr:uid="{00000000-0005-0000-0000-000041070000}"/>
    <cellStyle name="—_GS_Balance_EM_CMHK_BS" xfId="2394" xr:uid="{00000000-0005-0000-0000-000042070000}"/>
    <cellStyle name="—_GS_Balance_EM_CMHK_Eagle" xfId="2395" xr:uid="{00000000-0005-0000-0000-000043070000}"/>
    <cellStyle name="—_GS_Balance_EM_CMHK_HSH under review" xfId="2396" xr:uid="{00000000-0005-0000-0000-000044070000}"/>
    <cellStyle name="—_GS_Balance_EM_CMHK_Novatek forecast 280404" xfId="2397" xr:uid="{00000000-0005-0000-0000-000045070000}"/>
    <cellStyle name="—_GS_Balance_EM_CMHK_Prosperity REIT_2006Mar27" xfId="2398" xr:uid="{00000000-0005-0000-0000-000046070000}"/>
    <cellStyle name="—_GS_Balance_EM_CMHK_Shangri-La under review" xfId="2399" xr:uid="{00000000-0005-0000-0000-000047070000}"/>
    <cellStyle name="—_GS_Balance_EM_FETone_new" xfId="2400" xr:uid="{00000000-0005-0000-0000-000048070000}"/>
    <cellStyle name="—_GS_Balance_EM_FETone_new_AUO consolidated 2004_02" xfId="2401" xr:uid="{00000000-0005-0000-0000-000049070000}"/>
    <cellStyle name="—_GS_Balance_EM_FETone_new_AUO forecast (GQ)2005_03" xfId="2402" xr:uid="{00000000-0005-0000-0000-00004A070000}"/>
    <cellStyle name="—_GS_Balance_EM_FETone_new_blank industrial template - new" xfId="2403" xr:uid="{00000000-0005-0000-0000-00004B070000}"/>
    <cellStyle name="—_GS_Balance_EM_FETone_new_BS" xfId="2404" xr:uid="{00000000-0005-0000-0000-00004C070000}"/>
    <cellStyle name="—_GS_Balance_EM_FETone_new_Eagle" xfId="2405" xr:uid="{00000000-0005-0000-0000-00004D070000}"/>
    <cellStyle name="—_GS_Balance_EM_FETone_new_HSH under review" xfId="2406" xr:uid="{00000000-0005-0000-0000-00004E070000}"/>
    <cellStyle name="—_GS_Balance_EM_FETone_new_Novatek forecast 280404" xfId="2407" xr:uid="{00000000-0005-0000-0000-00004F070000}"/>
    <cellStyle name="—_GS_Balance_EM_FETone_new_Prosperity REIT_2006Mar27" xfId="2408" xr:uid="{00000000-0005-0000-0000-000050070000}"/>
    <cellStyle name="—_GS_Balance_EM_FETone_new_Shangri-La under review" xfId="2409" xr:uid="{00000000-0005-0000-0000-000051070000}"/>
    <cellStyle name="—_GS_Balance_EM_NZT" xfId="2410" xr:uid="{00000000-0005-0000-0000-000052070000}"/>
    <cellStyle name="—_GS_Balance_EM_NZT_BS" xfId="2411" xr:uid="{00000000-0005-0000-0000-000053070000}"/>
    <cellStyle name="—_GS_Balance_EM_NZT_BS_200869 sz - historical" xfId="2412" xr:uid="{00000000-0005-0000-0000-000054070000}"/>
    <cellStyle name="—_GS_Balance_EM_NZT_BS_600519.SS" xfId="2413" xr:uid="{00000000-0005-0000-0000-000055070000}"/>
    <cellStyle name="—_GS_Balance_EM_NZT_BS_Changyu (200869.SZ)_060330" xfId="2414" xr:uid="{00000000-0005-0000-0000-000056070000}"/>
    <cellStyle name="—_GS_Balance_EM_NZT_BS_China Foods (506.HK)" xfId="2415" xr:uid="{00000000-0005-0000-0000-000057070000}"/>
    <cellStyle name="—_GS_Balance_EM_NZT_BS_COFCO (506.HK)" xfId="2416" xr:uid="{00000000-0005-0000-0000-000058070000}"/>
    <cellStyle name="—_GS_Balance_EM_NZT_BS_COFCO (506.HK)_after spinoff" xfId="2417" xr:uid="{00000000-0005-0000-0000-000059070000}"/>
    <cellStyle name="—_GS_Balance_EM_NZT_BS_COFCO NAV - scenario 060117" xfId="2418" xr:uid="{00000000-0005-0000-0000-00005A070000}"/>
    <cellStyle name="—_GS_Balance_EM_NZT_BS_COFCO_051010" xfId="2419" xr:uid="{00000000-0005-0000-0000-00005B070000}"/>
    <cellStyle name="—_GS_Balance_EM_NZT_BS_COFCO_backup" xfId="2420" xr:uid="{00000000-0005-0000-0000-00005C070000}"/>
    <cellStyle name="—_GS_Balance_EM_NZT_CKC_Hutch_group structure" xfId="2421" xr:uid="{00000000-0005-0000-0000-00005D070000}"/>
    <cellStyle name="—_GS_Balance_EM_NZT_Cost of capital" xfId="2422" xr:uid="{00000000-0005-0000-0000-00005E070000}"/>
    <cellStyle name="—_GS_Balance_EM_NZT_HSH under review" xfId="2423" xr:uid="{00000000-0005-0000-0000-00005F070000}"/>
    <cellStyle name="—_GS_Balance_EM_NZT_Shangri-La under review" xfId="2424" xr:uid="{00000000-0005-0000-0000-000060070000}"/>
    <cellStyle name="—_GS_Balance_EM_NZT_Yifan template 2" xfId="2425" xr:uid="{00000000-0005-0000-0000-000061070000}"/>
    <cellStyle name="—_GS_Balance_EM_NZT_Yifan template 2_200869 sz - historical" xfId="2426" xr:uid="{00000000-0005-0000-0000-000062070000}"/>
    <cellStyle name="—_GS_Balance_EM_NZT_Yifan template 2_600519.SS" xfId="2427" xr:uid="{00000000-0005-0000-0000-000063070000}"/>
    <cellStyle name="—_GS_Balance_EM_NZT_Yifan template 2_Changyu (200869.SZ)_060330" xfId="2428" xr:uid="{00000000-0005-0000-0000-000064070000}"/>
    <cellStyle name="—_GS_Balance_EM_NZT_Yifan template 2_China Foods (506.HK)" xfId="2429" xr:uid="{00000000-0005-0000-0000-000065070000}"/>
    <cellStyle name="—_GS_Balance_EM_NZT_Yifan template 2_COFCO (506.HK)" xfId="2430" xr:uid="{00000000-0005-0000-0000-000066070000}"/>
    <cellStyle name="—_GS_Balance_EM_NZT_Yifan template 2_COFCO (506.HK)_after spinoff" xfId="2431" xr:uid="{00000000-0005-0000-0000-000067070000}"/>
    <cellStyle name="—_GS_Balance_EM_NZT_Yifan template 2_COFCO NAV - scenario 060117" xfId="2432" xr:uid="{00000000-0005-0000-0000-000068070000}"/>
    <cellStyle name="—_GS_Balance_EM_NZT_Yifan template 2_COFCO_051010" xfId="2433" xr:uid="{00000000-0005-0000-0000-000069070000}"/>
    <cellStyle name="—_GS_Balance_EM_NZT_Yifan template 2_COFCO_backup" xfId="2434" xr:uid="{00000000-0005-0000-0000-00006A070000}"/>
    <cellStyle name="—_GS_Balance_EM_TCC_new" xfId="2435" xr:uid="{00000000-0005-0000-0000-00006B070000}"/>
    <cellStyle name="—_GS_Balance_EM_TCC_new_AUO consolidated 2004_02" xfId="2436" xr:uid="{00000000-0005-0000-0000-00006C070000}"/>
    <cellStyle name="—_GS_Balance_EM_TCC_new_AUO forecast (GQ)2005_03" xfId="2437" xr:uid="{00000000-0005-0000-0000-00006D070000}"/>
    <cellStyle name="—_GS_Balance_EM_TCC_new_blank industrial template - new" xfId="2438" xr:uid="{00000000-0005-0000-0000-00006E070000}"/>
    <cellStyle name="—_GS_Balance_EM_TCC_new_BS" xfId="2439" xr:uid="{00000000-0005-0000-0000-00006F070000}"/>
    <cellStyle name="—_GS_Balance_EM_TCC_new_Eagle" xfId="2440" xr:uid="{00000000-0005-0000-0000-000070070000}"/>
    <cellStyle name="—_GS_Balance_EM_TCC_new_HSH under review" xfId="2441" xr:uid="{00000000-0005-0000-0000-000071070000}"/>
    <cellStyle name="—_GS_Balance_EM_TCC_new_Novatek forecast 280404" xfId="2442" xr:uid="{00000000-0005-0000-0000-000072070000}"/>
    <cellStyle name="—_GS_Balance_EM_TCC_new_Prosperity REIT_2006Mar27" xfId="2443" xr:uid="{00000000-0005-0000-0000-000073070000}"/>
    <cellStyle name="—_GS_Balance_EM_TCC_new_Shangri-La under review" xfId="2444" xr:uid="{00000000-0005-0000-0000-000074070000}"/>
    <cellStyle name="—_GS_Balance_EM-Optus" xfId="2445" xr:uid="{00000000-0005-0000-0000-000075070000}"/>
    <cellStyle name="—_GS_Balance_EM-Optus_AUO consolidated 2004_02" xfId="2446" xr:uid="{00000000-0005-0000-0000-000076070000}"/>
    <cellStyle name="—_GS_Balance_EM-Optus_AUO forecast (GQ)2005_03" xfId="2447" xr:uid="{00000000-0005-0000-0000-000077070000}"/>
    <cellStyle name="—_GS_Balance_EM-Optus_blank industrial template - new" xfId="2448" xr:uid="{00000000-0005-0000-0000-000078070000}"/>
    <cellStyle name="—_GS_Balance_EM-Optus_Book6" xfId="2449" xr:uid="{00000000-0005-0000-0000-000079070000}"/>
    <cellStyle name="—_GS_Balance_EM-Optus_BS" xfId="2450" xr:uid="{00000000-0005-0000-0000-00007A070000}"/>
    <cellStyle name="—_GS_Balance_EM-Optus_BS_200869 sz - historical" xfId="2451" xr:uid="{00000000-0005-0000-0000-00007B070000}"/>
    <cellStyle name="—_GS_Balance_EM-Optus_BS_600519.SS" xfId="2452" xr:uid="{00000000-0005-0000-0000-00007C070000}"/>
    <cellStyle name="—_GS_Balance_EM-Optus_BS_Changyu (200869.SZ)_060330" xfId="2453" xr:uid="{00000000-0005-0000-0000-00007D070000}"/>
    <cellStyle name="—_GS_Balance_EM-Optus_BS_China Foods (506.HK)" xfId="2454" xr:uid="{00000000-0005-0000-0000-00007E070000}"/>
    <cellStyle name="—_GS_Balance_EM-Optus_BS_COFCO (506.HK)" xfId="2455" xr:uid="{00000000-0005-0000-0000-00007F070000}"/>
    <cellStyle name="—_GS_Balance_EM-Optus_BS_COFCO (506.HK)_after spinoff" xfId="2456" xr:uid="{00000000-0005-0000-0000-000080070000}"/>
    <cellStyle name="—_GS_Balance_EM-Optus_BS_COFCO NAV - scenario 060117" xfId="2457" xr:uid="{00000000-0005-0000-0000-000081070000}"/>
    <cellStyle name="—_GS_Balance_EM-Optus_BS_COFCO_051010" xfId="2458" xr:uid="{00000000-0005-0000-0000-000082070000}"/>
    <cellStyle name="—_GS_Balance_EM-Optus_BS_COFCO_backup" xfId="2459" xr:uid="{00000000-0005-0000-0000-000083070000}"/>
    <cellStyle name="—_GS_Balance_EM-Optus_Champion REIT under review" xfId="2460" xr:uid="{00000000-0005-0000-0000-000084070000}"/>
    <cellStyle name="—_GS_Balance_EM-Optus_Cheng Shin Model" xfId="2461" xr:uid="{00000000-0005-0000-0000-000085070000}"/>
    <cellStyle name="—_GS_Balance_EM-Optus_CK Hutch InvestmentProp Mar 24 2006" xfId="2462" xr:uid="{00000000-0005-0000-0000-000086070000}"/>
    <cellStyle name="—_GS_Balance_EM-Optus_CKC_Hutch_group structure" xfId="2463" xr:uid="{00000000-0005-0000-0000-000087070000}"/>
    <cellStyle name="—_GS_Balance_EM-Optus_Cost of capital" xfId="2464" xr:uid="{00000000-0005-0000-0000-000088070000}"/>
    <cellStyle name="—_GS_Balance_EM-Optus_Eagle" xfId="2465" xr:uid="{00000000-0005-0000-0000-000089070000}"/>
    <cellStyle name="—_GS_Balance_EM-Optus_Great Eagle 080425" xfId="2466" xr:uid="{00000000-0005-0000-0000-00008A070000}"/>
    <cellStyle name="—_GS_Balance_EM-Optus_HLG stub" xfId="2467" xr:uid="{00000000-0005-0000-0000-00008B070000}"/>
    <cellStyle name="—_GS_Balance_EM-Optus_HSH under review" xfId="2468" xr:uid="{00000000-0005-0000-0000-00008C070000}"/>
    <cellStyle name="—_GS_Balance_EM-Optus_Hutchison Model 090514" xfId="2469" xr:uid="{00000000-0005-0000-0000-00008D070000}"/>
    <cellStyle name="—_GS_Balance_EM-Optus_Hysan" xfId="2470" xr:uid="{00000000-0005-0000-0000-00008E070000}"/>
    <cellStyle name="—_GS_Balance_EM-Optus_Landlords" xfId="2471" xr:uid="{00000000-0005-0000-0000-00008F070000}"/>
    <cellStyle name="—_GS_Balance_EM-Optus_MN071101" xfId="2472" xr:uid="{00000000-0005-0000-0000-000090070000}"/>
    <cellStyle name="—_GS_Balance_EM-Optus_MN-Langham" xfId="2473" xr:uid="{00000000-0005-0000-0000-000091070000}"/>
    <cellStyle name="—_GS_Balance_EM-Optus_Novatek forecast 280404" xfId="2474" xr:uid="{00000000-0005-0000-0000-000092070000}"/>
    <cellStyle name="—_GS_Balance_EM-Optus_Office supply &amp; demand" xfId="2475" xr:uid="{00000000-0005-0000-0000-000093070000}"/>
    <cellStyle name="—_GS_Balance_EM-Optus_Prosperity REIT_2006Mar27" xfId="2476" xr:uid="{00000000-0005-0000-0000-000094070000}"/>
    <cellStyle name="—_GS_Balance_EM-Optus_RPT-Developers-2008Sep" xfId="2477" xr:uid="{00000000-0005-0000-0000-000095070000}"/>
    <cellStyle name="—_GS_Balance_EM-Optus_RPT-Hongkong Land 080430" xfId="2478" xr:uid="{00000000-0005-0000-0000-000096070000}"/>
    <cellStyle name="—_GS_Balance_EM-Optus_RPT-Landlords-2008Sep" xfId="2479" xr:uid="{00000000-0005-0000-0000-000097070000}"/>
    <cellStyle name="—_GS_Balance_EM-Optus_Shangri-La under review" xfId="2480" xr:uid="{00000000-0005-0000-0000-000098070000}"/>
    <cellStyle name="—_GS_Balance_EM-Optus_Yifan template 2" xfId="2481" xr:uid="{00000000-0005-0000-0000-000099070000}"/>
    <cellStyle name="—_GS_Balance_EM-Optus_Yifan template 2_200869 sz - historical" xfId="2482" xr:uid="{00000000-0005-0000-0000-00009A070000}"/>
    <cellStyle name="—_GS_Balance_EM-Optus_Yifan template 2_600519.SS" xfId="2483" xr:uid="{00000000-0005-0000-0000-00009B070000}"/>
    <cellStyle name="—_GS_Balance_EM-Optus_Yifan template 2_Changyu (200869.SZ)_060330" xfId="2484" xr:uid="{00000000-0005-0000-0000-00009C070000}"/>
    <cellStyle name="—_GS_Balance_EM-Optus_Yifan template 2_China Foods (506.HK)" xfId="2485" xr:uid="{00000000-0005-0000-0000-00009D070000}"/>
    <cellStyle name="—_GS_Balance_EM-Optus_Yifan template 2_COFCO (506.HK)" xfId="2486" xr:uid="{00000000-0005-0000-0000-00009E070000}"/>
    <cellStyle name="—_GS_Balance_EM-Optus_Yifan template 2_COFCO (506.HK)_after spinoff" xfId="2487" xr:uid="{00000000-0005-0000-0000-00009F070000}"/>
    <cellStyle name="—_GS_Balance_EM-Optus_Yifan template 2_COFCO NAV - scenario 060117" xfId="2488" xr:uid="{00000000-0005-0000-0000-0000A0070000}"/>
    <cellStyle name="—_GS_Balance_EM-Optus_Yifan template 2_COFCO_051010" xfId="2489" xr:uid="{00000000-0005-0000-0000-0000A1070000}"/>
    <cellStyle name="—_GS_Balance_EM-Optus_Yifan template 2_COFCO_backup" xfId="2490" xr:uid="{00000000-0005-0000-0000-0000A2070000}"/>
    <cellStyle name="—_GS_Balance_EM-PLDT consolidated - aug 1 00" xfId="2491" xr:uid="{00000000-0005-0000-0000-0000A3070000}"/>
    <cellStyle name="—_GS_Balance_EM-PLDT consolidated - mar 5 01" xfId="2492" xr:uid="{00000000-0005-0000-0000-0000A4070000}"/>
    <cellStyle name="—_GS_Balance_EM-PLDT consolidated - mar 5 01_CKC_Hutch_group structure" xfId="2493" xr:uid="{00000000-0005-0000-0000-0000A5070000}"/>
    <cellStyle name="—_GS_Balance_FCFC-GSoutput 12Aug04" xfId="2494" xr:uid="{00000000-0005-0000-0000-0000A6070000}"/>
    <cellStyle name="—_GS_Balance_Feb01report" xfId="2495" xr:uid="{00000000-0005-0000-0000-0000A7070000}"/>
    <cellStyle name="—_GS_Balance_Feb01report_NAV" xfId="2496" xr:uid="{00000000-0005-0000-0000-0000A8070000}"/>
    <cellStyle name="—_GS_Balance_Feb01report_QP_0019.HK" xfId="2497" xr:uid="{00000000-0005-0000-0000-0000A9070000}"/>
    <cellStyle name="—_GS_Balance_Feb01report_Swire Model" xfId="2498" xr:uid="{00000000-0005-0000-0000-0000AA070000}"/>
    <cellStyle name="—_GS_Balance_Feb01report_SWIRESS" xfId="2499" xr:uid="{00000000-0005-0000-0000-0000AB070000}"/>
    <cellStyle name="—_GS_Balance_FPACSS" xfId="2500" xr:uid="{00000000-0005-0000-0000-0000AC070000}"/>
    <cellStyle name="—_GS_Balance_FPC-MSTR Quantum" xfId="2501" xr:uid="{00000000-0005-0000-0000-0000AD070000}"/>
    <cellStyle name="—_GS_Balance_GlobalValuation_Japan" xfId="2502" xr:uid="{00000000-0005-0000-0000-0000AE070000}"/>
    <cellStyle name="—_GS_Balance_Great Eagle 080425" xfId="2503" xr:uid="{00000000-0005-0000-0000-0000AF070000}"/>
    <cellStyle name="—_GS_Balance_HLG stub" xfId="2504" xr:uid="{00000000-0005-0000-0000-0000B0070000}"/>
    <cellStyle name="—_GS_Balance_HSH under review" xfId="2505" xr:uid="{00000000-0005-0000-0000-0000B1070000}"/>
    <cellStyle name="—_GS_Balance_Hutchison Model 090514" xfId="2506" xr:uid="{00000000-0005-0000-0000-0000B2070000}"/>
    <cellStyle name="—_GS_Balance_hutchss" xfId="2507" xr:uid="{00000000-0005-0000-0000-0000B3070000}"/>
    <cellStyle name="—_GS_Balance_Hysan" xfId="2508" xr:uid="{00000000-0005-0000-0000-0000B4070000}"/>
    <cellStyle name="—_GS_Balance_IPOmaster" xfId="2509" xr:uid="{00000000-0005-0000-0000-0000B5070000}"/>
    <cellStyle name="—_GS_Balance_JMATHSS" xfId="2510" xr:uid="{00000000-0005-0000-0000-0000B6070000}"/>
    <cellStyle name="—_GS_Balance_JT CROCI" xfId="2511" xr:uid="{00000000-0005-0000-0000-0000B7070000}"/>
    <cellStyle name="—_GS_Balance_KDDI CROCI" xfId="2512" xr:uid="{00000000-0005-0000-0000-0000B8070000}"/>
    <cellStyle name="—_GS_Balance_Landlords" xfId="2513" xr:uid="{00000000-0005-0000-0000-0000B9070000}"/>
    <cellStyle name="—_GS_Balance_li&amp;fungSS" xfId="2514" xr:uid="{00000000-0005-0000-0000-0000BA070000}"/>
    <cellStyle name="—_GS_Balance_MASTER" xfId="2515" xr:uid="{00000000-0005-0000-0000-0000BB070000}"/>
    <cellStyle name="—_GS_Balance_MN071101" xfId="2516" xr:uid="{00000000-0005-0000-0000-0000BC070000}"/>
    <cellStyle name="—_GS_Balance_MN-Langham" xfId="2517" xr:uid="{00000000-0005-0000-0000-0000BD070000}"/>
    <cellStyle name="—_GS_Balance_Novatek forecast" xfId="2518" xr:uid="{00000000-0005-0000-0000-0000BE070000}"/>
    <cellStyle name="—_GS_Balance_Novatek forecast 280404" xfId="2519" xr:uid="{00000000-0005-0000-0000-0000BF070000}"/>
    <cellStyle name="—_GS_Balance_NTT CROCI" xfId="2520" xr:uid="{00000000-0005-0000-0000-0000C0070000}"/>
    <cellStyle name="—_GS_Balance_NTT proportionate" xfId="2521" xr:uid="{00000000-0005-0000-0000-0000C1070000}"/>
    <cellStyle name="—_GS_Balance_Office supply &amp; demand" xfId="2522" xr:uid="{00000000-0005-0000-0000-0000C2070000}"/>
    <cellStyle name="—_GS_Balance_operating stats comp" xfId="2523" xr:uid="{00000000-0005-0000-0000-0000C3070000}"/>
    <cellStyle name="—_GS_Balance_operating stats comp_AUO consolidated 2004_02" xfId="2524" xr:uid="{00000000-0005-0000-0000-0000C4070000}"/>
    <cellStyle name="—_GS_Balance_operating stats comp_AUO forecast (GQ)2005_03" xfId="2525" xr:uid="{00000000-0005-0000-0000-0000C5070000}"/>
    <cellStyle name="—_GS_Balance_operating stats comp_blank industrial template - new" xfId="2526" xr:uid="{00000000-0005-0000-0000-0000C6070000}"/>
    <cellStyle name="—_GS_Balance_operating stats comp_BS" xfId="2527" xr:uid="{00000000-0005-0000-0000-0000C7070000}"/>
    <cellStyle name="—_GS_Balance_operating stats comp_Eagle" xfId="2528" xr:uid="{00000000-0005-0000-0000-0000C8070000}"/>
    <cellStyle name="—_GS_Balance_operating stats comp_HSH under review" xfId="2529" xr:uid="{00000000-0005-0000-0000-0000C9070000}"/>
    <cellStyle name="—_GS_Balance_operating stats comp_Novatek forecast 280404" xfId="2530" xr:uid="{00000000-0005-0000-0000-0000CA070000}"/>
    <cellStyle name="—_GS_Balance_operating stats comp_Prosperity REIT_2006Mar27" xfId="2531" xr:uid="{00000000-0005-0000-0000-0000CB070000}"/>
    <cellStyle name="—_GS_Balance_operating stats comp_Shangri-La under review" xfId="2532" xr:uid="{00000000-0005-0000-0000-0000CC070000}"/>
    <cellStyle name="—_GS_Balance_Prop Dev" xfId="2533" xr:uid="{00000000-0005-0000-0000-0000CD070000}"/>
    <cellStyle name="—_GS_Balance_Prosperity REIT_2006Mar27" xfId="2534" xr:uid="{00000000-0005-0000-0000-0000CE070000}"/>
    <cellStyle name="—_GS_Balance_RPT-Developers-2008Sep" xfId="2535" xr:uid="{00000000-0005-0000-0000-0000CF070000}"/>
    <cellStyle name="—_GS_Balance_RPT-Hongkong Land 080430" xfId="2536" xr:uid="{00000000-0005-0000-0000-0000D0070000}"/>
    <cellStyle name="—_GS_Balance_RPT-Landlords-2008Sep" xfId="2537" xr:uid="{00000000-0005-0000-0000-0000D1070000}"/>
    <cellStyle name="—_GS_Balance_Shangri-La under review" xfId="2538" xr:uid="{00000000-0005-0000-0000-0000D2070000}"/>
    <cellStyle name="—_GS_Balance_Sheet1" xfId="2539" xr:uid="{00000000-0005-0000-0000-0000D3070000}"/>
    <cellStyle name="—_GS_Balance_ShunTakSS" xfId="2540" xr:uid="{00000000-0005-0000-0000-0000D4070000}"/>
    <cellStyle name="—_GS_Balance_Strategy_data_update" xfId="2541" xr:uid="{00000000-0005-0000-0000-0000D5070000}"/>
    <cellStyle name="—_GS_Balance_Strategy_data_update_AUO consolidated 2004_02" xfId="2542" xr:uid="{00000000-0005-0000-0000-0000D6070000}"/>
    <cellStyle name="—_GS_Balance_Strategy_data_update_AUO forecast (GQ)2005_03" xfId="2543" xr:uid="{00000000-0005-0000-0000-0000D7070000}"/>
    <cellStyle name="—_GS_Balance_Strategy_data_update_blank industrial template - new" xfId="2544" xr:uid="{00000000-0005-0000-0000-0000D8070000}"/>
    <cellStyle name="—_GS_Balance_Strategy_data_update_BS" xfId="2545" xr:uid="{00000000-0005-0000-0000-0000D9070000}"/>
    <cellStyle name="—_GS_Balance_Strategy_data_update_Eagle" xfId="2546" xr:uid="{00000000-0005-0000-0000-0000DA070000}"/>
    <cellStyle name="—_GS_Balance_Strategy_data_update_HSH under review" xfId="2547" xr:uid="{00000000-0005-0000-0000-0000DB070000}"/>
    <cellStyle name="—_GS_Balance_Strategy_data_update_Novatek forecast 280404" xfId="2548" xr:uid="{00000000-0005-0000-0000-0000DC070000}"/>
    <cellStyle name="—_GS_Balance_Strategy_data_update_Prosperity REIT_2006Mar27" xfId="2549" xr:uid="{00000000-0005-0000-0000-0000DD070000}"/>
    <cellStyle name="—_GS_Balance_Strategy_data_update_Shangri-La under review" xfId="2550" xr:uid="{00000000-0005-0000-0000-0000DE070000}"/>
    <cellStyle name="—_GS_Balance_SWIRESS" xfId="2551" xr:uid="{00000000-0005-0000-0000-0000DF070000}"/>
    <cellStyle name="—_GS_Balance_Synnex Model" xfId="2552" xr:uid="{00000000-0005-0000-0000-0000E0070000}"/>
    <cellStyle name="—_GS_Balance_WHARFSS" xfId="2553" xr:uid="{00000000-0005-0000-0000-0000E1070000}"/>
    <cellStyle name="—_GS_Balance_WHARFSS_CKC_Hutch_group structure" xfId="2554" xr:uid="{00000000-0005-0000-0000-0000E2070000}"/>
    <cellStyle name="—_GS_Balance_WHARFSS_Hutchison Model" xfId="2555" xr:uid="{00000000-0005-0000-0000-0000E3070000}"/>
    <cellStyle name="—_GS_Balance_WHARFSS_Hutchison Model 090514" xfId="2556" xr:uid="{00000000-0005-0000-0000-0000E4070000}"/>
    <cellStyle name="—_GS_Balance_WHARFSS_hutchss" xfId="2557" xr:uid="{00000000-0005-0000-0000-0000E5070000}"/>
    <cellStyle name="—_GS_Balance_WHARFSS_NAV" xfId="2558" xr:uid="{00000000-0005-0000-0000-0000E6070000}"/>
    <cellStyle name="—_GS_Balance_WHARFSS_Prop Dev" xfId="2559" xr:uid="{00000000-0005-0000-0000-0000E7070000}"/>
    <cellStyle name="—_GS_Balance_Yifan template 2" xfId="2560" xr:uid="{00000000-0005-0000-0000-0000E8070000}"/>
    <cellStyle name="—_GS_Balance_Yifan template 2_200869 sz - historical" xfId="2561" xr:uid="{00000000-0005-0000-0000-0000E9070000}"/>
    <cellStyle name="—_GS_Balance_Yifan template 2_600519.SS" xfId="2562" xr:uid="{00000000-0005-0000-0000-0000EA070000}"/>
    <cellStyle name="—_GS_Balance_Yifan template 2_Changyu (200869.SZ)_060330" xfId="2563" xr:uid="{00000000-0005-0000-0000-0000EB070000}"/>
    <cellStyle name="—_GS_Balance_Yifan template 2_China Foods (506.HK)" xfId="2564" xr:uid="{00000000-0005-0000-0000-0000EC070000}"/>
    <cellStyle name="—_GS_Balance_Yifan template 2_COFCO (506.HK)" xfId="2565" xr:uid="{00000000-0005-0000-0000-0000ED070000}"/>
    <cellStyle name="—_GS_Balance_Yifan template 2_COFCO (506.HK)_after spinoff" xfId="2566" xr:uid="{00000000-0005-0000-0000-0000EE070000}"/>
    <cellStyle name="—_GS_Balance_Yifan template 2_COFCO NAV - scenario 060117" xfId="2567" xr:uid="{00000000-0005-0000-0000-0000EF070000}"/>
    <cellStyle name="—_GS_Balance_Yifan template 2_COFCO_051010" xfId="2568" xr:uid="{00000000-0005-0000-0000-0000F0070000}"/>
    <cellStyle name="—_GS_Balance_Yifan template 2_COFCO_backup" xfId="2569" xr:uid="{00000000-0005-0000-0000-0000F1070000}"/>
    <cellStyle name="—_GS_Balance_Zhenhai-MSTR" xfId="2570" xr:uid="{00000000-0005-0000-0000-0000F2070000}"/>
    <cellStyle name="—_GS_Cash " xfId="5" xr:uid="{00000000-0005-0000-0000-0000F3070000}"/>
    <cellStyle name="—_GS_Cash  (2)" xfId="2571" xr:uid="{00000000-0005-0000-0000-0000F4070000}"/>
    <cellStyle name="—_GS_Cash  (2)_100902 Helen NTT FCF to be sent" xfId="2572" xr:uid="{00000000-0005-0000-0000-0000F5070000}"/>
    <cellStyle name="—_GS_Cash  (2)_AUO consolidated 2004_02" xfId="2573" xr:uid="{00000000-0005-0000-0000-0000F6070000}"/>
    <cellStyle name="—_GS_Cash  (2)_AUO forecast (GQ)2005_03" xfId="2574" xr:uid="{00000000-0005-0000-0000-0000F7070000}"/>
    <cellStyle name="—_GS_Cash  (2)_blank industrial template - new" xfId="2575" xr:uid="{00000000-0005-0000-0000-0000F8070000}"/>
    <cellStyle name="—_GS_Cash  (2)_Book6" xfId="2576" xr:uid="{00000000-0005-0000-0000-0000F9070000}"/>
    <cellStyle name="—_GS_Cash  (2)_Book7" xfId="2577" xr:uid="{00000000-0005-0000-0000-0000FA070000}"/>
    <cellStyle name="—_GS_Cash  (2)_Book7_AUO consolidated 2004_02" xfId="2578" xr:uid="{00000000-0005-0000-0000-0000FB070000}"/>
    <cellStyle name="—_GS_Cash  (2)_Book7_AUO forecast (GQ)2005_03" xfId="2579" xr:uid="{00000000-0005-0000-0000-0000FC070000}"/>
    <cellStyle name="—_GS_Cash  (2)_Book7_blank industrial template - new" xfId="2580" xr:uid="{00000000-0005-0000-0000-0000FD070000}"/>
    <cellStyle name="—_GS_Cash  (2)_Book7_BS" xfId="2581" xr:uid="{00000000-0005-0000-0000-0000FE070000}"/>
    <cellStyle name="—_GS_Cash  (2)_Book7_CK Hutch InvestmentProp Mar 24 2006" xfId="2582" xr:uid="{00000000-0005-0000-0000-0000FF070000}"/>
    <cellStyle name="—_GS_Cash  (2)_Book7_CKC_Hutch_group structure" xfId="2583" xr:uid="{00000000-0005-0000-0000-000000080000}"/>
    <cellStyle name="—_GS_Cash  (2)_Book7_Eagle" xfId="2584" xr:uid="{00000000-0005-0000-0000-000001080000}"/>
    <cellStyle name="—_GS_Cash  (2)_Book7_HSH under review" xfId="2585" xr:uid="{00000000-0005-0000-0000-000002080000}"/>
    <cellStyle name="—_GS_Cash  (2)_Book7_Hutchison Model 090514" xfId="2586" xr:uid="{00000000-0005-0000-0000-000003080000}"/>
    <cellStyle name="—_GS_Cash  (2)_Book7_Novatek forecast 280404" xfId="2587" xr:uid="{00000000-0005-0000-0000-000004080000}"/>
    <cellStyle name="—_GS_Cash  (2)_Book7_Prosperity REIT_2006Mar27" xfId="2588" xr:uid="{00000000-0005-0000-0000-000005080000}"/>
    <cellStyle name="—_GS_Cash  (2)_Book7_Shangri-La under review" xfId="2589" xr:uid="{00000000-0005-0000-0000-000006080000}"/>
    <cellStyle name="—_GS_Cash  (2)_Book8" xfId="2590" xr:uid="{00000000-0005-0000-0000-000007080000}"/>
    <cellStyle name="—_GS_Cash  (2)_Book8_CKC_Hutch_group structure" xfId="2591" xr:uid="{00000000-0005-0000-0000-000008080000}"/>
    <cellStyle name="—_GS_Cash  (2)_Book8_Hutchison Model 090514" xfId="2592" xr:uid="{00000000-0005-0000-0000-000009080000}"/>
    <cellStyle name="—_GS_Cash  (2)_BS" xfId="2593" xr:uid="{00000000-0005-0000-0000-00000A080000}"/>
    <cellStyle name="—_GS_Cash  (2)_BS_200869 sz - historical" xfId="2594" xr:uid="{00000000-0005-0000-0000-00000B080000}"/>
    <cellStyle name="—_GS_Cash  (2)_BS_600519.SS" xfId="2595" xr:uid="{00000000-0005-0000-0000-00000C080000}"/>
    <cellStyle name="—_GS_Cash  (2)_BS_Changyu (200869.SZ)_060330" xfId="2596" xr:uid="{00000000-0005-0000-0000-00000D080000}"/>
    <cellStyle name="—_GS_Cash  (2)_BS_China Foods (506.HK)" xfId="2597" xr:uid="{00000000-0005-0000-0000-00000E080000}"/>
    <cellStyle name="—_GS_Cash  (2)_BS_COFCO (506.HK)" xfId="2598" xr:uid="{00000000-0005-0000-0000-00000F080000}"/>
    <cellStyle name="—_GS_Cash  (2)_BS_COFCO (506.HK)_after spinoff" xfId="2599" xr:uid="{00000000-0005-0000-0000-000010080000}"/>
    <cellStyle name="—_GS_Cash  (2)_BS_COFCO NAV - scenario 060117" xfId="2600" xr:uid="{00000000-0005-0000-0000-000011080000}"/>
    <cellStyle name="—_GS_Cash  (2)_BS_COFCO_051010" xfId="2601" xr:uid="{00000000-0005-0000-0000-000012080000}"/>
    <cellStyle name="—_GS_Cash  (2)_BS_COFCO_backup" xfId="2602" xr:uid="{00000000-0005-0000-0000-000013080000}"/>
    <cellStyle name="—_GS_Cash  (2)_Champion REIT under review" xfId="2603" xr:uid="{00000000-0005-0000-0000-000014080000}"/>
    <cellStyle name="—_GS_Cash  (2)_Cheng Shin Model" xfId="2604" xr:uid="{00000000-0005-0000-0000-000015080000}"/>
    <cellStyle name="—_GS_Cash  (2)_CK Hutch InvestmentProp Mar 24 2006" xfId="2605" xr:uid="{00000000-0005-0000-0000-000016080000}"/>
    <cellStyle name="—_GS_Cash  (2)_CKC_Hutch_group structure" xfId="2606" xr:uid="{00000000-0005-0000-0000-000017080000}"/>
    <cellStyle name="—_GS_Cash  (2)_Cost of capital" xfId="2607" xr:uid="{00000000-0005-0000-0000-000018080000}"/>
    <cellStyle name="—_GS_Cash  (2)_DoCoMo table 10July2000" xfId="2608" xr:uid="{00000000-0005-0000-0000-000019080000}"/>
    <cellStyle name="—_GS_Cash  (2)_DoCoMo table 10July2000_AUO consolidated 2004_02" xfId="2609" xr:uid="{00000000-0005-0000-0000-00001A080000}"/>
    <cellStyle name="—_GS_Cash  (2)_DoCoMo table 10July2000_AUO forecast (GQ)2005_03" xfId="2610" xr:uid="{00000000-0005-0000-0000-00001B080000}"/>
    <cellStyle name="—_GS_Cash  (2)_DoCoMo table 10July2000_blank industrial template - new" xfId="2611" xr:uid="{00000000-0005-0000-0000-00001C080000}"/>
    <cellStyle name="—_GS_Cash  (2)_DoCoMo table 10July2000_BS" xfId="2612" xr:uid="{00000000-0005-0000-0000-00001D080000}"/>
    <cellStyle name="—_GS_Cash  (2)_DoCoMo table 10July2000_Eagle" xfId="2613" xr:uid="{00000000-0005-0000-0000-00001E080000}"/>
    <cellStyle name="—_GS_Cash  (2)_DoCoMo table 10July2000_HSH under review" xfId="2614" xr:uid="{00000000-0005-0000-0000-00001F080000}"/>
    <cellStyle name="—_GS_Cash  (2)_DoCoMo table 10July2000_Novatek forecast 280404" xfId="2615" xr:uid="{00000000-0005-0000-0000-000020080000}"/>
    <cellStyle name="—_GS_Cash  (2)_DoCoMo table 10July2000_Prosperity REIT_2006Mar27" xfId="2616" xr:uid="{00000000-0005-0000-0000-000021080000}"/>
    <cellStyle name="—_GS_Cash  (2)_DoCoMo table 10July2000_Shangri-La under review" xfId="2617" xr:uid="{00000000-0005-0000-0000-000022080000}"/>
    <cellStyle name="—_GS_Cash  (2)_Eagle" xfId="2618" xr:uid="{00000000-0005-0000-0000-000023080000}"/>
    <cellStyle name="—_GS_Cash  (2)_earnings" xfId="2619" xr:uid="{00000000-0005-0000-0000-000024080000}"/>
    <cellStyle name="—_GS_Cash  (2)_earnings_AUO consolidated 2004_02" xfId="2620" xr:uid="{00000000-0005-0000-0000-000025080000}"/>
    <cellStyle name="—_GS_Cash  (2)_earnings_AUO forecast (GQ)2005_03" xfId="2621" xr:uid="{00000000-0005-0000-0000-000026080000}"/>
    <cellStyle name="—_GS_Cash  (2)_earnings_blank industrial template - new" xfId="2622" xr:uid="{00000000-0005-0000-0000-000027080000}"/>
    <cellStyle name="—_GS_Cash  (2)_earnings_BS" xfId="2623" xr:uid="{00000000-0005-0000-0000-000028080000}"/>
    <cellStyle name="—_GS_Cash  (2)_earnings_Eagle" xfId="2624" xr:uid="{00000000-0005-0000-0000-000029080000}"/>
    <cellStyle name="—_GS_Cash  (2)_earnings_HSH under review" xfId="2625" xr:uid="{00000000-0005-0000-0000-00002A080000}"/>
    <cellStyle name="—_GS_Cash  (2)_earnings_Novatek forecast 280404" xfId="2626" xr:uid="{00000000-0005-0000-0000-00002B080000}"/>
    <cellStyle name="—_GS_Cash  (2)_earnings_Prosperity REIT_2006Mar27" xfId="2627" xr:uid="{00000000-0005-0000-0000-00002C080000}"/>
    <cellStyle name="—_GS_Cash  (2)_earnings_Shangri-La under review" xfId="2628" xr:uid="{00000000-0005-0000-0000-00002D080000}"/>
    <cellStyle name="—_GS_Cash  (2)_EM_CMHK" xfId="2629" xr:uid="{00000000-0005-0000-0000-00002E080000}"/>
    <cellStyle name="—_GS_Cash  (2)_EM_CMHK_AUO consolidated 2004_02" xfId="2630" xr:uid="{00000000-0005-0000-0000-00002F080000}"/>
    <cellStyle name="—_GS_Cash  (2)_EM_CMHK_AUO forecast (GQ)2005_03" xfId="2631" xr:uid="{00000000-0005-0000-0000-000030080000}"/>
    <cellStyle name="—_GS_Cash  (2)_EM_CMHK_blank industrial template - new" xfId="2632" xr:uid="{00000000-0005-0000-0000-000031080000}"/>
    <cellStyle name="—_GS_Cash  (2)_EM_CMHK_BS" xfId="2633" xr:uid="{00000000-0005-0000-0000-000032080000}"/>
    <cellStyle name="—_GS_Cash  (2)_EM_CMHK_Eagle" xfId="2634" xr:uid="{00000000-0005-0000-0000-000033080000}"/>
    <cellStyle name="—_GS_Cash  (2)_EM_CMHK_HSH under review" xfId="2635" xr:uid="{00000000-0005-0000-0000-000034080000}"/>
    <cellStyle name="—_GS_Cash  (2)_EM_CMHK_Novatek forecast 280404" xfId="2636" xr:uid="{00000000-0005-0000-0000-000035080000}"/>
    <cellStyle name="—_GS_Cash  (2)_EM_CMHK_Prosperity REIT_2006Mar27" xfId="2637" xr:uid="{00000000-0005-0000-0000-000036080000}"/>
    <cellStyle name="—_GS_Cash  (2)_EM_CMHK_Shangri-La under review" xfId="2638" xr:uid="{00000000-0005-0000-0000-000037080000}"/>
    <cellStyle name="—_GS_Cash  (2)_EM_FETone_new" xfId="2639" xr:uid="{00000000-0005-0000-0000-000038080000}"/>
    <cellStyle name="—_GS_Cash  (2)_EM_FETone_new_AUO consolidated 2004_02" xfId="2640" xr:uid="{00000000-0005-0000-0000-000039080000}"/>
    <cellStyle name="—_GS_Cash  (2)_EM_FETone_new_AUO forecast (GQ)2005_03" xfId="2641" xr:uid="{00000000-0005-0000-0000-00003A080000}"/>
    <cellStyle name="—_GS_Cash  (2)_EM_FETone_new_blank industrial template - new" xfId="2642" xr:uid="{00000000-0005-0000-0000-00003B080000}"/>
    <cellStyle name="—_GS_Cash  (2)_EM_FETone_new_BS" xfId="2643" xr:uid="{00000000-0005-0000-0000-00003C080000}"/>
    <cellStyle name="—_GS_Cash  (2)_EM_FETone_new_Eagle" xfId="2644" xr:uid="{00000000-0005-0000-0000-00003D080000}"/>
    <cellStyle name="—_GS_Cash  (2)_EM_FETone_new_HSH under review" xfId="2645" xr:uid="{00000000-0005-0000-0000-00003E080000}"/>
    <cellStyle name="—_GS_Cash  (2)_EM_FETone_new_Novatek forecast 280404" xfId="2646" xr:uid="{00000000-0005-0000-0000-00003F080000}"/>
    <cellStyle name="—_GS_Cash  (2)_EM_FETone_new_Prosperity REIT_2006Mar27" xfId="2647" xr:uid="{00000000-0005-0000-0000-000040080000}"/>
    <cellStyle name="—_GS_Cash  (2)_EM_FETone_new_Shangri-La under review" xfId="2648" xr:uid="{00000000-0005-0000-0000-000041080000}"/>
    <cellStyle name="—_GS_Cash  (2)_EM_NZT" xfId="2649" xr:uid="{00000000-0005-0000-0000-000042080000}"/>
    <cellStyle name="—_GS_Cash  (2)_EM_NZT_BS" xfId="2650" xr:uid="{00000000-0005-0000-0000-000043080000}"/>
    <cellStyle name="—_GS_Cash  (2)_EM_NZT_BS_200869 sz - historical" xfId="2651" xr:uid="{00000000-0005-0000-0000-000044080000}"/>
    <cellStyle name="—_GS_Cash  (2)_EM_NZT_BS_600519.SS" xfId="2652" xr:uid="{00000000-0005-0000-0000-000045080000}"/>
    <cellStyle name="—_GS_Cash  (2)_EM_NZT_BS_Changyu (200869.SZ)_060330" xfId="2653" xr:uid="{00000000-0005-0000-0000-000046080000}"/>
    <cellStyle name="—_GS_Cash  (2)_EM_NZT_BS_China Foods (506.HK)" xfId="2654" xr:uid="{00000000-0005-0000-0000-000047080000}"/>
    <cellStyle name="—_GS_Cash  (2)_EM_NZT_BS_COFCO (506.HK)" xfId="2655" xr:uid="{00000000-0005-0000-0000-000048080000}"/>
    <cellStyle name="—_GS_Cash  (2)_EM_NZT_BS_COFCO (506.HK)_after spinoff" xfId="2656" xr:uid="{00000000-0005-0000-0000-000049080000}"/>
    <cellStyle name="—_GS_Cash  (2)_EM_NZT_BS_COFCO NAV - scenario 060117" xfId="2657" xr:uid="{00000000-0005-0000-0000-00004A080000}"/>
    <cellStyle name="—_GS_Cash  (2)_EM_NZT_BS_COFCO_051010" xfId="2658" xr:uid="{00000000-0005-0000-0000-00004B080000}"/>
    <cellStyle name="—_GS_Cash  (2)_EM_NZT_BS_COFCO_backup" xfId="2659" xr:uid="{00000000-0005-0000-0000-00004C080000}"/>
    <cellStyle name="—_GS_Cash  (2)_EM_NZT_CKC_Hutch_group structure" xfId="2660" xr:uid="{00000000-0005-0000-0000-00004D080000}"/>
    <cellStyle name="—_GS_Cash  (2)_EM_NZT_Cost of capital" xfId="2661" xr:uid="{00000000-0005-0000-0000-00004E080000}"/>
    <cellStyle name="—_GS_Cash  (2)_EM_NZT_HSH under review" xfId="2662" xr:uid="{00000000-0005-0000-0000-00004F080000}"/>
    <cellStyle name="—_GS_Cash  (2)_EM_NZT_Shangri-La under review" xfId="2663" xr:uid="{00000000-0005-0000-0000-000050080000}"/>
    <cellStyle name="—_GS_Cash  (2)_EM_NZT_Yifan template 2" xfId="2664" xr:uid="{00000000-0005-0000-0000-000051080000}"/>
    <cellStyle name="—_GS_Cash  (2)_EM_NZT_Yifan template 2_200869 sz - historical" xfId="2665" xr:uid="{00000000-0005-0000-0000-000052080000}"/>
    <cellStyle name="—_GS_Cash  (2)_EM_NZT_Yifan template 2_600519.SS" xfId="2666" xr:uid="{00000000-0005-0000-0000-000053080000}"/>
    <cellStyle name="—_GS_Cash  (2)_EM_NZT_Yifan template 2_Changyu (200869.SZ)_060330" xfId="2667" xr:uid="{00000000-0005-0000-0000-000054080000}"/>
    <cellStyle name="—_GS_Cash  (2)_EM_NZT_Yifan template 2_China Foods (506.HK)" xfId="2668" xr:uid="{00000000-0005-0000-0000-000055080000}"/>
    <cellStyle name="—_GS_Cash  (2)_EM_NZT_Yifan template 2_COFCO (506.HK)" xfId="2669" xr:uid="{00000000-0005-0000-0000-000056080000}"/>
    <cellStyle name="—_GS_Cash  (2)_EM_NZT_Yifan template 2_COFCO (506.HK)_after spinoff" xfId="2670" xr:uid="{00000000-0005-0000-0000-000057080000}"/>
    <cellStyle name="—_GS_Cash  (2)_EM_NZT_Yifan template 2_COFCO NAV - scenario 060117" xfId="2671" xr:uid="{00000000-0005-0000-0000-000058080000}"/>
    <cellStyle name="—_GS_Cash  (2)_EM_NZT_Yifan template 2_COFCO_051010" xfId="2672" xr:uid="{00000000-0005-0000-0000-000059080000}"/>
    <cellStyle name="—_GS_Cash  (2)_EM_NZT_Yifan template 2_COFCO_backup" xfId="2673" xr:uid="{00000000-0005-0000-0000-00005A080000}"/>
    <cellStyle name="—_GS_Cash  (2)_EM_TCC_new" xfId="2674" xr:uid="{00000000-0005-0000-0000-00005B080000}"/>
    <cellStyle name="—_GS_Cash  (2)_EM_TCC_new_AUO consolidated 2004_02" xfId="2675" xr:uid="{00000000-0005-0000-0000-00005C080000}"/>
    <cellStyle name="—_GS_Cash  (2)_EM_TCC_new_AUO forecast (GQ)2005_03" xfId="2676" xr:uid="{00000000-0005-0000-0000-00005D080000}"/>
    <cellStyle name="—_GS_Cash  (2)_EM_TCC_new_blank industrial template - new" xfId="2677" xr:uid="{00000000-0005-0000-0000-00005E080000}"/>
    <cellStyle name="—_GS_Cash  (2)_EM_TCC_new_BS" xfId="2678" xr:uid="{00000000-0005-0000-0000-00005F080000}"/>
    <cellStyle name="—_GS_Cash  (2)_EM_TCC_new_Eagle" xfId="2679" xr:uid="{00000000-0005-0000-0000-000060080000}"/>
    <cellStyle name="—_GS_Cash  (2)_EM_TCC_new_HSH under review" xfId="2680" xr:uid="{00000000-0005-0000-0000-000061080000}"/>
    <cellStyle name="—_GS_Cash  (2)_EM_TCC_new_Novatek forecast 280404" xfId="2681" xr:uid="{00000000-0005-0000-0000-000062080000}"/>
    <cellStyle name="—_GS_Cash  (2)_EM_TCC_new_Prosperity REIT_2006Mar27" xfId="2682" xr:uid="{00000000-0005-0000-0000-000063080000}"/>
    <cellStyle name="—_GS_Cash  (2)_EM_TCC_new_Shangri-La under review" xfId="2683" xr:uid="{00000000-0005-0000-0000-000064080000}"/>
    <cellStyle name="—_GS_Cash  (2)_EM-Optus" xfId="2684" xr:uid="{00000000-0005-0000-0000-000065080000}"/>
    <cellStyle name="—_GS_Cash  (2)_EM-Optus_AUO consolidated 2004_02" xfId="2685" xr:uid="{00000000-0005-0000-0000-000066080000}"/>
    <cellStyle name="—_GS_Cash  (2)_EM-Optus_AUO forecast (GQ)2005_03" xfId="2686" xr:uid="{00000000-0005-0000-0000-000067080000}"/>
    <cellStyle name="—_GS_Cash  (2)_EM-Optus_blank industrial template - new" xfId="2687" xr:uid="{00000000-0005-0000-0000-000068080000}"/>
    <cellStyle name="—_GS_Cash  (2)_EM-Optus_Book6" xfId="2688" xr:uid="{00000000-0005-0000-0000-000069080000}"/>
    <cellStyle name="—_GS_Cash  (2)_EM-Optus_BS" xfId="2689" xr:uid="{00000000-0005-0000-0000-00006A080000}"/>
    <cellStyle name="—_GS_Cash  (2)_EM-Optus_BS_200869 sz - historical" xfId="2690" xr:uid="{00000000-0005-0000-0000-00006B080000}"/>
    <cellStyle name="—_GS_Cash  (2)_EM-Optus_BS_600519.SS" xfId="2691" xr:uid="{00000000-0005-0000-0000-00006C080000}"/>
    <cellStyle name="—_GS_Cash  (2)_EM-Optus_BS_Changyu (200869.SZ)_060330" xfId="2692" xr:uid="{00000000-0005-0000-0000-00006D080000}"/>
    <cellStyle name="—_GS_Cash  (2)_EM-Optus_BS_China Foods (506.HK)" xfId="2693" xr:uid="{00000000-0005-0000-0000-00006E080000}"/>
    <cellStyle name="—_GS_Cash  (2)_EM-Optus_BS_COFCO (506.HK)" xfId="2694" xr:uid="{00000000-0005-0000-0000-00006F080000}"/>
    <cellStyle name="—_GS_Cash  (2)_EM-Optus_BS_COFCO (506.HK)_after spinoff" xfId="2695" xr:uid="{00000000-0005-0000-0000-000070080000}"/>
    <cellStyle name="—_GS_Cash  (2)_EM-Optus_BS_COFCO NAV - scenario 060117" xfId="2696" xr:uid="{00000000-0005-0000-0000-000071080000}"/>
    <cellStyle name="—_GS_Cash  (2)_EM-Optus_BS_COFCO_051010" xfId="2697" xr:uid="{00000000-0005-0000-0000-000072080000}"/>
    <cellStyle name="—_GS_Cash  (2)_EM-Optus_BS_COFCO_backup" xfId="2698" xr:uid="{00000000-0005-0000-0000-000073080000}"/>
    <cellStyle name="—_GS_Cash  (2)_EM-Optus_Champion REIT under review" xfId="2699" xr:uid="{00000000-0005-0000-0000-000074080000}"/>
    <cellStyle name="—_GS_Cash  (2)_EM-Optus_Cheng Shin Model" xfId="2700" xr:uid="{00000000-0005-0000-0000-000075080000}"/>
    <cellStyle name="—_GS_Cash  (2)_EM-Optus_CK Hutch InvestmentProp Mar 24 2006" xfId="2701" xr:uid="{00000000-0005-0000-0000-000076080000}"/>
    <cellStyle name="—_GS_Cash  (2)_EM-Optus_CKC_Hutch_group structure" xfId="2702" xr:uid="{00000000-0005-0000-0000-000077080000}"/>
    <cellStyle name="—_GS_Cash  (2)_EM-Optus_Cost of capital" xfId="2703" xr:uid="{00000000-0005-0000-0000-000078080000}"/>
    <cellStyle name="—_GS_Cash  (2)_EM-Optus_Eagle" xfId="2704" xr:uid="{00000000-0005-0000-0000-000079080000}"/>
    <cellStyle name="—_GS_Cash  (2)_EM-Optus_Great Eagle 080425" xfId="2705" xr:uid="{00000000-0005-0000-0000-00007A080000}"/>
    <cellStyle name="—_GS_Cash  (2)_EM-Optus_HLG stub" xfId="2706" xr:uid="{00000000-0005-0000-0000-00007B080000}"/>
    <cellStyle name="—_GS_Cash  (2)_EM-Optus_HSH under review" xfId="2707" xr:uid="{00000000-0005-0000-0000-00007C080000}"/>
    <cellStyle name="—_GS_Cash  (2)_EM-Optus_Hutchison Model 090514" xfId="2708" xr:uid="{00000000-0005-0000-0000-00007D080000}"/>
    <cellStyle name="—_GS_Cash  (2)_EM-Optus_Hysan" xfId="2709" xr:uid="{00000000-0005-0000-0000-00007E080000}"/>
    <cellStyle name="—_GS_Cash  (2)_EM-Optus_Landlords" xfId="2710" xr:uid="{00000000-0005-0000-0000-00007F080000}"/>
    <cellStyle name="—_GS_Cash  (2)_EM-Optus_MN071101" xfId="2711" xr:uid="{00000000-0005-0000-0000-000080080000}"/>
    <cellStyle name="—_GS_Cash  (2)_EM-Optus_MN-Langham" xfId="2712" xr:uid="{00000000-0005-0000-0000-000081080000}"/>
    <cellStyle name="—_GS_Cash  (2)_EM-Optus_Novatek forecast 280404" xfId="2713" xr:uid="{00000000-0005-0000-0000-000082080000}"/>
    <cellStyle name="—_GS_Cash  (2)_EM-Optus_Office supply &amp; demand" xfId="2714" xr:uid="{00000000-0005-0000-0000-000083080000}"/>
    <cellStyle name="—_GS_Cash  (2)_EM-Optus_Prosperity REIT_2006Mar27" xfId="2715" xr:uid="{00000000-0005-0000-0000-000084080000}"/>
    <cellStyle name="—_GS_Cash  (2)_EM-Optus_RPT-Developers-2008Sep" xfId="2716" xr:uid="{00000000-0005-0000-0000-000085080000}"/>
    <cellStyle name="—_GS_Cash  (2)_EM-Optus_RPT-Hongkong Land 080430" xfId="2717" xr:uid="{00000000-0005-0000-0000-000086080000}"/>
    <cellStyle name="—_GS_Cash  (2)_EM-Optus_RPT-Landlords-2008Sep" xfId="2718" xr:uid="{00000000-0005-0000-0000-000087080000}"/>
    <cellStyle name="—_GS_Cash  (2)_EM-Optus_Shangri-La under review" xfId="2719" xr:uid="{00000000-0005-0000-0000-000088080000}"/>
    <cellStyle name="—_GS_Cash  (2)_EM-Optus_Yifan template 2" xfId="2720" xr:uid="{00000000-0005-0000-0000-000089080000}"/>
    <cellStyle name="—_GS_Cash  (2)_EM-Optus_Yifan template 2_200869 sz - historical" xfId="2721" xr:uid="{00000000-0005-0000-0000-00008A080000}"/>
    <cellStyle name="—_GS_Cash  (2)_EM-Optus_Yifan template 2_600519.SS" xfId="2722" xr:uid="{00000000-0005-0000-0000-00008B080000}"/>
    <cellStyle name="—_GS_Cash  (2)_EM-Optus_Yifan template 2_Changyu (200869.SZ)_060330" xfId="2723" xr:uid="{00000000-0005-0000-0000-00008C080000}"/>
    <cellStyle name="—_GS_Cash  (2)_EM-Optus_Yifan template 2_China Foods (506.HK)" xfId="2724" xr:uid="{00000000-0005-0000-0000-00008D080000}"/>
    <cellStyle name="—_GS_Cash  (2)_EM-Optus_Yifan template 2_COFCO (506.HK)" xfId="2725" xr:uid="{00000000-0005-0000-0000-00008E080000}"/>
    <cellStyle name="—_GS_Cash  (2)_EM-Optus_Yifan template 2_COFCO (506.HK)_after spinoff" xfId="2726" xr:uid="{00000000-0005-0000-0000-00008F080000}"/>
    <cellStyle name="—_GS_Cash  (2)_EM-Optus_Yifan template 2_COFCO NAV - scenario 060117" xfId="2727" xr:uid="{00000000-0005-0000-0000-000090080000}"/>
    <cellStyle name="—_GS_Cash  (2)_EM-Optus_Yifan template 2_COFCO_051010" xfId="2728" xr:uid="{00000000-0005-0000-0000-000091080000}"/>
    <cellStyle name="—_GS_Cash  (2)_EM-Optus_Yifan template 2_COFCO_backup" xfId="2729" xr:uid="{00000000-0005-0000-0000-000092080000}"/>
    <cellStyle name="—_GS_Cash  (2)_EM-PLDT consolidated - aug 1 00" xfId="2730" xr:uid="{00000000-0005-0000-0000-000093080000}"/>
    <cellStyle name="—_GS_Cash  (2)_EM-PLDT consolidated - mar 5 01" xfId="2731" xr:uid="{00000000-0005-0000-0000-000094080000}"/>
    <cellStyle name="—_GS_Cash  (2)_EM-PLDT consolidated - mar 5 01_CKC_Hutch_group structure" xfId="2732" xr:uid="{00000000-0005-0000-0000-000095080000}"/>
    <cellStyle name="—_GS_Cash  (2)_FCFC-GSoutput 12Aug04" xfId="2733" xr:uid="{00000000-0005-0000-0000-000096080000}"/>
    <cellStyle name="—_GS_Cash  (2)_Feb01report" xfId="2734" xr:uid="{00000000-0005-0000-0000-000097080000}"/>
    <cellStyle name="—_GS_Cash  (2)_Feb01report_NAV" xfId="2735" xr:uid="{00000000-0005-0000-0000-000098080000}"/>
    <cellStyle name="—_GS_Cash  (2)_Feb01report_QP_0019.HK" xfId="2736" xr:uid="{00000000-0005-0000-0000-000099080000}"/>
    <cellStyle name="—_GS_Cash  (2)_Feb01report_Swire Model" xfId="2737" xr:uid="{00000000-0005-0000-0000-00009A080000}"/>
    <cellStyle name="—_GS_Cash  (2)_Feb01report_SWIRESS" xfId="2738" xr:uid="{00000000-0005-0000-0000-00009B080000}"/>
    <cellStyle name="—_GS_Cash  (2)_FPACSS" xfId="2739" xr:uid="{00000000-0005-0000-0000-00009C080000}"/>
    <cellStyle name="—_GS_Cash  (2)_FPC-MSTR Quantum" xfId="2740" xr:uid="{00000000-0005-0000-0000-00009D080000}"/>
    <cellStyle name="—_GS_Cash  (2)_GlobalValuation_Japan" xfId="2741" xr:uid="{00000000-0005-0000-0000-00009E080000}"/>
    <cellStyle name="—_GS_Cash  (2)_Great Eagle 080425" xfId="2742" xr:uid="{00000000-0005-0000-0000-00009F080000}"/>
    <cellStyle name="—_GS_Cash  (2)_HLG stub" xfId="2743" xr:uid="{00000000-0005-0000-0000-0000A0080000}"/>
    <cellStyle name="—_GS_Cash  (2)_HSH under review" xfId="2744" xr:uid="{00000000-0005-0000-0000-0000A1080000}"/>
    <cellStyle name="—_GS_Cash  (2)_Hutchison Model 090514" xfId="2745" xr:uid="{00000000-0005-0000-0000-0000A2080000}"/>
    <cellStyle name="—_GS_Cash  (2)_hutchss" xfId="2746" xr:uid="{00000000-0005-0000-0000-0000A3080000}"/>
    <cellStyle name="—_GS_Cash  (2)_Hysan" xfId="2747" xr:uid="{00000000-0005-0000-0000-0000A4080000}"/>
    <cellStyle name="—_GS_Cash  (2)_IPOmaster" xfId="2748" xr:uid="{00000000-0005-0000-0000-0000A5080000}"/>
    <cellStyle name="—_GS_Cash  (2)_JMATHSS" xfId="2749" xr:uid="{00000000-0005-0000-0000-0000A6080000}"/>
    <cellStyle name="—_GS_Cash  (2)_JT CROCI" xfId="2750" xr:uid="{00000000-0005-0000-0000-0000A7080000}"/>
    <cellStyle name="—_GS_Cash  (2)_KDDI CROCI" xfId="2751" xr:uid="{00000000-0005-0000-0000-0000A8080000}"/>
    <cellStyle name="—_GS_Cash  (2)_Landlords" xfId="2752" xr:uid="{00000000-0005-0000-0000-0000A9080000}"/>
    <cellStyle name="—_GS_Cash  (2)_li&amp;fungSS" xfId="2753" xr:uid="{00000000-0005-0000-0000-0000AA080000}"/>
    <cellStyle name="—_GS_Cash  (2)_MASTER" xfId="2754" xr:uid="{00000000-0005-0000-0000-0000AB080000}"/>
    <cellStyle name="—_GS_Cash  (2)_MN071101" xfId="2755" xr:uid="{00000000-0005-0000-0000-0000AC080000}"/>
    <cellStyle name="—_GS_Cash  (2)_MN-Langham" xfId="2756" xr:uid="{00000000-0005-0000-0000-0000AD080000}"/>
    <cellStyle name="—_GS_Cash  (2)_Novatek forecast" xfId="2757" xr:uid="{00000000-0005-0000-0000-0000AE080000}"/>
    <cellStyle name="—_GS_Cash  (2)_Novatek forecast 280404" xfId="2758" xr:uid="{00000000-0005-0000-0000-0000AF080000}"/>
    <cellStyle name="—_GS_Cash  (2)_NTT CROCI" xfId="2759" xr:uid="{00000000-0005-0000-0000-0000B0080000}"/>
    <cellStyle name="—_GS_Cash  (2)_NTT proportionate" xfId="2760" xr:uid="{00000000-0005-0000-0000-0000B1080000}"/>
    <cellStyle name="—_GS_Cash  (2)_Office supply &amp; demand" xfId="2761" xr:uid="{00000000-0005-0000-0000-0000B2080000}"/>
    <cellStyle name="—_GS_Cash  (2)_operating stats comp" xfId="2762" xr:uid="{00000000-0005-0000-0000-0000B3080000}"/>
    <cellStyle name="—_GS_Cash  (2)_operating stats comp_AUO consolidated 2004_02" xfId="2763" xr:uid="{00000000-0005-0000-0000-0000B4080000}"/>
    <cellStyle name="—_GS_Cash  (2)_operating stats comp_AUO forecast (GQ)2005_03" xfId="2764" xr:uid="{00000000-0005-0000-0000-0000B5080000}"/>
    <cellStyle name="—_GS_Cash  (2)_operating stats comp_blank industrial template - new" xfId="2765" xr:uid="{00000000-0005-0000-0000-0000B6080000}"/>
    <cellStyle name="—_GS_Cash  (2)_operating stats comp_BS" xfId="2766" xr:uid="{00000000-0005-0000-0000-0000B7080000}"/>
    <cellStyle name="—_GS_Cash  (2)_operating stats comp_Eagle" xfId="2767" xr:uid="{00000000-0005-0000-0000-0000B8080000}"/>
    <cellStyle name="—_GS_Cash  (2)_operating stats comp_HSH under review" xfId="2768" xr:uid="{00000000-0005-0000-0000-0000B9080000}"/>
    <cellStyle name="—_GS_Cash  (2)_operating stats comp_Novatek forecast 280404" xfId="2769" xr:uid="{00000000-0005-0000-0000-0000BA080000}"/>
    <cellStyle name="—_GS_Cash  (2)_operating stats comp_Prosperity REIT_2006Mar27" xfId="2770" xr:uid="{00000000-0005-0000-0000-0000BB080000}"/>
    <cellStyle name="—_GS_Cash  (2)_operating stats comp_Shangri-La under review" xfId="2771" xr:uid="{00000000-0005-0000-0000-0000BC080000}"/>
    <cellStyle name="—_GS_Cash  (2)_Prop Dev" xfId="2772" xr:uid="{00000000-0005-0000-0000-0000BD080000}"/>
    <cellStyle name="—_GS_Cash  (2)_Prosperity REIT_2006Mar27" xfId="2773" xr:uid="{00000000-0005-0000-0000-0000BE080000}"/>
    <cellStyle name="—_GS_Cash  (2)_RPT-Developers-2008Sep" xfId="2774" xr:uid="{00000000-0005-0000-0000-0000BF080000}"/>
    <cellStyle name="—_GS_Cash  (2)_RPT-Hongkong Land 080430" xfId="2775" xr:uid="{00000000-0005-0000-0000-0000C0080000}"/>
    <cellStyle name="—_GS_Cash  (2)_RPT-Landlords-2008Sep" xfId="2776" xr:uid="{00000000-0005-0000-0000-0000C1080000}"/>
    <cellStyle name="—_GS_Cash  (2)_Shangri-La under review" xfId="2777" xr:uid="{00000000-0005-0000-0000-0000C2080000}"/>
    <cellStyle name="—_GS_Cash  (2)_Sheet1" xfId="2778" xr:uid="{00000000-0005-0000-0000-0000C3080000}"/>
    <cellStyle name="—_GS_Cash  (2)_ShunTakSS" xfId="2779" xr:uid="{00000000-0005-0000-0000-0000C4080000}"/>
    <cellStyle name="—_GS_Cash  (2)_Strategy_data_update" xfId="2780" xr:uid="{00000000-0005-0000-0000-0000C5080000}"/>
    <cellStyle name="—_GS_Cash  (2)_Strategy_data_update_AUO consolidated 2004_02" xfId="2781" xr:uid="{00000000-0005-0000-0000-0000C6080000}"/>
    <cellStyle name="—_GS_Cash  (2)_Strategy_data_update_AUO forecast (GQ)2005_03" xfId="2782" xr:uid="{00000000-0005-0000-0000-0000C7080000}"/>
    <cellStyle name="—_GS_Cash  (2)_Strategy_data_update_blank industrial template - new" xfId="2783" xr:uid="{00000000-0005-0000-0000-0000C8080000}"/>
    <cellStyle name="—_GS_Cash  (2)_Strategy_data_update_BS" xfId="2784" xr:uid="{00000000-0005-0000-0000-0000C9080000}"/>
    <cellStyle name="—_GS_Cash  (2)_Strategy_data_update_Eagle" xfId="2785" xr:uid="{00000000-0005-0000-0000-0000CA080000}"/>
    <cellStyle name="—_GS_Cash  (2)_Strategy_data_update_HSH under review" xfId="2786" xr:uid="{00000000-0005-0000-0000-0000CB080000}"/>
    <cellStyle name="—_GS_Cash  (2)_Strategy_data_update_Novatek forecast 280404" xfId="2787" xr:uid="{00000000-0005-0000-0000-0000CC080000}"/>
    <cellStyle name="—_GS_Cash  (2)_Strategy_data_update_Prosperity REIT_2006Mar27" xfId="2788" xr:uid="{00000000-0005-0000-0000-0000CD080000}"/>
    <cellStyle name="—_GS_Cash  (2)_Strategy_data_update_Shangri-La under review" xfId="2789" xr:uid="{00000000-0005-0000-0000-0000CE080000}"/>
    <cellStyle name="—_GS_Cash  (2)_SWIRESS" xfId="2790" xr:uid="{00000000-0005-0000-0000-0000CF080000}"/>
    <cellStyle name="—_GS_Cash  (2)_Synnex Model" xfId="2791" xr:uid="{00000000-0005-0000-0000-0000D0080000}"/>
    <cellStyle name="—_GS_Cash  (2)_WHARFSS" xfId="2792" xr:uid="{00000000-0005-0000-0000-0000D1080000}"/>
    <cellStyle name="—_GS_Cash  (2)_WHARFSS_CKC_Hutch_group structure" xfId="2793" xr:uid="{00000000-0005-0000-0000-0000D2080000}"/>
    <cellStyle name="—_GS_Cash  (2)_WHARFSS_Hutchison Model" xfId="2794" xr:uid="{00000000-0005-0000-0000-0000D3080000}"/>
    <cellStyle name="—_GS_Cash  (2)_WHARFSS_Hutchison Model 090514" xfId="2795" xr:uid="{00000000-0005-0000-0000-0000D4080000}"/>
    <cellStyle name="—_GS_Cash  (2)_WHARFSS_hutchss" xfId="2796" xr:uid="{00000000-0005-0000-0000-0000D5080000}"/>
    <cellStyle name="—_GS_Cash  (2)_WHARFSS_NAV" xfId="2797" xr:uid="{00000000-0005-0000-0000-0000D6080000}"/>
    <cellStyle name="—_GS_Cash  (2)_WHARFSS_Prop Dev" xfId="2798" xr:uid="{00000000-0005-0000-0000-0000D7080000}"/>
    <cellStyle name="—_GS_Cash  (2)_Yifan template 2" xfId="2799" xr:uid="{00000000-0005-0000-0000-0000D8080000}"/>
    <cellStyle name="—_GS_Cash  (2)_Yifan template 2_200869 sz - historical" xfId="2800" xr:uid="{00000000-0005-0000-0000-0000D9080000}"/>
    <cellStyle name="—_GS_Cash  (2)_Yifan template 2_600519.SS" xfId="2801" xr:uid="{00000000-0005-0000-0000-0000DA080000}"/>
    <cellStyle name="—_GS_Cash  (2)_Yifan template 2_Changyu (200869.SZ)_060330" xfId="2802" xr:uid="{00000000-0005-0000-0000-0000DB080000}"/>
    <cellStyle name="—_GS_Cash  (2)_Yifan template 2_China Foods (506.HK)" xfId="2803" xr:uid="{00000000-0005-0000-0000-0000DC080000}"/>
    <cellStyle name="—_GS_Cash  (2)_Yifan template 2_COFCO (506.HK)" xfId="2804" xr:uid="{00000000-0005-0000-0000-0000DD080000}"/>
    <cellStyle name="—_GS_Cash  (2)_Yifan template 2_COFCO (506.HK)_after spinoff" xfId="2805" xr:uid="{00000000-0005-0000-0000-0000DE080000}"/>
    <cellStyle name="—_GS_Cash  (2)_Yifan template 2_COFCO NAV - scenario 060117" xfId="2806" xr:uid="{00000000-0005-0000-0000-0000DF080000}"/>
    <cellStyle name="—_GS_Cash  (2)_Yifan template 2_COFCO_051010" xfId="2807" xr:uid="{00000000-0005-0000-0000-0000E0080000}"/>
    <cellStyle name="—_GS_Cash  (2)_Yifan template 2_COFCO_backup" xfId="2808" xr:uid="{00000000-0005-0000-0000-0000E1080000}"/>
    <cellStyle name="—_GS_Cash  (2)_Zhenhai-MSTR" xfId="2809" xr:uid="{00000000-0005-0000-0000-0000E2080000}"/>
    <cellStyle name="—_GS_Cash _100902 Helen NTT FCF to be sent" xfId="2810" xr:uid="{00000000-0005-0000-0000-0000E3080000}"/>
    <cellStyle name="—_GS_Cash _AUO consolidated 2004_02" xfId="2811" xr:uid="{00000000-0005-0000-0000-0000E4080000}"/>
    <cellStyle name="—_GS_Cash _AUO forecast (GQ)2005_03" xfId="2812" xr:uid="{00000000-0005-0000-0000-0000E5080000}"/>
    <cellStyle name="—_GS_Cash _blank industrial template - new" xfId="2813" xr:uid="{00000000-0005-0000-0000-0000E6080000}"/>
    <cellStyle name="—_GS_Cash _Book7" xfId="2814" xr:uid="{00000000-0005-0000-0000-0000E7080000}"/>
    <cellStyle name="—_GS_Cash _Book7_AUO consolidated 2004_02" xfId="2815" xr:uid="{00000000-0005-0000-0000-0000E8080000}"/>
    <cellStyle name="—_GS_Cash _Book7_AUO forecast (GQ)2005_03" xfId="2816" xr:uid="{00000000-0005-0000-0000-0000E9080000}"/>
    <cellStyle name="—_GS_Cash _Book7_blank industrial template - new" xfId="2817" xr:uid="{00000000-0005-0000-0000-0000EA080000}"/>
    <cellStyle name="—_GS_Cash _Book7_BS" xfId="2818" xr:uid="{00000000-0005-0000-0000-0000EB080000}"/>
    <cellStyle name="—_GS_Cash _Book7_CK Hutch InvestmentProp Mar 24 2006" xfId="2819" xr:uid="{00000000-0005-0000-0000-0000EC080000}"/>
    <cellStyle name="—_GS_Cash _Book7_CKC_Hutch_group structure" xfId="2820" xr:uid="{00000000-0005-0000-0000-0000ED080000}"/>
    <cellStyle name="—_GS_Cash _Book7_Eagle" xfId="2821" xr:uid="{00000000-0005-0000-0000-0000EE080000}"/>
    <cellStyle name="—_GS_Cash _Book7_HSH under review" xfId="2822" xr:uid="{00000000-0005-0000-0000-0000EF080000}"/>
    <cellStyle name="—_GS_Cash _Book7_Hutchison Model 090514" xfId="2823" xr:uid="{00000000-0005-0000-0000-0000F0080000}"/>
    <cellStyle name="—_GS_Cash _Book7_Novatek forecast 280404" xfId="2824" xr:uid="{00000000-0005-0000-0000-0000F1080000}"/>
    <cellStyle name="—_GS_Cash _Book7_Prosperity REIT_2006Mar27" xfId="2825" xr:uid="{00000000-0005-0000-0000-0000F2080000}"/>
    <cellStyle name="—_GS_Cash _Book7_Shangri-La under review" xfId="2826" xr:uid="{00000000-0005-0000-0000-0000F3080000}"/>
    <cellStyle name="—_GS_Cash _Book8" xfId="2827" xr:uid="{00000000-0005-0000-0000-0000F4080000}"/>
    <cellStyle name="—_GS_Cash _Book8_CKC_Hutch_group structure" xfId="2828" xr:uid="{00000000-0005-0000-0000-0000F5080000}"/>
    <cellStyle name="—_GS_Cash _Book8_Hutchison Model 090514" xfId="2829" xr:uid="{00000000-0005-0000-0000-0000F6080000}"/>
    <cellStyle name="—_GS_Cash _BS" xfId="2830" xr:uid="{00000000-0005-0000-0000-0000F7080000}"/>
    <cellStyle name="—_GS_Cash _BS_200869 sz - historical" xfId="2831" xr:uid="{00000000-0005-0000-0000-0000F8080000}"/>
    <cellStyle name="—_GS_Cash _BS_600519.SS" xfId="2832" xr:uid="{00000000-0005-0000-0000-0000F9080000}"/>
    <cellStyle name="—_GS_Cash _BS_Changyu (200869.SZ)_060330" xfId="2833" xr:uid="{00000000-0005-0000-0000-0000FA080000}"/>
    <cellStyle name="—_GS_Cash _BS_China Foods (506.HK)" xfId="2834" xr:uid="{00000000-0005-0000-0000-0000FB080000}"/>
    <cellStyle name="—_GS_Cash _BS_COFCO (506.HK)" xfId="2835" xr:uid="{00000000-0005-0000-0000-0000FC080000}"/>
    <cellStyle name="—_GS_Cash _BS_COFCO (506.HK)_after spinoff" xfId="2836" xr:uid="{00000000-0005-0000-0000-0000FD080000}"/>
    <cellStyle name="—_GS_Cash _BS_COFCO NAV - scenario 060117" xfId="2837" xr:uid="{00000000-0005-0000-0000-0000FE080000}"/>
    <cellStyle name="—_GS_Cash _BS_COFCO_051010" xfId="2838" xr:uid="{00000000-0005-0000-0000-0000FF080000}"/>
    <cellStyle name="—_GS_Cash _BS_COFCO_backup" xfId="2839" xr:uid="{00000000-0005-0000-0000-000000090000}"/>
    <cellStyle name="—_GS_Cash _Champion REIT" xfId="2840" xr:uid="{00000000-0005-0000-0000-000001090000}"/>
    <cellStyle name="—_GS_Cash _Cheng Shin Model" xfId="2841" xr:uid="{00000000-0005-0000-0000-000002090000}"/>
    <cellStyle name="—_GS_Cash _CK Hutch InvestmentProp Mar 24 2006" xfId="2842" xr:uid="{00000000-0005-0000-0000-000003090000}"/>
    <cellStyle name="—_GS_Cash _CKC_Hutch_group structure" xfId="2843" xr:uid="{00000000-0005-0000-0000-000004090000}"/>
    <cellStyle name="—_GS_Cash _Cost of capital" xfId="2844" xr:uid="{00000000-0005-0000-0000-000005090000}"/>
    <cellStyle name="—_GS_Cash _DoCoMo table 10July2000" xfId="2845" xr:uid="{00000000-0005-0000-0000-000006090000}"/>
    <cellStyle name="—_GS_Cash _DoCoMo table 10July2000_AUO consolidated 2004_02" xfId="2846" xr:uid="{00000000-0005-0000-0000-000007090000}"/>
    <cellStyle name="—_GS_Cash _DoCoMo table 10July2000_AUO forecast (GQ)2005_03" xfId="2847" xr:uid="{00000000-0005-0000-0000-000008090000}"/>
    <cellStyle name="—_GS_Cash _DoCoMo table 10July2000_blank industrial template - new" xfId="2848" xr:uid="{00000000-0005-0000-0000-000009090000}"/>
    <cellStyle name="—_GS_Cash _DoCoMo table 10July2000_BS" xfId="2849" xr:uid="{00000000-0005-0000-0000-00000A090000}"/>
    <cellStyle name="—_GS_Cash _DoCoMo table 10July2000_Eagle" xfId="2850" xr:uid="{00000000-0005-0000-0000-00000B090000}"/>
    <cellStyle name="—_GS_Cash _DoCoMo table 10July2000_HSH under review" xfId="2851" xr:uid="{00000000-0005-0000-0000-00000C090000}"/>
    <cellStyle name="—_GS_Cash _DoCoMo table 10July2000_Novatek forecast 280404" xfId="2852" xr:uid="{00000000-0005-0000-0000-00000D090000}"/>
    <cellStyle name="—_GS_Cash _DoCoMo table 10July2000_Prosperity REIT_2006Mar27" xfId="2853" xr:uid="{00000000-0005-0000-0000-00000E090000}"/>
    <cellStyle name="—_GS_Cash _DoCoMo table 10July2000_Shangri-La under review" xfId="2854" xr:uid="{00000000-0005-0000-0000-00000F090000}"/>
    <cellStyle name="—_GS_Cash _Eagle" xfId="2855" xr:uid="{00000000-0005-0000-0000-000010090000}"/>
    <cellStyle name="—_GS_Cash _earnings" xfId="2856" xr:uid="{00000000-0005-0000-0000-000011090000}"/>
    <cellStyle name="—_GS_Cash _earnings_AUO consolidated 2004_02" xfId="2857" xr:uid="{00000000-0005-0000-0000-000012090000}"/>
    <cellStyle name="—_GS_Cash _earnings_AUO forecast (GQ)2005_03" xfId="2858" xr:uid="{00000000-0005-0000-0000-000013090000}"/>
    <cellStyle name="—_GS_Cash _earnings_blank industrial template - new" xfId="2859" xr:uid="{00000000-0005-0000-0000-000014090000}"/>
    <cellStyle name="—_GS_Cash _earnings_BS" xfId="2860" xr:uid="{00000000-0005-0000-0000-000015090000}"/>
    <cellStyle name="—_GS_Cash _earnings_Eagle" xfId="2861" xr:uid="{00000000-0005-0000-0000-000016090000}"/>
    <cellStyle name="—_GS_Cash _earnings_HSH under review" xfId="2862" xr:uid="{00000000-0005-0000-0000-000017090000}"/>
    <cellStyle name="—_GS_Cash _earnings_Novatek forecast 280404" xfId="2863" xr:uid="{00000000-0005-0000-0000-000018090000}"/>
    <cellStyle name="—_GS_Cash _earnings_Prosperity REIT_2006Mar27" xfId="2864" xr:uid="{00000000-0005-0000-0000-000019090000}"/>
    <cellStyle name="—_GS_Cash _earnings_Shangri-La under review" xfId="2865" xr:uid="{00000000-0005-0000-0000-00001A090000}"/>
    <cellStyle name="—_GS_Cash _EM_CMHK" xfId="2866" xr:uid="{00000000-0005-0000-0000-00001B090000}"/>
    <cellStyle name="—_GS_Cash _EM_CMHK_AUO consolidated 2004_02" xfId="2867" xr:uid="{00000000-0005-0000-0000-00001C090000}"/>
    <cellStyle name="—_GS_Cash _EM_CMHK_AUO forecast (GQ)2005_03" xfId="2868" xr:uid="{00000000-0005-0000-0000-00001D090000}"/>
    <cellStyle name="—_GS_Cash _EM_CMHK_blank industrial template - new" xfId="2869" xr:uid="{00000000-0005-0000-0000-00001E090000}"/>
    <cellStyle name="—_GS_Cash _EM_CMHK_BS" xfId="2870" xr:uid="{00000000-0005-0000-0000-00001F090000}"/>
    <cellStyle name="—_GS_Cash _EM_CMHK_Eagle" xfId="2871" xr:uid="{00000000-0005-0000-0000-000020090000}"/>
    <cellStyle name="—_GS_Cash _EM_CMHK_HSH under review" xfId="2872" xr:uid="{00000000-0005-0000-0000-000021090000}"/>
    <cellStyle name="—_GS_Cash _EM_CMHK_Novatek forecast 280404" xfId="2873" xr:uid="{00000000-0005-0000-0000-000022090000}"/>
    <cellStyle name="—_GS_Cash _EM_CMHK_Prosperity REIT_2006Mar27" xfId="2874" xr:uid="{00000000-0005-0000-0000-000023090000}"/>
    <cellStyle name="—_GS_Cash _EM_CMHK_Shangri-La under review" xfId="2875" xr:uid="{00000000-0005-0000-0000-000024090000}"/>
    <cellStyle name="—_GS_Cash _EM_FETone_new" xfId="2876" xr:uid="{00000000-0005-0000-0000-000025090000}"/>
    <cellStyle name="—_GS_Cash _EM_FETone_new_AUO consolidated 2004_02" xfId="2877" xr:uid="{00000000-0005-0000-0000-000026090000}"/>
    <cellStyle name="—_GS_Cash _EM_FETone_new_AUO forecast (GQ)2005_03" xfId="2878" xr:uid="{00000000-0005-0000-0000-000027090000}"/>
    <cellStyle name="—_GS_Cash _EM_FETone_new_blank industrial template - new" xfId="2879" xr:uid="{00000000-0005-0000-0000-000028090000}"/>
    <cellStyle name="—_GS_Cash _EM_FETone_new_BS" xfId="2880" xr:uid="{00000000-0005-0000-0000-000029090000}"/>
    <cellStyle name="—_GS_Cash _EM_FETone_new_Eagle" xfId="2881" xr:uid="{00000000-0005-0000-0000-00002A090000}"/>
    <cellStyle name="—_GS_Cash _EM_FETone_new_HSH under review" xfId="2882" xr:uid="{00000000-0005-0000-0000-00002B090000}"/>
    <cellStyle name="—_GS_Cash _EM_FETone_new_Novatek forecast 280404" xfId="2883" xr:uid="{00000000-0005-0000-0000-00002C090000}"/>
    <cellStyle name="—_GS_Cash _EM_FETone_new_Prosperity REIT_2006Mar27" xfId="2884" xr:uid="{00000000-0005-0000-0000-00002D090000}"/>
    <cellStyle name="—_GS_Cash _EM_FETone_new_Shangri-La under review" xfId="2885" xr:uid="{00000000-0005-0000-0000-00002E090000}"/>
    <cellStyle name="—_GS_Cash _EM_NZT" xfId="2886" xr:uid="{00000000-0005-0000-0000-00002F090000}"/>
    <cellStyle name="—_GS_Cash _EM_NZT_BS" xfId="2887" xr:uid="{00000000-0005-0000-0000-000030090000}"/>
    <cellStyle name="—_GS_Cash _EM_NZT_BS_200869 sz - historical" xfId="2888" xr:uid="{00000000-0005-0000-0000-000031090000}"/>
    <cellStyle name="—_GS_Cash _EM_NZT_BS_600519.SS" xfId="2889" xr:uid="{00000000-0005-0000-0000-000032090000}"/>
    <cellStyle name="—_GS_Cash _EM_NZT_BS_Changyu (200869.SZ)_060330" xfId="2890" xr:uid="{00000000-0005-0000-0000-000033090000}"/>
    <cellStyle name="—_GS_Cash _EM_NZT_BS_China Foods (506.HK)" xfId="2891" xr:uid="{00000000-0005-0000-0000-000034090000}"/>
    <cellStyle name="—_GS_Cash _EM_NZT_BS_COFCO (506.HK)" xfId="2892" xr:uid="{00000000-0005-0000-0000-000035090000}"/>
    <cellStyle name="—_GS_Cash _EM_NZT_BS_COFCO (506.HK)_after spinoff" xfId="2893" xr:uid="{00000000-0005-0000-0000-000036090000}"/>
    <cellStyle name="—_GS_Cash _EM_NZT_BS_COFCO NAV - scenario 060117" xfId="2894" xr:uid="{00000000-0005-0000-0000-000037090000}"/>
    <cellStyle name="—_GS_Cash _EM_NZT_BS_COFCO_051010" xfId="2895" xr:uid="{00000000-0005-0000-0000-000038090000}"/>
    <cellStyle name="—_GS_Cash _EM_NZT_BS_COFCO_backup" xfId="2896" xr:uid="{00000000-0005-0000-0000-000039090000}"/>
    <cellStyle name="—_GS_Cash _EM_NZT_CKC_Hutch_group structure" xfId="2897" xr:uid="{00000000-0005-0000-0000-00003A090000}"/>
    <cellStyle name="—_GS_Cash _EM_NZT_Cost of capital" xfId="2898" xr:uid="{00000000-0005-0000-0000-00003B090000}"/>
    <cellStyle name="—_GS_Cash _EM_NZT_HSH under review" xfId="2899" xr:uid="{00000000-0005-0000-0000-00003C090000}"/>
    <cellStyle name="—_GS_Cash _EM_NZT_Shangri-La under review" xfId="2900" xr:uid="{00000000-0005-0000-0000-00003D090000}"/>
    <cellStyle name="—_GS_Cash _EM_NZT_Yifan template 2" xfId="2901" xr:uid="{00000000-0005-0000-0000-00003E090000}"/>
    <cellStyle name="—_GS_Cash _EM_NZT_Yifan template 2_200869 sz - historical" xfId="2902" xr:uid="{00000000-0005-0000-0000-00003F090000}"/>
    <cellStyle name="—_GS_Cash _EM_NZT_Yifan template 2_600519.SS" xfId="2903" xr:uid="{00000000-0005-0000-0000-000040090000}"/>
    <cellStyle name="—_GS_Cash _EM_NZT_Yifan template 2_Changyu (200869.SZ)_060330" xfId="2904" xr:uid="{00000000-0005-0000-0000-000041090000}"/>
    <cellStyle name="—_GS_Cash _EM_NZT_Yifan template 2_China Foods (506.HK)" xfId="2905" xr:uid="{00000000-0005-0000-0000-000042090000}"/>
    <cellStyle name="—_GS_Cash _EM_NZT_Yifan template 2_COFCO (506.HK)" xfId="2906" xr:uid="{00000000-0005-0000-0000-000043090000}"/>
    <cellStyle name="—_GS_Cash _EM_NZT_Yifan template 2_COFCO (506.HK)_after spinoff" xfId="2907" xr:uid="{00000000-0005-0000-0000-000044090000}"/>
    <cellStyle name="—_GS_Cash _EM_NZT_Yifan template 2_COFCO NAV - scenario 060117" xfId="2908" xr:uid="{00000000-0005-0000-0000-000045090000}"/>
    <cellStyle name="—_GS_Cash _EM_NZT_Yifan template 2_COFCO_051010" xfId="2909" xr:uid="{00000000-0005-0000-0000-000046090000}"/>
    <cellStyle name="—_GS_Cash _EM_NZT_Yifan template 2_COFCO_backup" xfId="2910" xr:uid="{00000000-0005-0000-0000-000047090000}"/>
    <cellStyle name="—_GS_Cash _EM_TCC_new" xfId="2911" xr:uid="{00000000-0005-0000-0000-000048090000}"/>
    <cellStyle name="—_GS_Cash _EM_TCC_new_AUO consolidated 2004_02" xfId="2912" xr:uid="{00000000-0005-0000-0000-000049090000}"/>
    <cellStyle name="—_GS_Cash _EM_TCC_new_AUO forecast (GQ)2005_03" xfId="2913" xr:uid="{00000000-0005-0000-0000-00004A090000}"/>
    <cellStyle name="—_GS_Cash _EM_TCC_new_blank industrial template - new" xfId="2914" xr:uid="{00000000-0005-0000-0000-00004B090000}"/>
    <cellStyle name="—_GS_Cash _EM_TCC_new_BS" xfId="2915" xr:uid="{00000000-0005-0000-0000-00004C090000}"/>
    <cellStyle name="—_GS_Cash _EM_TCC_new_Eagle" xfId="2916" xr:uid="{00000000-0005-0000-0000-00004D090000}"/>
    <cellStyle name="—_GS_Cash _EM_TCC_new_HSH under review" xfId="2917" xr:uid="{00000000-0005-0000-0000-00004E090000}"/>
    <cellStyle name="—_GS_Cash _EM_TCC_new_Novatek forecast 280404" xfId="2918" xr:uid="{00000000-0005-0000-0000-00004F090000}"/>
    <cellStyle name="—_GS_Cash _EM_TCC_new_Prosperity REIT_2006Mar27" xfId="2919" xr:uid="{00000000-0005-0000-0000-000050090000}"/>
    <cellStyle name="—_GS_Cash _EM_TCC_new_Shangri-La under review" xfId="2920" xr:uid="{00000000-0005-0000-0000-000051090000}"/>
    <cellStyle name="—_GS_Cash _EM-Optus" xfId="2921" xr:uid="{00000000-0005-0000-0000-000052090000}"/>
    <cellStyle name="—_GS_Cash _EM-Optus_AUO consolidated 2004_02" xfId="2922" xr:uid="{00000000-0005-0000-0000-000053090000}"/>
    <cellStyle name="—_GS_Cash _EM-Optus_AUO forecast (GQ)2005_03" xfId="2923" xr:uid="{00000000-0005-0000-0000-000054090000}"/>
    <cellStyle name="—_GS_Cash _EM-Optus_blank industrial template - new" xfId="2924" xr:uid="{00000000-0005-0000-0000-000055090000}"/>
    <cellStyle name="—_GS_Cash _EM-Optus_Book6" xfId="2925" xr:uid="{00000000-0005-0000-0000-000056090000}"/>
    <cellStyle name="—_GS_Cash _EM-Optus_BS" xfId="2926" xr:uid="{00000000-0005-0000-0000-000057090000}"/>
    <cellStyle name="—_GS_Cash _EM-Optus_BS_200869 sz - historical" xfId="2927" xr:uid="{00000000-0005-0000-0000-000058090000}"/>
    <cellStyle name="—_GS_Cash _EM-Optus_BS_600519.SS" xfId="2928" xr:uid="{00000000-0005-0000-0000-000059090000}"/>
    <cellStyle name="—_GS_Cash _EM-Optus_BS_Changyu (200869.SZ)_060330" xfId="2929" xr:uid="{00000000-0005-0000-0000-00005A090000}"/>
    <cellStyle name="—_GS_Cash _EM-Optus_BS_China Foods (506.HK)" xfId="2930" xr:uid="{00000000-0005-0000-0000-00005B090000}"/>
    <cellStyle name="—_GS_Cash _EM-Optus_BS_COFCO (506.HK)" xfId="2931" xr:uid="{00000000-0005-0000-0000-00005C090000}"/>
    <cellStyle name="—_GS_Cash _EM-Optus_BS_COFCO (506.HK)_after spinoff" xfId="2932" xr:uid="{00000000-0005-0000-0000-00005D090000}"/>
    <cellStyle name="—_GS_Cash _EM-Optus_BS_COFCO NAV - scenario 060117" xfId="2933" xr:uid="{00000000-0005-0000-0000-00005E090000}"/>
    <cellStyle name="—_GS_Cash _EM-Optus_BS_COFCO_051010" xfId="2934" xr:uid="{00000000-0005-0000-0000-00005F090000}"/>
    <cellStyle name="—_GS_Cash _EM-Optus_BS_COFCO_backup" xfId="2935" xr:uid="{00000000-0005-0000-0000-000060090000}"/>
    <cellStyle name="—_GS_Cash _EM-Optus_Champion REIT under review" xfId="2936" xr:uid="{00000000-0005-0000-0000-000061090000}"/>
    <cellStyle name="—_GS_Cash _EM-Optus_Cheng Shin Model" xfId="2937" xr:uid="{00000000-0005-0000-0000-000062090000}"/>
    <cellStyle name="—_GS_Cash _EM-Optus_CK Hutch InvestmentProp Mar 24 2006" xfId="2938" xr:uid="{00000000-0005-0000-0000-000063090000}"/>
    <cellStyle name="—_GS_Cash _EM-Optus_CKC_Hutch_group structure" xfId="2939" xr:uid="{00000000-0005-0000-0000-000064090000}"/>
    <cellStyle name="—_GS_Cash _EM-Optus_Cost of capital" xfId="2940" xr:uid="{00000000-0005-0000-0000-000065090000}"/>
    <cellStyle name="—_GS_Cash _EM-Optus_Eagle" xfId="2941" xr:uid="{00000000-0005-0000-0000-000066090000}"/>
    <cellStyle name="—_GS_Cash _EM-Optus_Great Eagle 080425" xfId="2942" xr:uid="{00000000-0005-0000-0000-000067090000}"/>
    <cellStyle name="—_GS_Cash _EM-Optus_HLG stub" xfId="2943" xr:uid="{00000000-0005-0000-0000-000068090000}"/>
    <cellStyle name="—_GS_Cash _EM-Optus_HSH under review" xfId="2944" xr:uid="{00000000-0005-0000-0000-000069090000}"/>
    <cellStyle name="—_GS_Cash _EM-Optus_Hutchison Model 090514" xfId="2945" xr:uid="{00000000-0005-0000-0000-00006A090000}"/>
    <cellStyle name="—_GS_Cash _EM-Optus_Hysan" xfId="2946" xr:uid="{00000000-0005-0000-0000-00006B090000}"/>
    <cellStyle name="—_GS_Cash _EM-Optus_Landlords" xfId="2947" xr:uid="{00000000-0005-0000-0000-00006C090000}"/>
    <cellStyle name="—_GS_Cash _EM-Optus_MN071101" xfId="2948" xr:uid="{00000000-0005-0000-0000-00006D090000}"/>
    <cellStyle name="—_GS_Cash _EM-Optus_MN-Langham" xfId="2949" xr:uid="{00000000-0005-0000-0000-00006E090000}"/>
    <cellStyle name="—_GS_Cash _EM-Optus_Novatek forecast 280404" xfId="2950" xr:uid="{00000000-0005-0000-0000-00006F090000}"/>
    <cellStyle name="—_GS_Cash _EM-Optus_Office supply &amp; demand" xfId="2951" xr:uid="{00000000-0005-0000-0000-000070090000}"/>
    <cellStyle name="—_GS_Cash _EM-Optus_Prosperity REIT_2006Mar27" xfId="2952" xr:uid="{00000000-0005-0000-0000-000071090000}"/>
    <cellStyle name="—_GS_Cash _EM-Optus_RPT-Developers-2008Sep" xfId="2953" xr:uid="{00000000-0005-0000-0000-000072090000}"/>
    <cellStyle name="—_GS_Cash _EM-Optus_RPT-Hongkong Land 080430" xfId="2954" xr:uid="{00000000-0005-0000-0000-000073090000}"/>
    <cellStyle name="—_GS_Cash _EM-Optus_RPT-Landlords-2008Sep" xfId="2955" xr:uid="{00000000-0005-0000-0000-000074090000}"/>
    <cellStyle name="—_GS_Cash _EM-Optus_Shangri-La under review" xfId="2956" xr:uid="{00000000-0005-0000-0000-000075090000}"/>
    <cellStyle name="—_GS_Cash _EM-Optus_Yifan template 2" xfId="2957" xr:uid="{00000000-0005-0000-0000-000076090000}"/>
    <cellStyle name="—_GS_Cash _EM-Optus_Yifan template 2_200869 sz - historical" xfId="2958" xr:uid="{00000000-0005-0000-0000-000077090000}"/>
    <cellStyle name="—_GS_Cash _EM-Optus_Yifan template 2_600519.SS" xfId="2959" xr:uid="{00000000-0005-0000-0000-000078090000}"/>
    <cellStyle name="—_GS_Cash _EM-Optus_Yifan template 2_Changyu (200869.SZ)_060330" xfId="2960" xr:uid="{00000000-0005-0000-0000-000079090000}"/>
    <cellStyle name="—_GS_Cash _EM-Optus_Yifan template 2_China Foods (506.HK)" xfId="2961" xr:uid="{00000000-0005-0000-0000-00007A090000}"/>
    <cellStyle name="—_GS_Cash _EM-Optus_Yifan template 2_COFCO (506.HK)" xfId="2962" xr:uid="{00000000-0005-0000-0000-00007B090000}"/>
    <cellStyle name="—_GS_Cash _EM-Optus_Yifan template 2_COFCO (506.HK)_after spinoff" xfId="2963" xr:uid="{00000000-0005-0000-0000-00007C090000}"/>
    <cellStyle name="—_GS_Cash _EM-Optus_Yifan template 2_COFCO NAV - scenario 060117" xfId="2964" xr:uid="{00000000-0005-0000-0000-00007D090000}"/>
    <cellStyle name="—_GS_Cash _EM-Optus_Yifan template 2_COFCO_051010" xfId="2965" xr:uid="{00000000-0005-0000-0000-00007E090000}"/>
    <cellStyle name="—_GS_Cash _EM-Optus_Yifan template 2_COFCO_backup" xfId="2966" xr:uid="{00000000-0005-0000-0000-00007F090000}"/>
    <cellStyle name="—_GS_Cash _EM-PLDT consolidated - aug 1 00" xfId="2967" xr:uid="{00000000-0005-0000-0000-000080090000}"/>
    <cellStyle name="—_GS_Cash _EM-PLDT consolidated - mar 5 01" xfId="2968" xr:uid="{00000000-0005-0000-0000-000081090000}"/>
    <cellStyle name="—_GS_Cash _EM-PLDT consolidated - mar 5 01_CKC_Hutch_group structure" xfId="2969" xr:uid="{00000000-0005-0000-0000-000082090000}"/>
    <cellStyle name="—_GS_Cash _FCFC-GSoutput 12Aug04" xfId="2970" xr:uid="{00000000-0005-0000-0000-000083090000}"/>
    <cellStyle name="—_GS_Cash _Feb01report" xfId="2971" xr:uid="{00000000-0005-0000-0000-000084090000}"/>
    <cellStyle name="—_GS_Cash _Feb01report_NAV" xfId="2972" xr:uid="{00000000-0005-0000-0000-000085090000}"/>
    <cellStyle name="—_GS_Cash _Feb01report_QP_0019.HK" xfId="2973" xr:uid="{00000000-0005-0000-0000-000086090000}"/>
    <cellStyle name="—_GS_Cash _Feb01report_Swire Model" xfId="2974" xr:uid="{00000000-0005-0000-0000-000087090000}"/>
    <cellStyle name="—_GS_Cash _Feb01report_SWIRESS" xfId="2975" xr:uid="{00000000-0005-0000-0000-000088090000}"/>
    <cellStyle name="—_GS_Cash _FPACSS" xfId="2976" xr:uid="{00000000-0005-0000-0000-000089090000}"/>
    <cellStyle name="—_GS_Cash _FPC-MSTR Quantum" xfId="2977" xr:uid="{00000000-0005-0000-0000-00008A090000}"/>
    <cellStyle name="—_GS_Cash _GlobalValuation_Japan" xfId="2978" xr:uid="{00000000-0005-0000-0000-00008B090000}"/>
    <cellStyle name="—_GS_Cash _Great Eagle 080425" xfId="2979" xr:uid="{00000000-0005-0000-0000-00008C090000}"/>
    <cellStyle name="—_GS_Cash _GS AeJ Property Comp LIVE" xfId="2980" xr:uid="{00000000-0005-0000-0000-00008D090000}"/>
    <cellStyle name="—_GS_Cash _HLG stub" xfId="2981" xr:uid="{00000000-0005-0000-0000-00008E090000}"/>
    <cellStyle name="—_GS_Cash _HSH under review" xfId="2982" xr:uid="{00000000-0005-0000-0000-00008F090000}"/>
    <cellStyle name="—_GS_Cash _Hutchison Model 090514" xfId="2983" xr:uid="{00000000-0005-0000-0000-000090090000}"/>
    <cellStyle name="—_GS_Cash _hutchss" xfId="2984" xr:uid="{00000000-0005-0000-0000-000091090000}"/>
    <cellStyle name="—_GS_Cash _Hysan 090827" xfId="2985" xr:uid="{00000000-0005-0000-0000-000092090000}"/>
    <cellStyle name="—_GS_Cash _IPOmaster" xfId="2986" xr:uid="{00000000-0005-0000-0000-000093090000}"/>
    <cellStyle name="—_GS_Cash _JMATHSS" xfId="2987" xr:uid="{00000000-0005-0000-0000-000094090000}"/>
    <cellStyle name="—_GS_Cash _JT CROCI" xfId="2988" xr:uid="{00000000-0005-0000-0000-000095090000}"/>
    <cellStyle name="—_GS_Cash _KDDI CROCI" xfId="2989" xr:uid="{00000000-0005-0000-0000-000096090000}"/>
    <cellStyle name="—_GS_Cash _Landlords" xfId="2990" xr:uid="{00000000-0005-0000-0000-000097090000}"/>
    <cellStyle name="—_GS_Cash _li&amp;fungSS" xfId="2991" xr:uid="{00000000-0005-0000-0000-000098090000}"/>
    <cellStyle name="—_GS_Cash _MASTER" xfId="2992" xr:uid="{00000000-0005-0000-0000-000099090000}"/>
    <cellStyle name="—_GS_Cash _MN071101" xfId="2993" xr:uid="{00000000-0005-0000-0000-00009A090000}"/>
    <cellStyle name="—_GS_Cash _Novatek forecast" xfId="2994" xr:uid="{00000000-0005-0000-0000-00009B090000}"/>
    <cellStyle name="—_GS_Cash _Novatek forecast 280404" xfId="2995" xr:uid="{00000000-0005-0000-0000-00009C090000}"/>
    <cellStyle name="—_GS_Cash _NTT CROCI" xfId="2996" xr:uid="{00000000-0005-0000-0000-00009D090000}"/>
    <cellStyle name="—_GS_Cash _NTT proportionate" xfId="2997" xr:uid="{00000000-0005-0000-0000-00009E090000}"/>
    <cellStyle name="—_GS_Cash _Office supply &amp; demand" xfId="2998" xr:uid="{00000000-0005-0000-0000-00009F090000}"/>
    <cellStyle name="—_GS_Cash _operating stats comp" xfId="2999" xr:uid="{00000000-0005-0000-0000-0000A0090000}"/>
    <cellStyle name="—_GS_Cash _operating stats comp_AUO consolidated 2004_02" xfId="3000" xr:uid="{00000000-0005-0000-0000-0000A1090000}"/>
    <cellStyle name="—_GS_Cash _operating stats comp_AUO forecast (GQ)2005_03" xfId="3001" xr:uid="{00000000-0005-0000-0000-0000A2090000}"/>
    <cellStyle name="—_GS_Cash _operating stats comp_blank industrial template - new" xfId="3002" xr:uid="{00000000-0005-0000-0000-0000A3090000}"/>
    <cellStyle name="—_GS_Cash _operating stats comp_BS" xfId="3003" xr:uid="{00000000-0005-0000-0000-0000A4090000}"/>
    <cellStyle name="—_GS_Cash _operating stats comp_Eagle" xfId="3004" xr:uid="{00000000-0005-0000-0000-0000A5090000}"/>
    <cellStyle name="—_GS_Cash _operating stats comp_HSH under review" xfId="3005" xr:uid="{00000000-0005-0000-0000-0000A6090000}"/>
    <cellStyle name="—_GS_Cash _operating stats comp_Novatek forecast 280404" xfId="3006" xr:uid="{00000000-0005-0000-0000-0000A7090000}"/>
    <cellStyle name="—_GS_Cash _operating stats comp_Prosperity REIT_2006Mar27" xfId="3007" xr:uid="{00000000-0005-0000-0000-0000A8090000}"/>
    <cellStyle name="—_GS_Cash _operating stats comp_Shangri-La under review" xfId="3008" xr:uid="{00000000-0005-0000-0000-0000A9090000}"/>
    <cellStyle name="—_GS_Cash _Parkson Fin DQ" xfId="3009" xr:uid="{00000000-0005-0000-0000-0000AA090000}"/>
    <cellStyle name="—_GS_Cash _Prop Dev" xfId="3010" xr:uid="{00000000-0005-0000-0000-0000AB090000}"/>
    <cellStyle name="—_GS_Cash _Prosperity REIT_2006Mar27" xfId="3011" xr:uid="{00000000-0005-0000-0000-0000AC090000}"/>
    <cellStyle name="—_GS_Cash _RPT-Developers-2008Sep" xfId="3012" xr:uid="{00000000-0005-0000-0000-0000AD090000}"/>
    <cellStyle name="—_GS_Cash _RPT-Hongkong Land 080430" xfId="3013" xr:uid="{00000000-0005-0000-0000-0000AE090000}"/>
    <cellStyle name="—_GS_Cash _RPT-Landlords-2008Sep" xfId="3014" xr:uid="{00000000-0005-0000-0000-0000AF090000}"/>
    <cellStyle name="—_GS_Cash _Shangri-La under review" xfId="3015" xr:uid="{00000000-0005-0000-0000-0000B0090000}"/>
    <cellStyle name="—_GS_Cash _Sheet1" xfId="3016" xr:uid="{00000000-0005-0000-0000-0000B1090000}"/>
    <cellStyle name="—_GS_Cash _ShunTakSS" xfId="3017" xr:uid="{00000000-0005-0000-0000-0000B2090000}"/>
    <cellStyle name="—_GS_Cash _Stella Finx" xfId="3018" xr:uid="{00000000-0005-0000-0000-0000B3090000}"/>
    <cellStyle name="—_GS_Cash _Strategy_data_update" xfId="3019" xr:uid="{00000000-0005-0000-0000-0000B4090000}"/>
    <cellStyle name="—_GS_Cash _Strategy_data_update_AUO consolidated 2004_02" xfId="3020" xr:uid="{00000000-0005-0000-0000-0000B5090000}"/>
    <cellStyle name="—_GS_Cash _Strategy_data_update_AUO forecast (GQ)2005_03" xfId="3021" xr:uid="{00000000-0005-0000-0000-0000B6090000}"/>
    <cellStyle name="—_GS_Cash _Strategy_data_update_blank industrial template - new" xfId="3022" xr:uid="{00000000-0005-0000-0000-0000B7090000}"/>
    <cellStyle name="—_GS_Cash _Strategy_data_update_BS" xfId="3023" xr:uid="{00000000-0005-0000-0000-0000B8090000}"/>
    <cellStyle name="—_GS_Cash _Strategy_data_update_Eagle" xfId="3024" xr:uid="{00000000-0005-0000-0000-0000B9090000}"/>
    <cellStyle name="—_GS_Cash _Strategy_data_update_HSH under review" xfId="3025" xr:uid="{00000000-0005-0000-0000-0000BA090000}"/>
    <cellStyle name="—_GS_Cash _Strategy_data_update_Novatek forecast 280404" xfId="3026" xr:uid="{00000000-0005-0000-0000-0000BB090000}"/>
    <cellStyle name="—_GS_Cash _Strategy_data_update_Prosperity REIT_2006Mar27" xfId="3027" xr:uid="{00000000-0005-0000-0000-0000BC090000}"/>
    <cellStyle name="—_GS_Cash _Strategy_data_update_Shangri-La under review" xfId="3028" xr:uid="{00000000-0005-0000-0000-0000BD090000}"/>
    <cellStyle name="—_GS_Cash _SWIRESS" xfId="3029" xr:uid="{00000000-0005-0000-0000-0000BE090000}"/>
    <cellStyle name="—_GS_Cash _Synnex Model" xfId="3030" xr:uid="{00000000-0005-0000-0000-0000BF090000}"/>
    <cellStyle name="—_GS_Cash _WHARFSS" xfId="3031" xr:uid="{00000000-0005-0000-0000-0000C0090000}"/>
    <cellStyle name="—_GS_Cash _WHARFSS_CKC_Hutch_group structure" xfId="3032" xr:uid="{00000000-0005-0000-0000-0000C1090000}"/>
    <cellStyle name="—_GS_Cash _WHARFSS_Hutchison Model" xfId="3033" xr:uid="{00000000-0005-0000-0000-0000C2090000}"/>
    <cellStyle name="—_GS_Cash _WHARFSS_Hutchison Model 090514" xfId="3034" xr:uid="{00000000-0005-0000-0000-0000C3090000}"/>
    <cellStyle name="—_GS_Cash _WHARFSS_hutchss" xfId="3035" xr:uid="{00000000-0005-0000-0000-0000C4090000}"/>
    <cellStyle name="—_GS_Cash _WHARFSS_NAV" xfId="3036" xr:uid="{00000000-0005-0000-0000-0000C5090000}"/>
    <cellStyle name="—_GS_Cash _WHARFSS_Prop Dev" xfId="3037" xr:uid="{00000000-0005-0000-0000-0000C6090000}"/>
    <cellStyle name="—_GS_Cash _Yifan template 2" xfId="3038" xr:uid="{00000000-0005-0000-0000-0000C7090000}"/>
    <cellStyle name="—_GS_Cash _Yifan template 2_200869 sz - historical" xfId="3039" xr:uid="{00000000-0005-0000-0000-0000C8090000}"/>
    <cellStyle name="—_GS_Cash _Yifan template 2_600519.SS" xfId="3040" xr:uid="{00000000-0005-0000-0000-0000C9090000}"/>
    <cellStyle name="—_GS_Cash _Yifan template 2_Changyu (200869.SZ)_060330" xfId="3041" xr:uid="{00000000-0005-0000-0000-0000CA090000}"/>
    <cellStyle name="—_GS_Cash _Yifan template 2_China Foods (506.HK)" xfId="3042" xr:uid="{00000000-0005-0000-0000-0000CB090000}"/>
    <cellStyle name="—_GS_Cash _Yifan template 2_COFCO (506.HK)" xfId="3043" xr:uid="{00000000-0005-0000-0000-0000CC090000}"/>
    <cellStyle name="—_GS_Cash _Yifan template 2_COFCO (506.HK)_after spinoff" xfId="3044" xr:uid="{00000000-0005-0000-0000-0000CD090000}"/>
    <cellStyle name="—_GS_Cash _Yifan template 2_COFCO NAV - scenario 060117" xfId="3045" xr:uid="{00000000-0005-0000-0000-0000CE090000}"/>
    <cellStyle name="—_GS_Cash _Yifan template 2_COFCO_051010" xfId="3046" xr:uid="{00000000-0005-0000-0000-0000CF090000}"/>
    <cellStyle name="—_GS_Cash _Yifan template 2_COFCO_backup" xfId="3047" xr:uid="{00000000-0005-0000-0000-0000D0090000}"/>
    <cellStyle name="—_GS_Cash _Zhenhai-MSTR" xfId="3048" xr:uid="{00000000-0005-0000-0000-0000D1090000}"/>
    <cellStyle name="—_GS_DCF" xfId="3049" xr:uid="{00000000-0005-0000-0000-0000D2090000}"/>
    <cellStyle name="—_GS_DCF_100902 Helen NTT FCF to be sent" xfId="3050" xr:uid="{00000000-0005-0000-0000-0000D3090000}"/>
    <cellStyle name="—_GS_DCF_AUO consolidated 2004_02" xfId="3051" xr:uid="{00000000-0005-0000-0000-0000D4090000}"/>
    <cellStyle name="—_GS_DCF_AUO forecast (GQ)2005_03" xfId="3052" xr:uid="{00000000-0005-0000-0000-0000D5090000}"/>
    <cellStyle name="—_GS_DCF_blank industrial template - new" xfId="3053" xr:uid="{00000000-0005-0000-0000-0000D6090000}"/>
    <cellStyle name="—_GS_DCF_Book6" xfId="3054" xr:uid="{00000000-0005-0000-0000-0000D7090000}"/>
    <cellStyle name="—_GS_DCF_Book7" xfId="3055" xr:uid="{00000000-0005-0000-0000-0000D8090000}"/>
    <cellStyle name="—_GS_DCF_Book7_AUO consolidated 2004_02" xfId="3056" xr:uid="{00000000-0005-0000-0000-0000D9090000}"/>
    <cellStyle name="—_GS_DCF_Book7_AUO forecast (GQ)2005_03" xfId="3057" xr:uid="{00000000-0005-0000-0000-0000DA090000}"/>
    <cellStyle name="—_GS_DCF_Book7_blank industrial template - new" xfId="3058" xr:uid="{00000000-0005-0000-0000-0000DB090000}"/>
    <cellStyle name="—_GS_DCF_Book7_BS" xfId="3059" xr:uid="{00000000-0005-0000-0000-0000DC090000}"/>
    <cellStyle name="—_GS_DCF_Book7_CK Hutch InvestmentProp Mar 24 2006" xfId="3060" xr:uid="{00000000-0005-0000-0000-0000DD090000}"/>
    <cellStyle name="—_GS_DCF_Book7_CKC_Hutch_group structure" xfId="3061" xr:uid="{00000000-0005-0000-0000-0000DE090000}"/>
    <cellStyle name="—_GS_DCF_Book7_Eagle" xfId="3062" xr:uid="{00000000-0005-0000-0000-0000DF090000}"/>
    <cellStyle name="—_GS_DCF_Book7_HSH under review" xfId="3063" xr:uid="{00000000-0005-0000-0000-0000E0090000}"/>
    <cellStyle name="—_GS_DCF_Book7_Hutchison Model 090514" xfId="3064" xr:uid="{00000000-0005-0000-0000-0000E1090000}"/>
    <cellStyle name="—_GS_DCF_Book7_Novatek forecast 280404" xfId="3065" xr:uid="{00000000-0005-0000-0000-0000E2090000}"/>
    <cellStyle name="—_GS_DCF_Book7_Prosperity REIT_2006Mar27" xfId="3066" xr:uid="{00000000-0005-0000-0000-0000E3090000}"/>
    <cellStyle name="—_GS_DCF_Book7_Shangri-La under review" xfId="3067" xr:uid="{00000000-0005-0000-0000-0000E4090000}"/>
    <cellStyle name="—_GS_DCF_Book8" xfId="3068" xr:uid="{00000000-0005-0000-0000-0000E5090000}"/>
    <cellStyle name="—_GS_DCF_Book8_CKC_Hutch_group structure" xfId="3069" xr:uid="{00000000-0005-0000-0000-0000E6090000}"/>
    <cellStyle name="—_GS_DCF_Book8_Hutchison Model 090514" xfId="3070" xr:uid="{00000000-0005-0000-0000-0000E7090000}"/>
    <cellStyle name="—_GS_DCF_BS" xfId="3071" xr:uid="{00000000-0005-0000-0000-0000E8090000}"/>
    <cellStyle name="—_GS_DCF_BS_200869 sz - historical" xfId="3072" xr:uid="{00000000-0005-0000-0000-0000E9090000}"/>
    <cellStyle name="—_GS_DCF_BS_600519.SS" xfId="3073" xr:uid="{00000000-0005-0000-0000-0000EA090000}"/>
    <cellStyle name="—_GS_DCF_BS_Changyu (200869.SZ)_060330" xfId="3074" xr:uid="{00000000-0005-0000-0000-0000EB090000}"/>
    <cellStyle name="—_GS_DCF_BS_China Foods (506.HK)" xfId="3075" xr:uid="{00000000-0005-0000-0000-0000EC090000}"/>
    <cellStyle name="—_GS_DCF_BS_COFCO (506.HK)" xfId="3076" xr:uid="{00000000-0005-0000-0000-0000ED090000}"/>
    <cellStyle name="—_GS_DCF_BS_COFCO (506.HK)_after spinoff" xfId="3077" xr:uid="{00000000-0005-0000-0000-0000EE090000}"/>
    <cellStyle name="—_GS_DCF_BS_COFCO NAV - scenario 060117" xfId="3078" xr:uid="{00000000-0005-0000-0000-0000EF090000}"/>
    <cellStyle name="—_GS_DCF_BS_COFCO_051010" xfId="3079" xr:uid="{00000000-0005-0000-0000-0000F0090000}"/>
    <cellStyle name="—_GS_DCF_BS_COFCO_backup" xfId="3080" xr:uid="{00000000-0005-0000-0000-0000F1090000}"/>
    <cellStyle name="—_GS_DCF_Champion REIT under review" xfId="3081" xr:uid="{00000000-0005-0000-0000-0000F2090000}"/>
    <cellStyle name="—_GS_DCF_Cheng Shin Model" xfId="3082" xr:uid="{00000000-0005-0000-0000-0000F3090000}"/>
    <cellStyle name="—_GS_DCF_CK Hutch InvestmentProp Mar 24 2006" xfId="3083" xr:uid="{00000000-0005-0000-0000-0000F4090000}"/>
    <cellStyle name="—_GS_DCF_CKC_Hutch_group structure" xfId="3084" xr:uid="{00000000-0005-0000-0000-0000F5090000}"/>
    <cellStyle name="—_GS_DCF_Cost of capital" xfId="3085" xr:uid="{00000000-0005-0000-0000-0000F6090000}"/>
    <cellStyle name="—_GS_DCF_DoCoMo table 10July2000" xfId="3086" xr:uid="{00000000-0005-0000-0000-0000F7090000}"/>
    <cellStyle name="—_GS_DCF_DoCoMo table 10July2000_AUO consolidated 2004_02" xfId="3087" xr:uid="{00000000-0005-0000-0000-0000F8090000}"/>
    <cellStyle name="—_GS_DCF_DoCoMo table 10July2000_AUO forecast (GQ)2005_03" xfId="3088" xr:uid="{00000000-0005-0000-0000-0000F9090000}"/>
    <cellStyle name="—_GS_DCF_DoCoMo table 10July2000_blank industrial template - new" xfId="3089" xr:uid="{00000000-0005-0000-0000-0000FA090000}"/>
    <cellStyle name="—_GS_DCF_DoCoMo table 10July2000_BS" xfId="3090" xr:uid="{00000000-0005-0000-0000-0000FB090000}"/>
    <cellStyle name="—_GS_DCF_DoCoMo table 10July2000_Eagle" xfId="3091" xr:uid="{00000000-0005-0000-0000-0000FC090000}"/>
    <cellStyle name="—_GS_DCF_DoCoMo table 10July2000_HSH under review" xfId="3092" xr:uid="{00000000-0005-0000-0000-0000FD090000}"/>
    <cellStyle name="—_GS_DCF_DoCoMo table 10July2000_Novatek forecast 280404" xfId="3093" xr:uid="{00000000-0005-0000-0000-0000FE090000}"/>
    <cellStyle name="—_GS_DCF_DoCoMo table 10July2000_Prosperity REIT_2006Mar27" xfId="3094" xr:uid="{00000000-0005-0000-0000-0000FF090000}"/>
    <cellStyle name="—_GS_DCF_DoCoMo table 10July2000_Shangri-La under review" xfId="3095" xr:uid="{00000000-0005-0000-0000-0000000A0000}"/>
    <cellStyle name="—_GS_DCF_Eagle" xfId="3096" xr:uid="{00000000-0005-0000-0000-0000010A0000}"/>
    <cellStyle name="—_GS_DCF_earnings" xfId="3097" xr:uid="{00000000-0005-0000-0000-0000020A0000}"/>
    <cellStyle name="—_GS_DCF_earnings_AUO consolidated 2004_02" xfId="3098" xr:uid="{00000000-0005-0000-0000-0000030A0000}"/>
    <cellStyle name="—_GS_DCF_earnings_AUO forecast (GQ)2005_03" xfId="3099" xr:uid="{00000000-0005-0000-0000-0000040A0000}"/>
    <cellStyle name="—_GS_DCF_earnings_blank industrial template - new" xfId="3100" xr:uid="{00000000-0005-0000-0000-0000050A0000}"/>
    <cellStyle name="—_GS_DCF_earnings_BS" xfId="3101" xr:uid="{00000000-0005-0000-0000-0000060A0000}"/>
    <cellStyle name="—_GS_DCF_earnings_Eagle" xfId="3102" xr:uid="{00000000-0005-0000-0000-0000070A0000}"/>
    <cellStyle name="—_GS_DCF_earnings_HSH under review" xfId="3103" xr:uid="{00000000-0005-0000-0000-0000080A0000}"/>
    <cellStyle name="—_GS_DCF_earnings_Novatek forecast 280404" xfId="3104" xr:uid="{00000000-0005-0000-0000-0000090A0000}"/>
    <cellStyle name="—_GS_DCF_earnings_Prosperity REIT_2006Mar27" xfId="3105" xr:uid="{00000000-0005-0000-0000-00000A0A0000}"/>
    <cellStyle name="—_GS_DCF_earnings_Shangri-La under review" xfId="3106" xr:uid="{00000000-0005-0000-0000-00000B0A0000}"/>
    <cellStyle name="—_GS_DCF_EM_CMHK" xfId="3107" xr:uid="{00000000-0005-0000-0000-00000C0A0000}"/>
    <cellStyle name="—_GS_DCF_EM_CMHK_AUO consolidated 2004_02" xfId="3108" xr:uid="{00000000-0005-0000-0000-00000D0A0000}"/>
    <cellStyle name="—_GS_DCF_EM_CMHK_AUO forecast (GQ)2005_03" xfId="3109" xr:uid="{00000000-0005-0000-0000-00000E0A0000}"/>
    <cellStyle name="—_GS_DCF_EM_CMHK_blank industrial template - new" xfId="3110" xr:uid="{00000000-0005-0000-0000-00000F0A0000}"/>
    <cellStyle name="—_GS_DCF_EM_CMHK_BS" xfId="3111" xr:uid="{00000000-0005-0000-0000-0000100A0000}"/>
    <cellStyle name="—_GS_DCF_EM_CMHK_Eagle" xfId="3112" xr:uid="{00000000-0005-0000-0000-0000110A0000}"/>
    <cellStyle name="—_GS_DCF_EM_CMHK_HSH under review" xfId="3113" xr:uid="{00000000-0005-0000-0000-0000120A0000}"/>
    <cellStyle name="—_GS_DCF_EM_CMHK_Novatek forecast 280404" xfId="3114" xr:uid="{00000000-0005-0000-0000-0000130A0000}"/>
    <cellStyle name="—_GS_DCF_EM_CMHK_Prosperity REIT_2006Mar27" xfId="3115" xr:uid="{00000000-0005-0000-0000-0000140A0000}"/>
    <cellStyle name="—_GS_DCF_EM_CMHK_Shangri-La under review" xfId="3116" xr:uid="{00000000-0005-0000-0000-0000150A0000}"/>
    <cellStyle name="—_GS_DCF_EM_FETone_new" xfId="3117" xr:uid="{00000000-0005-0000-0000-0000160A0000}"/>
    <cellStyle name="—_GS_DCF_EM_FETone_new_AUO consolidated 2004_02" xfId="3118" xr:uid="{00000000-0005-0000-0000-0000170A0000}"/>
    <cellStyle name="—_GS_DCF_EM_FETone_new_AUO forecast (GQ)2005_03" xfId="3119" xr:uid="{00000000-0005-0000-0000-0000180A0000}"/>
    <cellStyle name="—_GS_DCF_EM_FETone_new_blank industrial template - new" xfId="3120" xr:uid="{00000000-0005-0000-0000-0000190A0000}"/>
    <cellStyle name="—_GS_DCF_EM_FETone_new_BS" xfId="3121" xr:uid="{00000000-0005-0000-0000-00001A0A0000}"/>
    <cellStyle name="—_GS_DCF_EM_FETone_new_Eagle" xfId="3122" xr:uid="{00000000-0005-0000-0000-00001B0A0000}"/>
    <cellStyle name="—_GS_DCF_EM_FETone_new_HSH under review" xfId="3123" xr:uid="{00000000-0005-0000-0000-00001C0A0000}"/>
    <cellStyle name="—_GS_DCF_EM_FETone_new_Novatek forecast 280404" xfId="3124" xr:uid="{00000000-0005-0000-0000-00001D0A0000}"/>
    <cellStyle name="—_GS_DCF_EM_FETone_new_Prosperity REIT_2006Mar27" xfId="3125" xr:uid="{00000000-0005-0000-0000-00001E0A0000}"/>
    <cellStyle name="—_GS_DCF_EM_FETone_new_Shangri-La under review" xfId="3126" xr:uid="{00000000-0005-0000-0000-00001F0A0000}"/>
    <cellStyle name="—_GS_DCF_EM_NZT" xfId="3127" xr:uid="{00000000-0005-0000-0000-0000200A0000}"/>
    <cellStyle name="—_GS_DCF_EM_NZT_BS" xfId="3128" xr:uid="{00000000-0005-0000-0000-0000210A0000}"/>
    <cellStyle name="—_GS_DCF_EM_NZT_BS_200869 sz - historical" xfId="3129" xr:uid="{00000000-0005-0000-0000-0000220A0000}"/>
    <cellStyle name="—_GS_DCF_EM_NZT_BS_600519.SS" xfId="3130" xr:uid="{00000000-0005-0000-0000-0000230A0000}"/>
    <cellStyle name="—_GS_DCF_EM_NZT_BS_Changyu (200869.SZ)_060330" xfId="3131" xr:uid="{00000000-0005-0000-0000-0000240A0000}"/>
    <cellStyle name="—_GS_DCF_EM_NZT_BS_China Foods (506.HK)" xfId="3132" xr:uid="{00000000-0005-0000-0000-0000250A0000}"/>
    <cellStyle name="—_GS_DCF_EM_NZT_BS_COFCO (506.HK)" xfId="3133" xr:uid="{00000000-0005-0000-0000-0000260A0000}"/>
    <cellStyle name="—_GS_DCF_EM_NZT_BS_COFCO (506.HK)_after spinoff" xfId="3134" xr:uid="{00000000-0005-0000-0000-0000270A0000}"/>
    <cellStyle name="—_GS_DCF_EM_NZT_BS_COFCO NAV - scenario 060117" xfId="3135" xr:uid="{00000000-0005-0000-0000-0000280A0000}"/>
    <cellStyle name="—_GS_DCF_EM_NZT_BS_COFCO_051010" xfId="3136" xr:uid="{00000000-0005-0000-0000-0000290A0000}"/>
    <cellStyle name="—_GS_DCF_EM_NZT_BS_COFCO_backup" xfId="3137" xr:uid="{00000000-0005-0000-0000-00002A0A0000}"/>
    <cellStyle name="—_GS_DCF_EM_NZT_CKC_Hutch_group structure" xfId="3138" xr:uid="{00000000-0005-0000-0000-00002B0A0000}"/>
    <cellStyle name="—_GS_DCF_EM_NZT_Cost of capital" xfId="3139" xr:uid="{00000000-0005-0000-0000-00002C0A0000}"/>
    <cellStyle name="—_GS_DCF_EM_NZT_HSH under review" xfId="3140" xr:uid="{00000000-0005-0000-0000-00002D0A0000}"/>
    <cellStyle name="—_GS_DCF_EM_NZT_Shangri-La under review" xfId="3141" xr:uid="{00000000-0005-0000-0000-00002E0A0000}"/>
    <cellStyle name="—_GS_DCF_EM_NZT_Yifan template 2" xfId="3142" xr:uid="{00000000-0005-0000-0000-00002F0A0000}"/>
    <cellStyle name="—_GS_DCF_EM_NZT_Yifan template 2_200869 sz - historical" xfId="3143" xr:uid="{00000000-0005-0000-0000-0000300A0000}"/>
    <cellStyle name="—_GS_DCF_EM_NZT_Yifan template 2_600519.SS" xfId="3144" xr:uid="{00000000-0005-0000-0000-0000310A0000}"/>
    <cellStyle name="—_GS_DCF_EM_NZT_Yifan template 2_Changyu (200869.SZ)_060330" xfId="3145" xr:uid="{00000000-0005-0000-0000-0000320A0000}"/>
    <cellStyle name="—_GS_DCF_EM_NZT_Yifan template 2_China Foods (506.HK)" xfId="3146" xr:uid="{00000000-0005-0000-0000-0000330A0000}"/>
    <cellStyle name="—_GS_DCF_EM_NZT_Yifan template 2_COFCO (506.HK)" xfId="3147" xr:uid="{00000000-0005-0000-0000-0000340A0000}"/>
    <cellStyle name="—_GS_DCF_EM_NZT_Yifan template 2_COFCO (506.HK)_after spinoff" xfId="3148" xr:uid="{00000000-0005-0000-0000-0000350A0000}"/>
    <cellStyle name="—_GS_DCF_EM_NZT_Yifan template 2_COFCO NAV - scenario 060117" xfId="3149" xr:uid="{00000000-0005-0000-0000-0000360A0000}"/>
    <cellStyle name="—_GS_DCF_EM_NZT_Yifan template 2_COFCO_051010" xfId="3150" xr:uid="{00000000-0005-0000-0000-0000370A0000}"/>
    <cellStyle name="—_GS_DCF_EM_NZT_Yifan template 2_COFCO_backup" xfId="3151" xr:uid="{00000000-0005-0000-0000-0000380A0000}"/>
    <cellStyle name="—_GS_DCF_EM_TCC_new" xfId="3152" xr:uid="{00000000-0005-0000-0000-0000390A0000}"/>
    <cellStyle name="—_GS_DCF_EM_TCC_new_AUO consolidated 2004_02" xfId="3153" xr:uid="{00000000-0005-0000-0000-00003A0A0000}"/>
    <cellStyle name="—_GS_DCF_EM_TCC_new_AUO forecast (GQ)2005_03" xfId="3154" xr:uid="{00000000-0005-0000-0000-00003B0A0000}"/>
    <cellStyle name="—_GS_DCF_EM_TCC_new_blank industrial template - new" xfId="3155" xr:uid="{00000000-0005-0000-0000-00003C0A0000}"/>
    <cellStyle name="—_GS_DCF_EM_TCC_new_BS" xfId="3156" xr:uid="{00000000-0005-0000-0000-00003D0A0000}"/>
    <cellStyle name="—_GS_DCF_EM_TCC_new_Eagle" xfId="3157" xr:uid="{00000000-0005-0000-0000-00003E0A0000}"/>
    <cellStyle name="—_GS_DCF_EM_TCC_new_HSH under review" xfId="3158" xr:uid="{00000000-0005-0000-0000-00003F0A0000}"/>
    <cellStyle name="—_GS_DCF_EM_TCC_new_Novatek forecast 280404" xfId="3159" xr:uid="{00000000-0005-0000-0000-0000400A0000}"/>
    <cellStyle name="—_GS_DCF_EM_TCC_new_Prosperity REIT_2006Mar27" xfId="3160" xr:uid="{00000000-0005-0000-0000-0000410A0000}"/>
    <cellStyle name="—_GS_DCF_EM_TCC_new_Shangri-La under review" xfId="3161" xr:uid="{00000000-0005-0000-0000-0000420A0000}"/>
    <cellStyle name="—_GS_DCF_EM-Optus" xfId="3162" xr:uid="{00000000-0005-0000-0000-0000430A0000}"/>
    <cellStyle name="—_GS_DCF_EM-Optus_AUO consolidated 2004_02" xfId="3163" xr:uid="{00000000-0005-0000-0000-0000440A0000}"/>
    <cellStyle name="—_GS_DCF_EM-Optus_AUO forecast (GQ)2005_03" xfId="3164" xr:uid="{00000000-0005-0000-0000-0000450A0000}"/>
    <cellStyle name="—_GS_DCF_EM-Optus_blank industrial template - new" xfId="3165" xr:uid="{00000000-0005-0000-0000-0000460A0000}"/>
    <cellStyle name="—_GS_DCF_EM-Optus_Book6" xfId="3166" xr:uid="{00000000-0005-0000-0000-0000470A0000}"/>
    <cellStyle name="—_GS_DCF_EM-Optus_BS" xfId="3167" xr:uid="{00000000-0005-0000-0000-0000480A0000}"/>
    <cellStyle name="—_GS_DCF_EM-Optus_BS_200869 sz - historical" xfId="3168" xr:uid="{00000000-0005-0000-0000-0000490A0000}"/>
    <cellStyle name="—_GS_DCF_EM-Optus_BS_600519.SS" xfId="3169" xr:uid="{00000000-0005-0000-0000-00004A0A0000}"/>
    <cellStyle name="—_GS_DCF_EM-Optus_BS_Changyu (200869.SZ)_060330" xfId="3170" xr:uid="{00000000-0005-0000-0000-00004B0A0000}"/>
    <cellStyle name="—_GS_DCF_EM-Optus_BS_China Foods (506.HK)" xfId="3171" xr:uid="{00000000-0005-0000-0000-00004C0A0000}"/>
    <cellStyle name="—_GS_DCF_EM-Optus_BS_COFCO (506.HK)" xfId="3172" xr:uid="{00000000-0005-0000-0000-00004D0A0000}"/>
    <cellStyle name="—_GS_DCF_EM-Optus_BS_COFCO (506.HK)_after spinoff" xfId="3173" xr:uid="{00000000-0005-0000-0000-00004E0A0000}"/>
    <cellStyle name="—_GS_DCF_EM-Optus_BS_COFCO NAV - scenario 060117" xfId="3174" xr:uid="{00000000-0005-0000-0000-00004F0A0000}"/>
    <cellStyle name="—_GS_DCF_EM-Optus_BS_COFCO_051010" xfId="3175" xr:uid="{00000000-0005-0000-0000-0000500A0000}"/>
    <cellStyle name="—_GS_DCF_EM-Optus_BS_COFCO_backup" xfId="3176" xr:uid="{00000000-0005-0000-0000-0000510A0000}"/>
    <cellStyle name="—_GS_DCF_EM-Optus_Champion REIT under review" xfId="3177" xr:uid="{00000000-0005-0000-0000-0000520A0000}"/>
    <cellStyle name="—_GS_DCF_EM-Optus_Cheng Shin Model" xfId="3178" xr:uid="{00000000-0005-0000-0000-0000530A0000}"/>
    <cellStyle name="—_GS_DCF_EM-Optus_CK Hutch InvestmentProp Mar 24 2006" xfId="3179" xr:uid="{00000000-0005-0000-0000-0000540A0000}"/>
    <cellStyle name="—_GS_DCF_EM-Optus_CKC_Hutch_group structure" xfId="3180" xr:uid="{00000000-0005-0000-0000-0000550A0000}"/>
    <cellStyle name="—_GS_DCF_EM-Optus_Cost of capital" xfId="3181" xr:uid="{00000000-0005-0000-0000-0000560A0000}"/>
    <cellStyle name="—_GS_DCF_EM-Optus_Eagle" xfId="3182" xr:uid="{00000000-0005-0000-0000-0000570A0000}"/>
    <cellStyle name="—_GS_DCF_EM-Optus_Great Eagle 080425" xfId="3183" xr:uid="{00000000-0005-0000-0000-0000580A0000}"/>
    <cellStyle name="—_GS_DCF_EM-Optus_HLG stub" xfId="3184" xr:uid="{00000000-0005-0000-0000-0000590A0000}"/>
    <cellStyle name="—_GS_DCF_EM-Optus_HSH under review" xfId="3185" xr:uid="{00000000-0005-0000-0000-00005A0A0000}"/>
    <cellStyle name="—_GS_DCF_EM-Optus_Hutchison Model 090514" xfId="3186" xr:uid="{00000000-0005-0000-0000-00005B0A0000}"/>
    <cellStyle name="—_GS_DCF_EM-Optus_Hysan" xfId="3187" xr:uid="{00000000-0005-0000-0000-00005C0A0000}"/>
    <cellStyle name="—_GS_DCF_EM-Optus_Landlords" xfId="3188" xr:uid="{00000000-0005-0000-0000-00005D0A0000}"/>
    <cellStyle name="—_GS_DCF_EM-Optus_MN071101" xfId="3189" xr:uid="{00000000-0005-0000-0000-00005E0A0000}"/>
    <cellStyle name="—_GS_DCF_EM-Optus_MN-Langham" xfId="3190" xr:uid="{00000000-0005-0000-0000-00005F0A0000}"/>
    <cellStyle name="—_GS_DCF_EM-Optus_Novatek forecast 280404" xfId="3191" xr:uid="{00000000-0005-0000-0000-0000600A0000}"/>
    <cellStyle name="—_GS_DCF_EM-Optus_Office supply &amp; demand" xfId="3192" xr:uid="{00000000-0005-0000-0000-0000610A0000}"/>
    <cellStyle name="—_GS_DCF_EM-Optus_Prosperity REIT_2006Mar27" xfId="3193" xr:uid="{00000000-0005-0000-0000-0000620A0000}"/>
    <cellStyle name="—_GS_DCF_EM-Optus_RPT-Developers-2008Sep" xfId="3194" xr:uid="{00000000-0005-0000-0000-0000630A0000}"/>
    <cellStyle name="—_GS_DCF_EM-Optus_RPT-Hongkong Land 080430" xfId="3195" xr:uid="{00000000-0005-0000-0000-0000640A0000}"/>
    <cellStyle name="—_GS_DCF_EM-Optus_RPT-Landlords-2008Sep" xfId="3196" xr:uid="{00000000-0005-0000-0000-0000650A0000}"/>
    <cellStyle name="—_GS_DCF_EM-Optus_Shangri-La under review" xfId="3197" xr:uid="{00000000-0005-0000-0000-0000660A0000}"/>
    <cellStyle name="—_GS_DCF_EM-Optus_Yifan template 2" xfId="3198" xr:uid="{00000000-0005-0000-0000-0000670A0000}"/>
    <cellStyle name="—_GS_DCF_EM-Optus_Yifan template 2_200869 sz - historical" xfId="3199" xr:uid="{00000000-0005-0000-0000-0000680A0000}"/>
    <cellStyle name="—_GS_DCF_EM-Optus_Yifan template 2_600519.SS" xfId="3200" xr:uid="{00000000-0005-0000-0000-0000690A0000}"/>
    <cellStyle name="—_GS_DCF_EM-Optus_Yifan template 2_Changyu (200869.SZ)_060330" xfId="3201" xr:uid="{00000000-0005-0000-0000-00006A0A0000}"/>
    <cellStyle name="—_GS_DCF_EM-Optus_Yifan template 2_China Foods (506.HK)" xfId="3202" xr:uid="{00000000-0005-0000-0000-00006B0A0000}"/>
    <cellStyle name="—_GS_DCF_EM-Optus_Yifan template 2_COFCO (506.HK)" xfId="3203" xr:uid="{00000000-0005-0000-0000-00006C0A0000}"/>
    <cellStyle name="—_GS_DCF_EM-Optus_Yifan template 2_COFCO (506.HK)_after spinoff" xfId="3204" xr:uid="{00000000-0005-0000-0000-00006D0A0000}"/>
    <cellStyle name="—_GS_DCF_EM-Optus_Yifan template 2_COFCO NAV - scenario 060117" xfId="3205" xr:uid="{00000000-0005-0000-0000-00006E0A0000}"/>
    <cellStyle name="—_GS_DCF_EM-Optus_Yifan template 2_COFCO_051010" xfId="3206" xr:uid="{00000000-0005-0000-0000-00006F0A0000}"/>
    <cellStyle name="—_GS_DCF_EM-Optus_Yifan template 2_COFCO_backup" xfId="3207" xr:uid="{00000000-0005-0000-0000-0000700A0000}"/>
    <cellStyle name="—_GS_DCF_EM-PLDT consolidated - aug 1 00" xfId="3208" xr:uid="{00000000-0005-0000-0000-0000710A0000}"/>
    <cellStyle name="—_GS_DCF_EM-PLDT consolidated - mar 5 01" xfId="3209" xr:uid="{00000000-0005-0000-0000-0000720A0000}"/>
    <cellStyle name="—_GS_DCF_EM-PLDT consolidated - mar 5 01_CKC_Hutch_group structure" xfId="3210" xr:uid="{00000000-0005-0000-0000-0000730A0000}"/>
    <cellStyle name="—_GS_DCF_FCFC-GSoutput 12Aug04" xfId="3211" xr:uid="{00000000-0005-0000-0000-0000740A0000}"/>
    <cellStyle name="—_GS_DCF_Feb01report" xfId="3212" xr:uid="{00000000-0005-0000-0000-0000750A0000}"/>
    <cellStyle name="—_GS_DCF_Feb01report_NAV" xfId="3213" xr:uid="{00000000-0005-0000-0000-0000760A0000}"/>
    <cellStyle name="—_GS_DCF_Feb01report_QP_0019.HK" xfId="3214" xr:uid="{00000000-0005-0000-0000-0000770A0000}"/>
    <cellStyle name="—_GS_DCF_Feb01report_Swire Model" xfId="3215" xr:uid="{00000000-0005-0000-0000-0000780A0000}"/>
    <cellStyle name="—_GS_DCF_Feb01report_SWIRESS" xfId="3216" xr:uid="{00000000-0005-0000-0000-0000790A0000}"/>
    <cellStyle name="—_GS_DCF_FPACSS" xfId="3217" xr:uid="{00000000-0005-0000-0000-00007A0A0000}"/>
    <cellStyle name="—_GS_DCF_FPC-MSTR Quantum" xfId="3218" xr:uid="{00000000-0005-0000-0000-00007B0A0000}"/>
    <cellStyle name="—_GS_DCF_GlobalValuation_Japan" xfId="3219" xr:uid="{00000000-0005-0000-0000-00007C0A0000}"/>
    <cellStyle name="—_GS_DCF_Great Eagle 080425" xfId="3220" xr:uid="{00000000-0005-0000-0000-00007D0A0000}"/>
    <cellStyle name="—_GS_DCF_HLG stub" xfId="3221" xr:uid="{00000000-0005-0000-0000-00007E0A0000}"/>
    <cellStyle name="—_GS_DCF_HSH under review" xfId="3222" xr:uid="{00000000-0005-0000-0000-00007F0A0000}"/>
    <cellStyle name="—_GS_DCF_Hutchison Model 090514" xfId="3223" xr:uid="{00000000-0005-0000-0000-0000800A0000}"/>
    <cellStyle name="—_GS_DCF_hutchss" xfId="3224" xr:uid="{00000000-0005-0000-0000-0000810A0000}"/>
    <cellStyle name="—_GS_DCF_Hysan" xfId="3225" xr:uid="{00000000-0005-0000-0000-0000820A0000}"/>
    <cellStyle name="—_GS_DCF_IPOmaster" xfId="3226" xr:uid="{00000000-0005-0000-0000-0000830A0000}"/>
    <cellStyle name="—_GS_DCF_JMATHSS" xfId="3227" xr:uid="{00000000-0005-0000-0000-0000840A0000}"/>
    <cellStyle name="—_GS_DCF_JT CROCI" xfId="3228" xr:uid="{00000000-0005-0000-0000-0000850A0000}"/>
    <cellStyle name="—_GS_DCF_KDDI CROCI" xfId="3229" xr:uid="{00000000-0005-0000-0000-0000860A0000}"/>
    <cellStyle name="—_GS_DCF_Landlords" xfId="3230" xr:uid="{00000000-0005-0000-0000-0000870A0000}"/>
    <cellStyle name="—_GS_DCF_li&amp;fungSS" xfId="3231" xr:uid="{00000000-0005-0000-0000-0000880A0000}"/>
    <cellStyle name="—_GS_DCF_MASTER" xfId="3232" xr:uid="{00000000-0005-0000-0000-0000890A0000}"/>
    <cellStyle name="—_GS_DCF_MN071101" xfId="3233" xr:uid="{00000000-0005-0000-0000-00008A0A0000}"/>
    <cellStyle name="—_GS_DCF_MN-Langham" xfId="3234" xr:uid="{00000000-0005-0000-0000-00008B0A0000}"/>
    <cellStyle name="—_GS_DCF_Novatek forecast" xfId="3235" xr:uid="{00000000-0005-0000-0000-00008C0A0000}"/>
    <cellStyle name="—_GS_DCF_Novatek forecast 280404" xfId="3236" xr:uid="{00000000-0005-0000-0000-00008D0A0000}"/>
    <cellStyle name="—_GS_DCF_NTT CROCI" xfId="3237" xr:uid="{00000000-0005-0000-0000-00008E0A0000}"/>
    <cellStyle name="—_GS_DCF_NTT proportionate" xfId="3238" xr:uid="{00000000-0005-0000-0000-00008F0A0000}"/>
    <cellStyle name="—_GS_DCF_Office supply &amp; demand" xfId="3239" xr:uid="{00000000-0005-0000-0000-0000900A0000}"/>
    <cellStyle name="—_GS_DCF_operating stats comp" xfId="3240" xr:uid="{00000000-0005-0000-0000-0000910A0000}"/>
    <cellStyle name="—_GS_DCF_operating stats comp_AUO consolidated 2004_02" xfId="3241" xr:uid="{00000000-0005-0000-0000-0000920A0000}"/>
    <cellStyle name="—_GS_DCF_operating stats comp_AUO forecast (GQ)2005_03" xfId="3242" xr:uid="{00000000-0005-0000-0000-0000930A0000}"/>
    <cellStyle name="—_GS_DCF_operating stats comp_blank industrial template - new" xfId="3243" xr:uid="{00000000-0005-0000-0000-0000940A0000}"/>
    <cellStyle name="—_GS_DCF_operating stats comp_BS" xfId="3244" xr:uid="{00000000-0005-0000-0000-0000950A0000}"/>
    <cellStyle name="—_GS_DCF_operating stats comp_Eagle" xfId="3245" xr:uid="{00000000-0005-0000-0000-0000960A0000}"/>
    <cellStyle name="—_GS_DCF_operating stats comp_HSH under review" xfId="3246" xr:uid="{00000000-0005-0000-0000-0000970A0000}"/>
    <cellStyle name="—_GS_DCF_operating stats comp_Novatek forecast 280404" xfId="3247" xr:uid="{00000000-0005-0000-0000-0000980A0000}"/>
    <cellStyle name="—_GS_DCF_operating stats comp_Prosperity REIT_2006Mar27" xfId="3248" xr:uid="{00000000-0005-0000-0000-0000990A0000}"/>
    <cellStyle name="—_GS_DCF_operating stats comp_Shangri-La under review" xfId="3249" xr:uid="{00000000-0005-0000-0000-00009A0A0000}"/>
    <cellStyle name="—_GS_DCF_Prop Dev" xfId="3250" xr:uid="{00000000-0005-0000-0000-00009B0A0000}"/>
    <cellStyle name="—_GS_DCF_Prosperity REIT_2006Mar27" xfId="3251" xr:uid="{00000000-0005-0000-0000-00009C0A0000}"/>
    <cellStyle name="—_GS_DCF_RPT-Developers-2008Sep" xfId="3252" xr:uid="{00000000-0005-0000-0000-00009D0A0000}"/>
    <cellStyle name="—_GS_DCF_RPT-Hongkong Land 080430" xfId="3253" xr:uid="{00000000-0005-0000-0000-00009E0A0000}"/>
    <cellStyle name="—_GS_DCF_RPT-Landlords-2008Sep" xfId="3254" xr:uid="{00000000-0005-0000-0000-00009F0A0000}"/>
    <cellStyle name="—_GS_DCF_Shangri-La under review" xfId="3255" xr:uid="{00000000-0005-0000-0000-0000A00A0000}"/>
    <cellStyle name="—_GS_DCF_Sheet1" xfId="3256" xr:uid="{00000000-0005-0000-0000-0000A10A0000}"/>
    <cellStyle name="—_GS_DCF_ShunTakSS" xfId="3257" xr:uid="{00000000-0005-0000-0000-0000A20A0000}"/>
    <cellStyle name="—_GS_DCF_Strategy_data_update" xfId="3258" xr:uid="{00000000-0005-0000-0000-0000A30A0000}"/>
    <cellStyle name="—_GS_DCF_Strategy_data_update_AUO consolidated 2004_02" xfId="3259" xr:uid="{00000000-0005-0000-0000-0000A40A0000}"/>
    <cellStyle name="—_GS_DCF_Strategy_data_update_AUO forecast (GQ)2005_03" xfId="3260" xr:uid="{00000000-0005-0000-0000-0000A50A0000}"/>
    <cellStyle name="—_GS_DCF_Strategy_data_update_blank industrial template - new" xfId="3261" xr:uid="{00000000-0005-0000-0000-0000A60A0000}"/>
    <cellStyle name="—_GS_DCF_Strategy_data_update_BS" xfId="3262" xr:uid="{00000000-0005-0000-0000-0000A70A0000}"/>
    <cellStyle name="—_GS_DCF_Strategy_data_update_Eagle" xfId="3263" xr:uid="{00000000-0005-0000-0000-0000A80A0000}"/>
    <cellStyle name="—_GS_DCF_Strategy_data_update_HSH under review" xfId="3264" xr:uid="{00000000-0005-0000-0000-0000A90A0000}"/>
    <cellStyle name="—_GS_DCF_Strategy_data_update_Novatek forecast 280404" xfId="3265" xr:uid="{00000000-0005-0000-0000-0000AA0A0000}"/>
    <cellStyle name="—_GS_DCF_Strategy_data_update_Prosperity REIT_2006Mar27" xfId="3266" xr:uid="{00000000-0005-0000-0000-0000AB0A0000}"/>
    <cellStyle name="—_GS_DCF_Strategy_data_update_Shangri-La under review" xfId="3267" xr:uid="{00000000-0005-0000-0000-0000AC0A0000}"/>
    <cellStyle name="—_GS_DCF_SWIRESS" xfId="3268" xr:uid="{00000000-0005-0000-0000-0000AD0A0000}"/>
    <cellStyle name="—_GS_DCF_Synnex Model" xfId="3269" xr:uid="{00000000-0005-0000-0000-0000AE0A0000}"/>
    <cellStyle name="—_GS_DCF_WHARFSS" xfId="3270" xr:uid="{00000000-0005-0000-0000-0000AF0A0000}"/>
    <cellStyle name="—_GS_DCF_WHARFSS_CKC_Hutch_group structure" xfId="3271" xr:uid="{00000000-0005-0000-0000-0000B00A0000}"/>
    <cellStyle name="—_GS_DCF_WHARFSS_Hutchison Model" xfId="3272" xr:uid="{00000000-0005-0000-0000-0000B10A0000}"/>
    <cellStyle name="—_GS_DCF_WHARFSS_Hutchison Model 090514" xfId="3273" xr:uid="{00000000-0005-0000-0000-0000B20A0000}"/>
    <cellStyle name="—_GS_DCF_WHARFSS_hutchss" xfId="3274" xr:uid="{00000000-0005-0000-0000-0000B30A0000}"/>
    <cellStyle name="—_GS_DCF_WHARFSS_NAV" xfId="3275" xr:uid="{00000000-0005-0000-0000-0000B40A0000}"/>
    <cellStyle name="—_GS_DCF_WHARFSS_Prop Dev" xfId="3276" xr:uid="{00000000-0005-0000-0000-0000B50A0000}"/>
    <cellStyle name="—_GS_DCF_Yifan template 2" xfId="3277" xr:uid="{00000000-0005-0000-0000-0000B60A0000}"/>
    <cellStyle name="—_GS_DCF_Yifan template 2_200869 sz - historical" xfId="3278" xr:uid="{00000000-0005-0000-0000-0000B70A0000}"/>
    <cellStyle name="—_GS_DCF_Yifan template 2_600519.SS" xfId="3279" xr:uid="{00000000-0005-0000-0000-0000B80A0000}"/>
    <cellStyle name="—_GS_DCF_Yifan template 2_Changyu (200869.SZ)_060330" xfId="3280" xr:uid="{00000000-0005-0000-0000-0000B90A0000}"/>
    <cellStyle name="—_GS_DCF_Yifan template 2_China Foods (506.HK)" xfId="3281" xr:uid="{00000000-0005-0000-0000-0000BA0A0000}"/>
    <cellStyle name="—_GS_DCF_Yifan template 2_COFCO (506.HK)" xfId="3282" xr:uid="{00000000-0005-0000-0000-0000BB0A0000}"/>
    <cellStyle name="—_GS_DCF_Yifan template 2_COFCO (506.HK)_after spinoff" xfId="3283" xr:uid="{00000000-0005-0000-0000-0000BC0A0000}"/>
    <cellStyle name="—_GS_DCF_Yifan template 2_COFCO NAV - scenario 060117" xfId="3284" xr:uid="{00000000-0005-0000-0000-0000BD0A0000}"/>
    <cellStyle name="—_GS_DCF_Yifan template 2_COFCO_051010" xfId="3285" xr:uid="{00000000-0005-0000-0000-0000BE0A0000}"/>
    <cellStyle name="—_GS_DCF_Yifan template 2_COFCO_backup" xfId="3286" xr:uid="{00000000-0005-0000-0000-0000BF0A0000}"/>
    <cellStyle name="—_GS_DCF_Zhenhai-MSTR" xfId="3287" xr:uid="{00000000-0005-0000-0000-0000C00A0000}"/>
    <cellStyle name="—_GS_PNL" xfId="3288" xr:uid="{00000000-0005-0000-0000-0000C10A0000}"/>
    <cellStyle name="—_GS_PNL_100902 Helen NTT FCF to be sent" xfId="3289" xr:uid="{00000000-0005-0000-0000-0000C20A0000}"/>
    <cellStyle name="—_GS_PNL_AUO consolidated 2004_02" xfId="3290" xr:uid="{00000000-0005-0000-0000-0000C30A0000}"/>
    <cellStyle name="—_GS_PNL_AUO forecast (GQ)2005_03" xfId="3291" xr:uid="{00000000-0005-0000-0000-0000C40A0000}"/>
    <cellStyle name="—_GS_PNL_blank industrial template - new" xfId="3292" xr:uid="{00000000-0005-0000-0000-0000C50A0000}"/>
    <cellStyle name="—_GS_PNL_Book6" xfId="3293" xr:uid="{00000000-0005-0000-0000-0000C60A0000}"/>
    <cellStyle name="—_GS_PNL_Book7" xfId="3294" xr:uid="{00000000-0005-0000-0000-0000C70A0000}"/>
    <cellStyle name="—_GS_PNL_Book7_AUO consolidated 2004_02" xfId="3295" xr:uid="{00000000-0005-0000-0000-0000C80A0000}"/>
    <cellStyle name="—_GS_PNL_Book7_AUO forecast (GQ)2005_03" xfId="3296" xr:uid="{00000000-0005-0000-0000-0000C90A0000}"/>
    <cellStyle name="—_GS_PNL_Book7_blank industrial template - new" xfId="3297" xr:uid="{00000000-0005-0000-0000-0000CA0A0000}"/>
    <cellStyle name="—_GS_PNL_Book7_BS" xfId="3298" xr:uid="{00000000-0005-0000-0000-0000CB0A0000}"/>
    <cellStyle name="—_GS_PNL_Book7_CK Hutch InvestmentProp Mar 24 2006" xfId="3299" xr:uid="{00000000-0005-0000-0000-0000CC0A0000}"/>
    <cellStyle name="—_GS_PNL_Book7_CKC_Hutch_group structure" xfId="3300" xr:uid="{00000000-0005-0000-0000-0000CD0A0000}"/>
    <cellStyle name="—_GS_PNL_Book7_Eagle" xfId="3301" xr:uid="{00000000-0005-0000-0000-0000CE0A0000}"/>
    <cellStyle name="—_GS_PNL_Book7_HSH under review" xfId="3302" xr:uid="{00000000-0005-0000-0000-0000CF0A0000}"/>
    <cellStyle name="—_GS_PNL_Book7_Hutchison Model 090514" xfId="3303" xr:uid="{00000000-0005-0000-0000-0000D00A0000}"/>
    <cellStyle name="—_GS_PNL_Book7_Novatek forecast 280404" xfId="3304" xr:uid="{00000000-0005-0000-0000-0000D10A0000}"/>
    <cellStyle name="—_GS_PNL_Book7_Prosperity REIT_2006Mar27" xfId="3305" xr:uid="{00000000-0005-0000-0000-0000D20A0000}"/>
    <cellStyle name="—_GS_PNL_Book7_Shangri-La under review" xfId="3306" xr:uid="{00000000-0005-0000-0000-0000D30A0000}"/>
    <cellStyle name="—_GS_PNL_Book8" xfId="3307" xr:uid="{00000000-0005-0000-0000-0000D40A0000}"/>
    <cellStyle name="—_GS_PNL_Book8_CKC_Hutch_group structure" xfId="3308" xr:uid="{00000000-0005-0000-0000-0000D50A0000}"/>
    <cellStyle name="—_GS_PNL_Book8_Hutchison Model 090514" xfId="3309" xr:uid="{00000000-0005-0000-0000-0000D60A0000}"/>
    <cellStyle name="—_GS_PNL_BS" xfId="3310" xr:uid="{00000000-0005-0000-0000-0000D70A0000}"/>
    <cellStyle name="—_GS_PNL_BS_200869 sz - historical" xfId="3311" xr:uid="{00000000-0005-0000-0000-0000D80A0000}"/>
    <cellStyle name="—_GS_PNL_BS_600519.SS" xfId="3312" xr:uid="{00000000-0005-0000-0000-0000D90A0000}"/>
    <cellStyle name="—_GS_PNL_BS_Changyu (200869.SZ)_060330" xfId="3313" xr:uid="{00000000-0005-0000-0000-0000DA0A0000}"/>
    <cellStyle name="—_GS_PNL_BS_China Foods (506.HK)" xfId="3314" xr:uid="{00000000-0005-0000-0000-0000DB0A0000}"/>
    <cellStyle name="—_GS_PNL_BS_COFCO (506.HK)" xfId="3315" xr:uid="{00000000-0005-0000-0000-0000DC0A0000}"/>
    <cellStyle name="—_GS_PNL_BS_COFCO (506.HK)_after spinoff" xfId="3316" xr:uid="{00000000-0005-0000-0000-0000DD0A0000}"/>
    <cellStyle name="—_GS_PNL_BS_COFCO NAV - scenario 060117" xfId="3317" xr:uid="{00000000-0005-0000-0000-0000DE0A0000}"/>
    <cellStyle name="—_GS_PNL_BS_COFCO_051010" xfId="3318" xr:uid="{00000000-0005-0000-0000-0000DF0A0000}"/>
    <cellStyle name="—_GS_PNL_BS_COFCO_backup" xfId="3319" xr:uid="{00000000-0005-0000-0000-0000E00A0000}"/>
    <cellStyle name="—_GS_PNL_Champion REIT under review" xfId="3320" xr:uid="{00000000-0005-0000-0000-0000E10A0000}"/>
    <cellStyle name="—_GS_PNL_Cheng Shin Model" xfId="3321" xr:uid="{00000000-0005-0000-0000-0000E20A0000}"/>
    <cellStyle name="—_GS_PNL_CK Hutch InvestmentProp Mar 24 2006" xfId="3322" xr:uid="{00000000-0005-0000-0000-0000E30A0000}"/>
    <cellStyle name="—_GS_PNL_CKC_Hutch_group structure" xfId="3323" xr:uid="{00000000-0005-0000-0000-0000E40A0000}"/>
    <cellStyle name="—_GS_PNL_Cost of capital" xfId="3324" xr:uid="{00000000-0005-0000-0000-0000E50A0000}"/>
    <cellStyle name="—_GS_PNL_DoCoMo table 10July2000" xfId="3325" xr:uid="{00000000-0005-0000-0000-0000E60A0000}"/>
    <cellStyle name="—_GS_PNL_DoCoMo table 10July2000_AUO consolidated 2004_02" xfId="3326" xr:uid="{00000000-0005-0000-0000-0000E70A0000}"/>
    <cellStyle name="—_GS_PNL_DoCoMo table 10July2000_AUO forecast (GQ)2005_03" xfId="3327" xr:uid="{00000000-0005-0000-0000-0000E80A0000}"/>
    <cellStyle name="—_GS_PNL_DoCoMo table 10July2000_blank industrial template - new" xfId="3328" xr:uid="{00000000-0005-0000-0000-0000E90A0000}"/>
    <cellStyle name="—_GS_PNL_DoCoMo table 10July2000_BS" xfId="3329" xr:uid="{00000000-0005-0000-0000-0000EA0A0000}"/>
    <cellStyle name="—_GS_PNL_DoCoMo table 10July2000_Eagle" xfId="3330" xr:uid="{00000000-0005-0000-0000-0000EB0A0000}"/>
    <cellStyle name="—_GS_PNL_DoCoMo table 10July2000_HSH under review" xfId="3331" xr:uid="{00000000-0005-0000-0000-0000EC0A0000}"/>
    <cellStyle name="—_GS_PNL_DoCoMo table 10July2000_Novatek forecast 280404" xfId="3332" xr:uid="{00000000-0005-0000-0000-0000ED0A0000}"/>
    <cellStyle name="—_GS_PNL_DoCoMo table 10July2000_Prosperity REIT_2006Mar27" xfId="3333" xr:uid="{00000000-0005-0000-0000-0000EE0A0000}"/>
    <cellStyle name="—_GS_PNL_DoCoMo table 10July2000_Shangri-La under review" xfId="3334" xr:uid="{00000000-0005-0000-0000-0000EF0A0000}"/>
    <cellStyle name="—_GS_PNL_Eagle" xfId="3335" xr:uid="{00000000-0005-0000-0000-0000F00A0000}"/>
    <cellStyle name="—_GS_PNL_earnings" xfId="3336" xr:uid="{00000000-0005-0000-0000-0000F10A0000}"/>
    <cellStyle name="—_GS_PNL_earnings_AUO consolidated 2004_02" xfId="3337" xr:uid="{00000000-0005-0000-0000-0000F20A0000}"/>
    <cellStyle name="—_GS_PNL_earnings_AUO forecast (GQ)2005_03" xfId="3338" xr:uid="{00000000-0005-0000-0000-0000F30A0000}"/>
    <cellStyle name="—_GS_PNL_earnings_blank industrial template - new" xfId="3339" xr:uid="{00000000-0005-0000-0000-0000F40A0000}"/>
    <cellStyle name="—_GS_PNL_earnings_BS" xfId="3340" xr:uid="{00000000-0005-0000-0000-0000F50A0000}"/>
    <cellStyle name="—_GS_PNL_earnings_Eagle" xfId="3341" xr:uid="{00000000-0005-0000-0000-0000F60A0000}"/>
    <cellStyle name="—_GS_PNL_earnings_HSH under review" xfId="3342" xr:uid="{00000000-0005-0000-0000-0000F70A0000}"/>
    <cellStyle name="—_GS_PNL_earnings_Novatek forecast 280404" xfId="3343" xr:uid="{00000000-0005-0000-0000-0000F80A0000}"/>
    <cellStyle name="—_GS_PNL_earnings_Prosperity REIT_2006Mar27" xfId="3344" xr:uid="{00000000-0005-0000-0000-0000F90A0000}"/>
    <cellStyle name="—_GS_PNL_earnings_Shangri-La under review" xfId="3345" xr:uid="{00000000-0005-0000-0000-0000FA0A0000}"/>
    <cellStyle name="—_GS_PNL_EM_CMHK" xfId="3346" xr:uid="{00000000-0005-0000-0000-0000FB0A0000}"/>
    <cellStyle name="—_GS_PNL_EM_CMHK_AUO consolidated 2004_02" xfId="3347" xr:uid="{00000000-0005-0000-0000-0000FC0A0000}"/>
    <cellStyle name="—_GS_PNL_EM_CMHK_AUO forecast (GQ)2005_03" xfId="3348" xr:uid="{00000000-0005-0000-0000-0000FD0A0000}"/>
    <cellStyle name="—_GS_PNL_EM_CMHK_blank industrial template - new" xfId="3349" xr:uid="{00000000-0005-0000-0000-0000FE0A0000}"/>
    <cellStyle name="—_GS_PNL_EM_CMHK_BS" xfId="3350" xr:uid="{00000000-0005-0000-0000-0000FF0A0000}"/>
    <cellStyle name="—_GS_PNL_EM_CMHK_Eagle" xfId="3351" xr:uid="{00000000-0005-0000-0000-0000000B0000}"/>
    <cellStyle name="—_GS_PNL_EM_CMHK_HSH under review" xfId="3352" xr:uid="{00000000-0005-0000-0000-0000010B0000}"/>
    <cellStyle name="—_GS_PNL_EM_CMHK_Novatek forecast 280404" xfId="3353" xr:uid="{00000000-0005-0000-0000-0000020B0000}"/>
    <cellStyle name="—_GS_PNL_EM_CMHK_Prosperity REIT_2006Mar27" xfId="3354" xr:uid="{00000000-0005-0000-0000-0000030B0000}"/>
    <cellStyle name="—_GS_PNL_EM_CMHK_Shangri-La under review" xfId="3355" xr:uid="{00000000-0005-0000-0000-0000040B0000}"/>
    <cellStyle name="—_GS_PNL_EM_FETone_new" xfId="3356" xr:uid="{00000000-0005-0000-0000-0000050B0000}"/>
    <cellStyle name="—_GS_PNL_EM_FETone_new_AUO consolidated 2004_02" xfId="3357" xr:uid="{00000000-0005-0000-0000-0000060B0000}"/>
    <cellStyle name="—_GS_PNL_EM_FETone_new_AUO forecast (GQ)2005_03" xfId="3358" xr:uid="{00000000-0005-0000-0000-0000070B0000}"/>
    <cellStyle name="—_GS_PNL_EM_FETone_new_blank industrial template - new" xfId="3359" xr:uid="{00000000-0005-0000-0000-0000080B0000}"/>
    <cellStyle name="—_GS_PNL_EM_FETone_new_BS" xfId="3360" xr:uid="{00000000-0005-0000-0000-0000090B0000}"/>
    <cellStyle name="—_GS_PNL_EM_FETone_new_Eagle" xfId="3361" xr:uid="{00000000-0005-0000-0000-00000A0B0000}"/>
    <cellStyle name="—_GS_PNL_EM_FETone_new_HSH under review" xfId="3362" xr:uid="{00000000-0005-0000-0000-00000B0B0000}"/>
    <cellStyle name="—_GS_PNL_EM_FETone_new_Novatek forecast 280404" xfId="3363" xr:uid="{00000000-0005-0000-0000-00000C0B0000}"/>
    <cellStyle name="—_GS_PNL_EM_FETone_new_Prosperity REIT_2006Mar27" xfId="3364" xr:uid="{00000000-0005-0000-0000-00000D0B0000}"/>
    <cellStyle name="—_GS_PNL_EM_FETone_new_Shangri-La under review" xfId="3365" xr:uid="{00000000-0005-0000-0000-00000E0B0000}"/>
    <cellStyle name="—_GS_PNL_EM_NZT" xfId="3366" xr:uid="{00000000-0005-0000-0000-00000F0B0000}"/>
    <cellStyle name="—_GS_PNL_EM_NZT_BS" xfId="3367" xr:uid="{00000000-0005-0000-0000-0000100B0000}"/>
    <cellStyle name="—_GS_PNL_EM_NZT_BS_200869 sz - historical" xfId="3368" xr:uid="{00000000-0005-0000-0000-0000110B0000}"/>
    <cellStyle name="—_GS_PNL_EM_NZT_BS_600519.SS" xfId="3369" xr:uid="{00000000-0005-0000-0000-0000120B0000}"/>
    <cellStyle name="—_GS_PNL_EM_NZT_BS_Changyu (200869.SZ)_060330" xfId="3370" xr:uid="{00000000-0005-0000-0000-0000130B0000}"/>
    <cellStyle name="—_GS_PNL_EM_NZT_BS_China Foods (506.HK)" xfId="3371" xr:uid="{00000000-0005-0000-0000-0000140B0000}"/>
    <cellStyle name="—_GS_PNL_EM_NZT_BS_COFCO (506.HK)" xfId="3372" xr:uid="{00000000-0005-0000-0000-0000150B0000}"/>
    <cellStyle name="—_GS_PNL_EM_NZT_BS_COFCO (506.HK)_after spinoff" xfId="3373" xr:uid="{00000000-0005-0000-0000-0000160B0000}"/>
    <cellStyle name="—_GS_PNL_EM_NZT_BS_COFCO NAV - scenario 060117" xfId="3374" xr:uid="{00000000-0005-0000-0000-0000170B0000}"/>
    <cellStyle name="—_GS_PNL_EM_NZT_BS_COFCO_051010" xfId="3375" xr:uid="{00000000-0005-0000-0000-0000180B0000}"/>
    <cellStyle name="—_GS_PNL_EM_NZT_BS_COFCO_backup" xfId="3376" xr:uid="{00000000-0005-0000-0000-0000190B0000}"/>
    <cellStyle name="—_GS_PNL_EM_NZT_CKC_Hutch_group structure" xfId="3377" xr:uid="{00000000-0005-0000-0000-00001A0B0000}"/>
    <cellStyle name="—_GS_PNL_EM_NZT_Cost of capital" xfId="3378" xr:uid="{00000000-0005-0000-0000-00001B0B0000}"/>
    <cellStyle name="—_GS_PNL_EM_NZT_HSH under review" xfId="3379" xr:uid="{00000000-0005-0000-0000-00001C0B0000}"/>
    <cellStyle name="—_GS_PNL_EM_NZT_Shangri-La under review" xfId="3380" xr:uid="{00000000-0005-0000-0000-00001D0B0000}"/>
    <cellStyle name="—_GS_PNL_EM_NZT_Yifan template 2" xfId="3381" xr:uid="{00000000-0005-0000-0000-00001E0B0000}"/>
    <cellStyle name="—_GS_PNL_EM_NZT_Yifan template 2_200869 sz - historical" xfId="3382" xr:uid="{00000000-0005-0000-0000-00001F0B0000}"/>
    <cellStyle name="—_GS_PNL_EM_NZT_Yifan template 2_600519.SS" xfId="3383" xr:uid="{00000000-0005-0000-0000-0000200B0000}"/>
    <cellStyle name="—_GS_PNL_EM_NZT_Yifan template 2_Changyu (200869.SZ)_060330" xfId="3384" xr:uid="{00000000-0005-0000-0000-0000210B0000}"/>
    <cellStyle name="—_GS_PNL_EM_NZT_Yifan template 2_China Foods (506.HK)" xfId="3385" xr:uid="{00000000-0005-0000-0000-0000220B0000}"/>
    <cellStyle name="—_GS_PNL_EM_NZT_Yifan template 2_COFCO (506.HK)" xfId="3386" xr:uid="{00000000-0005-0000-0000-0000230B0000}"/>
    <cellStyle name="—_GS_PNL_EM_NZT_Yifan template 2_COFCO (506.HK)_after spinoff" xfId="3387" xr:uid="{00000000-0005-0000-0000-0000240B0000}"/>
    <cellStyle name="—_GS_PNL_EM_NZT_Yifan template 2_COFCO NAV - scenario 060117" xfId="3388" xr:uid="{00000000-0005-0000-0000-0000250B0000}"/>
    <cellStyle name="—_GS_PNL_EM_NZT_Yifan template 2_COFCO_051010" xfId="3389" xr:uid="{00000000-0005-0000-0000-0000260B0000}"/>
    <cellStyle name="—_GS_PNL_EM_NZT_Yifan template 2_COFCO_backup" xfId="3390" xr:uid="{00000000-0005-0000-0000-0000270B0000}"/>
    <cellStyle name="—_GS_PNL_EM_TCC_new" xfId="3391" xr:uid="{00000000-0005-0000-0000-0000280B0000}"/>
    <cellStyle name="—_GS_PNL_EM_TCC_new_AUO consolidated 2004_02" xfId="3392" xr:uid="{00000000-0005-0000-0000-0000290B0000}"/>
    <cellStyle name="—_GS_PNL_EM_TCC_new_AUO forecast (GQ)2005_03" xfId="3393" xr:uid="{00000000-0005-0000-0000-00002A0B0000}"/>
    <cellStyle name="—_GS_PNL_EM_TCC_new_blank industrial template - new" xfId="3394" xr:uid="{00000000-0005-0000-0000-00002B0B0000}"/>
    <cellStyle name="—_GS_PNL_EM_TCC_new_BS" xfId="3395" xr:uid="{00000000-0005-0000-0000-00002C0B0000}"/>
    <cellStyle name="—_GS_PNL_EM_TCC_new_Eagle" xfId="3396" xr:uid="{00000000-0005-0000-0000-00002D0B0000}"/>
    <cellStyle name="—_GS_PNL_EM_TCC_new_HSH under review" xfId="3397" xr:uid="{00000000-0005-0000-0000-00002E0B0000}"/>
    <cellStyle name="—_GS_PNL_EM_TCC_new_Novatek forecast 280404" xfId="3398" xr:uid="{00000000-0005-0000-0000-00002F0B0000}"/>
    <cellStyle name="—_GS_PNL_EM_TCC_new_Prosperity REIT_2006Mar27" xfId="3399" xr:uid="{00000000-0005-0000-0000-0000300B0000}"/>
    <cellStyle name="—_GS_PNL_EM_TCC_new_Shangri-La under review" xfId="3400" xr:uid="{00000000-0005-0000-0000-0000310B0000}"/>
    <cellStyle name="—_GS_PNL_EM-Optus" xfId="3401" xr:uid="{00000000-0005-0000-0000-0000320B0000}"/>
    <cellStyle name="—_GS_PNL_EM-Optus_AUO consolidated 2004_02" xfId="3402" xr:uid="{00000000-0005-0000-0000-0000330B0000}"/>
    <cellStyle name="—_GS_PNL_EM-Optus_AUO forecast (GQ)2005_03" xfId="3403" xr:uid="{00000000-0005-0000-0000-0000340B0000}"/>
    <cellStyle name="—_GS_PNL_EM-Optus_blank industrial template - new" xfId="3404" xr:uid="{00000000-0005-0000-0000-0000350B0000}"/>
    <cellStyle name="—_GS_PNL_EM-Optus_Book6" xfId="3405" xr:uid="{00000000-0005-0000-0000-0000360B0000}"/>
    <cellStyle name="—_GS_PNL_EM-Optus_BS" xfId="3406" xr:uid="{00000000-0005-0000-0000-0000370B0000}"/>
    <cellStyle name="—_GS_PNL_EM-Optus_BS_200869 sz - historical" xfId="3407" xr:uid="{00000000-0005-0000-0000-0000380B0000}"/>
    <cellStyle name="—_GS_PNL_EM-Optus_BS_600519.SS" xfId="3408" xr:uid="{00000000-0005-0000-0000-0000390B0000}"/>
    <cellStyle name="—_GS_PNL_EM-Optus_BS_Changyu (200869.SZ)_060330" xfId="3409" xr:uid="{00000000-0005-0000-0000-00003A0B0000}"/>
    <cellStyle name="—_GS_PNL_EM-Optus_BS_China Foods (506.HK)" xfId="3410" xr:uid="{00000000-0005-0000-0000-00003B0B0000}"/>
    <cellStyle name="—_GS_PNL_EM-Optus_BS_COFCO (506.HK)" xfId="3411" xr:uid="{00000000-0005-0000-0000-00003C0B0000}"/>
    <cellStyle name="—_GS_PNL_EM-Optus_BS_COFCO (506.HK)_after spinoff" xfId="3412" xr:uid="{00000000-0005-0000-0000-00003D0B0000}"/>
    <cellStyle name="—_GS_PNL_EM-Optus_BS_COFCO NAV - scenario 060117" xfId="3413" xr:uid="{00000000-0005-0000-0000-00003E0B0000}"/>
    <cellStyle name="—_GS_PNL_EM-Optus_BS_COFCO_051010" xfId="3414" xr:uid="{00000000-0005-0000-0000-00003F0B0000}"/>
    <cellStyle name="—_GS_PNL_EM-Optus_BS_COFCO_backup" xfId="3415" xr:uid="{00000000-0005-0000-0000-0000400B0000}"/>
    <cellStyle name="—_GS_PNL_EM-Optus_Champion REIT under review" xfId="3416" xr:uid="{00000000-0005-0000-0000-0000410B0000}"/>
    <cellStyle name="—_GS_PNL_EM-Optus_Cheng Shin Model" xfId="3417" xr:uid="{00000000-0005-0000-0000-0000420B0000}"/>
    <cellStyle name="—_GS_PNL_EM-Optus_CK Hutch InvestmentProp Mar 24 2006" xfId="3418" xr:uid="{00000000-0005-0000-0000-0000430B0000}"/>
    <cellStyle name="—_GS_PNL_EM-Optus_CKC_Hutch_group structure" xfId="3419" xr:uid="{00000000-0005-0000-0000-0000440B0000}"/>
    <cellStyle name="—_GS_PNL_EM-Optus_Cost of capital" xfId="3420" xr:uid="{00000000-0005-0000-0000-0000450B0000}"/>
    <cellStyle name="—_GS_PNL_EM-Optus_Eagle" xfId="3421" xr:uid="{00000000-0005-0000-0000-0000460B0000}"/>
    <cellStyle name="—_GS_PNL_EM-Optus_Great Eagle 080425" xfId="3422" xr:uid="{00000000-0005-0000-0000-0000470B0000}"/>
    <cellStyle name="—_GS_PNL_EM-Optus_HLG stub" xfId="3423" xr:uid="{00000000-0005-0000-0000-0000480B0000}"/>
    <cellStyle name="—_GS_PNL_EM-Optus_HSH under review" xfId="3424" xr:uid="{00000000-0005-0000-0000-0000490B0000}"/>
    <cellStyle name="—_GS_PNL_EM-Optus_Hutchison Model 090514" xfId="3425" xr:uid="{00000000-0005-0000-0000-00004A0B0000}"/>
    <cellStyle name="—_GS_PNL_EM-Optus_Hysan" xfId="3426" xr:uid="{00000000-0005-0000-0000-00004B0B0000}"/>
    <cellStyle name="—_GS_PNL_EM-Optus_Landlords" xfId="3427" xr:uid="{00000000-0005-0000-0000-00004C0B0000}"/>
    <cellStyle name="—_GS_PNL_EM-Optus_MN071101" xfId="3428" xr:uid="{00000000-0005-0000-0000-00004D0B0000}"/>
    <cellStyle name="—_GS_PNL_EM-Optus_MN-Langham" xfId="3429" xr:uid="{00000000-0005-0000-0000-00004E0B0000}"/>
    <cellStyle name="—_GS_PNL_EM-Optus_Novatek forecast 280404" xfId="3430" xr:uid="{00000000-0005-0000-0000-00004F0B0000}"/>
    <cellStyle name="—_GS_PNL_EM-Optus_Office supply &amp; demand" xfId="3431" xr:uid="{00000000-0005-0000-0000-0000500B0000}"/>
    <cellStyle name="—_GS_PNL_EM-Optus_Prosperity REIT_2006Mar27" xfId="3432" xr:uid="{00000000-0005-0000-0000-0000510B0000}"/>
    <cellStyle name="—_GS_PNL_EM-Optus_RPT-Developers-2008Sep" xfId="3433" xr:uid="{00000000-0005-0000-0000-0000520B0000}"/>
    <cellStyle name="—_GS_PNL_EM-Optus_RPT-Hongkong Land 080430" xfId="3434" xr:uid="{00000000-0005-0000-0000-0000530B0000}"/>
    <cellStyle name="—_GS_PNL_EM-Optus_RPT-Landlords-2008Sep" xfId="3435" xr:uid="{00000000-0005-0000-0000-0000540B0000}"/>
    <cellStyle name="—_GS_PNL_EM-Optus_Shangri-La under review" xfId="3436" xr:uid="{00000000-0005-0000-0000-0000550B0000}"/>
    <cellStyle name="—_GS_PNL_EM-Optus_Yifan template 2" xfId="3437" xr:uid="{00000000-0005-0000-0000-0000560B0000}"/>
    <cellStyle name="—_GS_PNL_EM-Optus_Yifan template 2_200869 sz - historical" xfId="3438" xr:uid="{00000000-0005-0000-0000-0000570B0000}"/>
    <cellStyle name="—_GS_PNL_EM-Optus_Yifan template 2_600519.SS" xfId="3439" xr:uid="{00000000-0005-0000-0000-0000580B0000}"/>
    <cellStyle name="—_GS_PNL_EM-Optus_Yifan template 2_Changyu (200869.SZ)_060330" xfId="3440" xr:uid="{00000000-0005-0000-0000-0000590B0000}"/>
    <cellStyle name="—_GS_PNL_EM-Optus_Yifan template 2_China Foods (506.HK)" xfId="3441" xr:uid="{00000000-0005-0000-0000-00005A0B0000}"/>
    <cellStyle name="—_GS_PNL_EM-Optus_Yifan template 2_COFCO (506.HK)" xfId="3442" xr:uid="{00000000-0005-0000-0000-00005B0B0000}"/>
    <cellStyle name="—_GS_PNL_EM-Optus_Yifan template 2_COFCO (506.HK)_after spinoff" xfId="3443" xr:uid="{00000000-0005-0000-0000-00005C0B0000}"/>
    <cellStyle name="—_GS_PNL_EM-Optus_Yifan template 2_COFCO NAV - scenario 060117" xfId="3444" xr:uid="{00000000-0005-0000-0000-00005D0B0000}"/>
    <cellStyle name="—_GS_PNL_EM-Optus_Yifan template 2_COFCO_051010" xfId="3445" xr:uid="{00000000-0005-0000-0000-00005E0B0000}"/>
    <cellStyle name="—_GS_PNL_EM-Optus_Yifan template 2_COFCO_backup" xfId="3446" xr:uid="{00000000-0005-0000-0000-00005F0B0000}"/>
    <cellStyle name="—_GS_PNL_EM-PLDT consolidated - aug 1 00" xfId="3447" xr:uid="{00000000-0005-0000-0000-0000600B0000}"/>
    <cellStyle name="—_GS_PNL_EM-PLDT consolidated - mar 5 01" xfId="3448" xr:uid="{00000000-0005-0000-0000-0000610B0000}"/>
    <cellStyle name="—_GS_PNL_EM-PLDT consolidated - mar 5 01_CKC_Hutch_group structure" xfId="3449" xr:uid="{00000000-0005-0000-0000-0000620B0000}"/>
    <cellStyle name="—_GS_PNL_FCFC-GSoutput 12Aug04" xfId="3450" xr:uid="{00000000-0005-0000-0000-0000630B0000}"/>
    <cellStyle name="—_GS_PNL_Feb01report" xfId="3451" xr:uid="{00000000-0005-0000-0000-0000640B0000}"/>
    <cellStyle name="—_GS_PNL_Feb01report_NAV" xfId="3452" xr:uid="{00000000-0005-0000-0000-0000650B0000}"/>
    <cellStyle name="—_GS_PNL_Feb01report_QP_0019.HK" xfId="3453" xr:uid="{00000000-0005-0000-0000-0000660B0000}"/>
    <cellStyle name="—_GS_PNL_Feb01report_Swire Model" xfId="3454" xr:uid="{00000000-0005-0000-0000-0000670B0000}"/>
    <cellStyle name="—_GS_PNL_Feb01report_SWIRESS" xfId="3455" xr:uid="{00000000-0005-0000-0000-0000680B0000}"/>
    <cellStyle name="—_GS_PNL_FPACSS" xfId="3456" xr:uid="{00000000-0005-0000-0000-0000690B0000}"/>
    <cellStyle name="—_GS_PNL_FPC-MSTR Quantum" xfId="3457" xr:uid="{00000000-0005-0000-0000-00006A0B0000}"/>
    <cellStyle name="—_GS_PNL_GlobalValuation_Japan" xfId="3458" xr:uid="{00000000-0005-0000-0000-00006B0B0000}"/>
    <cellStyle name="—_GS_PNL_Great Eagle 080425" xfId="3459" xr:uid="{00000000-0005-0000-0000-00006C0B0000}"/>
    <cellStyle name="—_GS_PNL_HLG stub" xfId="3460" xr:uid="{00000000-0005-0000-0000-00006D0B0000}"/>
    <cellStyle name="—_GS_PNL_HSH under review" xfId="3461" xr:uid="{00000000-0005-0000-0000-00006E0B0000}"/>
    <cellStyle name="—_GS_PNL_Hutchison Model 090514" xfId="3462" xr:uid="{00000000-0005-0000-0000-00006F0B0000}"/>
    <cellStyle name="—_GS_PNL_hutchss" xfId="3463" xr:uid="{00000000-0005-0000-0000-0000700B0000}"/>
    <cellStyle name="—_GS_PNL_Hysan" xfId="3464" xr:uid="{00000000-0005-0000-0000-0000710B0000}"/>
    <cellStyle name="—_GS_PNL_IPOmaster" xfId="3465" xr:uid="{00000000-0005-0000-0000-0000720B0000}"/>
    <cellStyle name="—_GS_PNL_JMATHSS" xfId="3466" xr:uid="{00000000-0005-0000-0000-0000730B0000}"/>
    <cellStyle name="—_GS_PNL_JT CROCI" xfId="3467" xr:uid="{00000000-0005-0000-0000-0000740B0000}"/>
    <cellStyle name="—_GS_PNL_KDDI CROCI" xfId="3468" xr:uid="{00000000-0005-0000-0000-0000750B0000}"/>
    <cellStyle name="—_GS_PNL_Landlords" xfId="3469" xr:uid="{00000000-0005-0000-0000-0000760B0000}"/>
    <cellStyle name="—_GS_PNL_li&amp;fungSS" xfId="3470" xr:uid="{00000000-0005-0000-0000-0000770B0000}"/>
    <cellStyle name="—_GS_PNL_MASTER" xfId="3471" xr:uid="{00000000-0005-0000-0000-0000780B0000}"/>
    <cellStyle name="—_GS_PNL_MN071101" xfId="3472" xr:uid="{00000000-0005-0000-0000-0000790B0000}"/>
    <cellStyle name="—_GS_PNL_MN-Langham" xfId="3473" xr:uid="{00000000-0005-0000-0000-00007A0B0000}"/>
    <cellStyle name="—_GS_PNL_Novatek forecast" xfId="3474" xr:uid="{00000000-0005-0000-0000-00007B0B0000}"/>
    <cellStyle name="—_GS_PNL_Novatek forecast 280404" xfId="3475" xr:uid="{00000000-0005-0000-0000-00007C0B0000}"/>
    <cellStyle name="—_GS_PNL_NTT CROCI" xfId="3476" xr:uid="{00000000-0005-0000-0000-00007D0B0000}"/>
    <cellStyle name="—_GS_PNL_NTT proportionate" xfId="3477" xr:uid="{00000000-0005-0000-0000-00007E0B0000}"/>
    <cellStyle name="—_GS_PNL_Office supply &amp; demand" xfId="3478" xr:uid="{00000000-0005-0000-0000-00007F0B0000}"/>
    <cellStyle name="—_GS_PNL_operating stats comp" xfId="3479" xr:uid="{00000000-0005-0000-0000-0000800B0000}"/>
    <cellStyle name="—_GS_PNL_operating stats comp_AUO consolidated 2004_02" xfId="3480" xr:uid="{00000000-0005-0000-0000-0000810B0000}"/>
    <cellStyle name="—_GS_PNL_operating stats comp_AUO forecast (GQ)2005_03" xfId="3481" xr:uid="{00000000-0005-0000-0000-0000820B0000}"/>
    <cellStyle name="—_GS_PNL_operating stats comp_blank industrial template - new" xfId="3482" xr:uid="{00000000-0005-0000-0000-0000830B0000}"/>
    <cellStyle name="—_GS_PNL_operating stats comp_BS" xfId="3483" xr:uid="{00000000-0005-0000-0000-0000840B0000}"/>
    <cellStyle name="—_GS_PNL_operating stats comp_Eagle" xfId="3484" xr:uid="{00000000-0005-0000-0000-0000850B0000}"/>
    <cellStyle name="—_GS_PNL_operating stats comp_HSH under review" xfId="3485" xr:uid="{00000000-0005-0000-0000-0000860B0000}"/>
    <cellStyle name="—_GS_PNL_operating stats comp_Novatek forecast 280404" xfId="3486" xr:uid="{00000000-0005-0000-0000-0000870B0000}"/>
    <cellStyle name="—_GS_PNL_operating stats comp_Prosperity REIT_2006Mar27" xfId="3487" xr:uid="{00000000-0005-0000-0000-0000880B0000}"/>
    <cellStyle name="—_GS_PNL_operating stats comp_Shangri-La under review" xfId="3488" xr:uid="{00000000-0005-0000-0000-0000890B0000}"/>
    <cellStyle name="—_GS_PNL_Prop Dev" xfId="3489" xr:uid="{00000000-0005-0000-0000-00008A0B0000}"/>
    <cellStyle name="—_GS_PNL_Prosperity REIT_2006Mar27" xfId="3490" xr:uid="{00000000-0005-0000-0000-00008B0B0000}"/>
    <cellStyle name="—_GS_PNL_RPT-Developers-2008Sep" xfId="3491" xr:uid="{00000000-0005-0000-0000-00008C0B0000}"/>
    <cellStyle name="—_GS_PNL_RPT-Hongkong Land 080430" xfId="3492" xr:uid="{00000000-0005-0000-0000-00008D0B0000}"/>
    <cellStyle name="—_GS_PNL_RPT-Landlords-2008Sep" xfId="3493" xr:uid="{00000000-0005-0000-0000-00008E0B0000}"/>
    <cellStyle name="—_GS_PNL_Shangri-La under review" xfId="3494" xr:uid="{00000000-0005-0000-0000-00008F0B0000}"/>
    <cellStyle name="—_GS_PNL_Sheet1" xfId="3495" xr:uid="{00000000-0005-0000-0000-0000900B0000}"/>
    <cellStyle name="—_GS_PNL_ShunTakSS" xfId="3496" xr:uid="{00000000-0005-0000-0000-0000910B0000}"/>
    <cellStyle name="—_GS_PNL_Strategy_data_update" xfId="3497" xr:uid="{00000000-0005-0000-0000-0000920B0000}"/>
    <cellStyle name="—_GS_PNL_Strategy_data_update_AUO consolidated 2004_02" xfId="3498" xr:uid="{00000000-0005-0000-0000-0000930B0000}"/>
    <cellStyle name="—_GS_PNL_Strategy_data_update_AUO forecast (GQ)2005_03" xfId="3499" xr:uid="{00000000-0005-0000-0000-0000940B0000}"/>
    <cellStyle name="—_GS_PNL_Strategy_data_update_blank industrial template - new" xfId="3500" xr:uid="{00000000-0005-0000-0000-0000950B0000}"/>
    <cellStyle name="—_GS_PNL_Strategy_data_update_BS" xfId="3501" xr:uid="{00000000-0005-0000-0000-0000960B0000}"/>
    <cellStyle name="—_GS_PNL_Strategy_data_update_Eagle" xfId="3502" xr:uid="{00000000-0005-0000-0000-0000970B0000}"/>
    <cellStyle name="—_GS_PNL_Strategy_data_update_HSH under review" xfId="3503" xr:uid="{00000000-0005-0000-0000-0000980B0000}"/>
    <cellStyle name="—_GS_PNL_Strategy_data_update_Novatek forecast 280404" xfId="3504" xr:uid="{00000000-0005-0000-0000-0000990B0000}"/>
    <cellStyle name="—_GS_PNL_Strategy_data_update_Prosperity REIT_2006Mar27" xfId="3505" xr:uid="{00000000-0005-0000-0000-00009A0B0000}"/>
    <cellStyle name="—_GS_PNL_Strategy_data_update_Shangri-La under review" xfId="3506" xr:uid="{00000000-0005-0000-0000-00009B0B0000}"/>
    <cellStyle name="—_GS_PNL_SWIRESS" xfId="3507" xr:uid="{00000000-0005-0000-0000-00009C0B0000}"/>
    <cellStyle name="—_GS_PNL_Synnex Model" xfId="3508" xr:uid="{00000000-0005-0000-0000-00009D0B0000}"/>
    <cellStyle name="—_GS_PNL_WHARFSS" xfId="3509" xr:uid="{00000000-0005-0000-0000-00009E0B0000}"/>
    <cellStyle name="—_GS_PNL_WHARFSS_CKC_Hutch_group structure" xfId="3510" xr:uid="{00000000-0005-0000-0000-00009F0B0000}"/>
    <cellStyle name="—_GS_PNL_WHARFSS_Hutchison Model" xfId="3511" xr:uid="{00000000-0005-0000-0000-0000A00B0000}"/>
    <cellStyle name="—_GS_PNL_WHARFSS_Hutchison Model 090514" xfId="3512" xr:uid="{00000000-0005-0000-0000-0000A10B0000}"/>
    <cellStyle name="—_GS_PNL_WHARFSS_hutchss" xfId="3513" xr:uid="{00000000-0005-0000-0000-0000A20B0000}"/>
    <cellStyle name="—_GS_PNL_WHARFSS_NAV" xfId="3514" xr:uid="{00000000-0005-0000-0000-0000A30B0000}"/>
    <cellStyle name="—_GS_PNL_WHARFSS_Prop Dev" xfId="3515" xr:uid="{00000000-0005-0000-0000-0000A40B0000}"/>
    <cellStyle name="—_GS_PNL_Yifan template 2" xfId="3516" xr:uid="{00000000-0005-0000-0000-0000A50B0000}"/>
    <cellStyle name="—_GS_PNL_Yifan template 2_200869 sz - historical" xfId="3517" xr:uid="{00000000-0005-0000-0000-0000A60B0000}"/>
    <cellStyle name="—_GS_PNL_Yifan template 2_600519.SS" xfId="3518" xr:uid="{00000000-0005-0000-0000-0000A70B0000}"/>
    <cellStyle name="—_GS_PNL_Yifan template 2_Changyu (200869.SZ)_060330" xfId="3519" xr:uid="{00000000-0005-0000-0000-0000A80B0000}"/>
    <cellStyle name="—_GS_PNL_Yifan template 2_China Foods (506.HK)" xfId="3520" xr:uid="{00000000-0005-0000-0000-0000A90B0000}"/>
    <cellStyle name="—_GS_PNL_Yifan template 2_COFCO (506.HK)" xfId="3521" xr:uid="{00000000-0005-0000-0000-0000AA0B0000}"/>
    <cellStyle name="—_GS_PNL_Yifan template 2_COFCO (506.HK)_after spinoff" xfId="3522" xr:uid="{00000000-0005-0000-0000-0000AB0B0000}"/>
    <cellStyle name="—_GS_PNL_Yifan template 2_COFCO NAV - scenario 060117" xfId="3523" xr:uid="{00000000-0005-0000-0000-0000AC0B0000}"/>
    <cellStyle name="—_GS_PNL_Yifan template 2_COFCO_051010" xfId="3524" xr:uid="{00000000-0005-0000-0000-0000AD0B0000}"/>
    <cellStyle name="—_GS_PNL_Yifan template 2_COFCO_backup" xfId="3525" xr:uid="{00000000-0005-0000-0000-0000AE0B0000}"/>
    <cellStyle name="—_GS_PNL_Zhenhai-MSTR" xfId="3526" xr:uid="{00000000-0005-0000-0000-0000AF0B0000}"/>
    <cellStyle name="_Heading" xfId="424" xr:uid="{00000000-0005-0000-0000-0000B00B0000}"/>
    <cellStyle name="_Heading_Book6" xfId="3527" xr:uid="{00000000-0005-0000-0000-0000B10B0000}"/>
    <cellStyle name="_Heading_HLG stub" xfId="3528" xr:uid="{00000000-0005-0000-0000-0000B20B0000}"/>
    <cellStyle name="_Heading_Hysan" xfId="3529" xr:uid="{00000000-0005-0000-0000-0000B30B0000}"/>
    <cellStyle name="_Heading_Kerry being edited (Justin)" xfId="3530" xr:uid="{00000000-0005-0000-0000-0000B40B0000}"/>
    <cellStyle name="_Heading_Landlords" xfId="3531" xr:uid="{00000000-0005-0000-0000-0000B50B0000}"/>
    <cellStyle name="_Heading_MN070625" xfId="3532" xr:uid="{00000000-0005-0000-0000-0000B60B0000}"/>
    <cellStyle name="_Heading_MN070914" xfId="3533" xr:uid="{00000000-0005-0000-0000-0000B70B0000}"/>
    <cellStyle name="_Heading_Office supply &amp; demand" xfId="3534" xr:uid="{00000000-0005-0000-0000-0000B80B0000}"/>
    <cellStyle name="_Heading_prestemp" xfId="425" xr:uid="{00000000-0005-0000-0000-0000B90B0000}"/>
    <cellStyle name="_Heading_prestemp_Book1" xfId="3535" xr:uid="{00000000-0005-0000-0000-0000BA0B0000}"/>
    <cellStyle name="_Heading_prestemp_Book2" xfId="3536" xr:uid="{00000000-0005-0000-0000-0000BB0B0000}"/>
    <cellStyle name="_Heading_prestemp_Descriptive data for report" xfId="3537" xr:uid="{00000000-0005-0000-0000-0000BC0B0000}"/>
    <cellStyle name="_Heading_prestemp_Eagle" xfId="3538" xr:uid="{00000000-0005-0000-0000-0000BD0B0000}"/>
    <cellStyle name="_Heading_prestemp_Regal REIT_afterlisting" xfId="3539" xr:uid="{00000000-0005-0000-0000-0000BE0B0000}"/>
    <cellStyle name="_Heading_prestemp_Room assumptions" xfId="3540" xr:uid="{00000000-0005-0000-0000-0000BF0B0000}"/>
    <cellStyle name="_Heading_prestemp_Shangri-La" xfId="3541" xr:uid="{00000000-0005-0000-0000-0000C00B0000}"/>
    <cellStyle name="_Heading_RPT-Developers-2008Sep" xfId="3542" xr:uid="{00000000-0005-0000-0000-0000C10B0000}"/>
    <cellStyle name="_Heading_RPT-Hongkong Land 080430" xfId="3543" xr:uid="{00000000-0005-0000-0000-0000C20B0000}"/>
    <cellStyle name="_Heading_RPT-Landlords-2008Sep" xfId="3544" xr:uid="{00000000-0005-0000-0000-0000C30B0000}"/>
    <cellStyle name="_Highlight" xfId="426" xr:uid="{00000000-0005-0000-0000-0000C40B0000}"/>
    <cellStyle name="—_hist NAV" xfId="3545" xr:uid="{00000000-0005-0000-0000-0000C50B0000}"/>
    <cellStyle name="_Hkland" xfId="3546" xr:uid="{00000000-0005-0000-0000-0000C60B0000}"/>
    <cellStyle name="—_HKT_val_delete" xfId="3547" xr:uid="{00000000-0005-0000-0000-0000C70B0000}"/>
    <cellStyle name="—_HKT_val_delete_CKC_Hutch_group structure" xfId="3548" xr:uid="{00000000-0005-0000-0000-0000C80B0000}"/>
    <cellStyle name="—_HKT_val_delete_European Mktg - May99" xfId="3549" xr:uid="{00000000-0005-0000-0000-0000C90B0000}"/>
    <cellStyle name="—_HKT_val_delete_European Mktg - May99_CKC_Hutch_group structure" xfId="3550" xr:uid="{00000000-0005-0000-0000-0000CA0B0000}"/>
    <cellStyle name="—_HKT_val_delete_European Mktg - May99_Feb01report" xfId="3551" xr:uid="{00000000-0005-0000-0000-0000CB0B0000}"/>
    <cellStyle name="—_HKT_val_delete_European Mktg - May99_Feb01report_NAV" xfId="3552" xr:uid="{00000000-0005-0000-0000-0000CC0B0000}"/>
    <cellStyle name="—_HKT_val_delete_European Mktg - May99_Feb01report_QP_0019.HK" xfId="3553" xr:uid="{00000000-0005-0000-0000-0000CD0B0000}"/>
    <cellStyle name="—_HKT_val_delete_European Mktg - May99_Feb01report_Swire Model" xfId="3554" xr:uid="{00000000-0005-0000-0000-0000CE0B0000}"/>
    <cellStyle name="—_HKT_val_delete_European Mktg - May99_Feb01report_SWIRESS" xfId="3555" xr:uid="{00000000-0005-0000-0000-0000CF0B0000}"/>
    <cellStyle name="—_HKT_val_delete_European Mktg - May99_Hutchison Model" xfId="3556" xr:uid="{00000000-0005-0000-0000-0000D00B0000}"/>
    <cellStyle name="—_HKT_val_delete_European Mktg - May99_Hutchison Model 090514" xfId="3557" xr:uid="{00000000-0005-0000-0000-0000D10B0000}"/>
    <cellStyle name="—_HKT_val_delete_European Mktg - May99_hutchss" xfId="3558" xr:uid="{00000000-0005-0000-0000-0000D20B0000}"/>
    <cellStyle name="—_HKT_val_delete_European Mktg - May99_NAV" xfId="3559" xr:uid="{00000000-0005-0000-0000-0000D30B0000}"/>
    <cellStyle name="—_HKT_val_delete_European Mktg - May99_Prop Dev" xfId="3560" xr:uid="{00000000-0005-0000-0000-0000D40B0000}"/>
    <cellStyle name="—_HKT_val_delete_Feb01report" xfId="3561" xr:uid="{00000000-0005-0000-0000-0000D50B0000}"/>
    <cellStyle name="—_HKT_val_delete_Feb01report_NAV" xfId="3562" xr:uid="{00000000-0005-0000-0000-0000D60B0000}"/>
    <cellStyle name="—_HKT_val_delete_Feb01report_QP_0019.HK" xfId="3563" xr:uid="{00000000-0005-0000-0000-0000D70B0000}"/>
    <cellStyle name="—_HKT_val_delete_Feb01report_Swire Model" xfId="3564" xr:uid="{00000000-0005-0000-0000-0000D80B0000}"/>
    <cellStyle name="—_HKT_val_delete_Feb01report_SWIRESS" xfId="3565" xr:uid="{00000000-0005-0000-0000-0000D90B0000}"/>
    <cellStyle name="—_HKT_val_delete_Hutchison Model" xfId="3566" xr:uid="{00000000-0005-0000-0000-0000DA0B0000}"/>
    <cellStyle name="—_HKT_val_delete_Hutchison Model 090514" xfId="3567" xr:uid="{00000000-0005-0000-0000-0000DB0B0000}"/>
    <cellStyle name="—_HKT_val_delete_hutchss" xfId="3568" xr:uid="{00000000-0005-0000-0000-0000DC0B0000}"/>
    <cellStyle name="—_HKT_val_delete_NAV" xfId="3569" xr:uid="{00000000-0005-0000-0000-0000DD0B0000}"/>
    <cellStyle name="—_HKT_val_delete_Prop Dev" xfId="3570" xr:uid="{00000000-0005-0000-0000-0000DE0B0000}"/>
    <cellStyle name="_HLG stub" xfId="3571" xr:uid="{00000000-0005-0000-0000-0000DF0B0000}"/>
    <cellStyle name="—_HLG stub" xfId="3572" xr:uid="{00000000-0005-0000-0000-0000E00B0000}"/>
    <cellStyle name="—_HSH under review" xfId="3573" xr:uid="{00000000-0005-0000-0000-0000E10B0000}"/>
    <cellStyle name="_Huiyuan Juice 1886.hk_070719" xfId="3574" xr:uid="{00000000-0005-0000-0000-0000E20B0000}"/>
    <cellStyle name="_Hutchison 240604" xfId="3575" xr:uid="{00000000-0005-0000-0000-0000E30B0000}"/>
    <cellStyle name="_Hutchison 240604_Hutchison Model" xfId="3576" xr:uid="{00000000-0005-0000-0000-0000E40B0000}"/>
    <cellStyle name="_Hutchison 240604_Hutchison Model 090514" xfId="3577" xr:uid="{00000000-0005-0000-0000-0000E50B0000}"/>
    <cellStyle name="_Hutchison 240604_hutchss" xfId="3578" xr:uid="{00000000-0005-0000-0000-0000E60B0000}"/>
    <cellStyle name="_Hutchison 240604_NAV" xfId="3579" xr:uid="{00000000-0005-0000-0000-0000E70B0000}"/>
    <cellStyle name="—_Hutchison Model 090514" xfId="3580" xr:uid="{00000000-0005-0000-0000-0000E80B0000}"/>
    <cellStyle name="—_hutchss" xfId="3581" xr:uid="{00000000-0005-0000-0000-0000E90B0000}"/>
    <cellStyle name="_Hysan" xfId="3582" xr:uid="{00000000-0005-0000-0000-0000EA0B0000}"/>
    <cellStyle name="—_Hysan" xfId="3583" xr:uid="{00000000-0005-0000-0000-0000EB0B0000}"/>
    <cellStyle name="_Hysan 090827" xfId="3584" xr:uid="{00000000-0005-0000-0000-0000EC0B0000}"/>
    <cellStyle name="_Hysan_STD_073009" xfId="3585" xr:uid="{00000000-0005-0000-0000-0000ED0B0000}"/>
    <cellStyle name="—_I&amp;O Report Tables" xfId="3586" xr:uid="{00000000-0005-0000-0000-0000EE0B0000}"/>
    <cellStyle name="—_I&amp;O Report Tables_AUO consolidated 2004_02" xfId="3587" xr:uid="{00000000-0005-0000-0000-0000EF0B0000}"/>
    <cellStyle name="—_I&amp;O Report Tables_AUO forecast (GQ)2005_03" xfId="3588" xr:uid="{00000000-0005-0000-0000-0000F00B0000}"/>
    <cellStyle name="—_I&amp;O Report Tables_blank industrial template - new" xfId="3589" xr:uid="{00000000-0005-0000-0000-0000F10B0000}"/>
    <cellStyle name="—_I&amp;O Report Tables_Book7" xfId="3590" xr:uid="{00000000-0005-0000-0000-0000F20B0000}"/>
    <cellStyle name="—_I&amp;O Report Tables_Book7_AUO consolidated 2004_02" xfId="3591" xr:uid="{00000000-0005-0000-0000-0000F30B0000}"/>
    <cellStyle name="—_I&amp;O Report Tables_Book7_AUO forecast (GQ)2005_03" xfId="3592" xr:uid="{00000000-0005-0000-0000-0000F40B0000}"/>
    <cellStyle name="—_I&amp;O Report Tables_Book7_blank industrial template - new" xfId="3593" xr:uid="{00000000-0005-0000-0000-0000F50B0000}"/>
    <cellStyle name="—_I&amp;O Report Tables_Book7_BS" xfId="3594" xr:uid="{00000000-0005-0000-0000-0000F60B0000}"/>
    <cellStyle name="—_I&amp;O Report Tables_Book7_Eagle" xfId="3595" xr:uid="{00000000-0005-0000-0000-0000F70B0000}"/>
    <cellStyle name="—_I&amp;O Report Tables_Book7_HSH under review" xfId="3596" xr:uid="{00000000-0005-0000-0000-0000F80B0000}"/>
    <cellStyle name="—_I&amp;O Report Tables_Book7_Novatek forecast 280404" xfId="3597" xr:uid="{00000000-0005-0000-0000-0000F90B0000}"/>
    <cellStyle name="—_I&amp;O Report Tables_Book7_Prosperity REIT_2006Mar27" xfId="3598" xr:uid="{00000000-0005-0000-0000-0000FA0B0000}"/>
    <cellStyle name="—_I&amp;O Report Tables_Book7_Shangri-La under review" xfId="3599" xr:uid="{00000000-0005-0000-0000-0000FB0B0000}"/>
    <cellStyle name="—_I&amp;O Report Tables_BS" xfId="3600" xr:uid="{00000000-0005-0000-0000-0000FC0B0000}"/>
    <cellStyle name="—_I&amp;O Report Tables_candicetables" xfId="3601" xr:uid="{00000000-0005-0000-0000-0000FD0B0000}"/>
    <cellStyle name="—_I&amp;O Report Tables_candicetables_AUO consolidated 2004_02" xfId="3602" xr:uid="{00000000-0005-0000-0000-0000FE0B0000}"/>
    <cellStyle name="—_I&amp;O Report Tables_candicetables_AUO forecast (GQ)2005_03" xfId="3603" xr:uid="{00000000-0005-0000-0000-0000FF0B0000}"/>
    <cellStyle name="—_I&amp;O Report Tables_candicetables_blank industrial template - new" xfId="3604" xr:uid="{00000000-0005-0000-0000-0000000C0000}"/>
    <cellStyle name="—_I&amp;O Report Tables_candicetables_Book7" xfId="3605" xr:uid="{00000000-0005-0000-0000-0000010C0000}"/>
    <cellStyle name="—_I&amp;O Report Tables_candicetables_Book7_AUO consolidated 2004_02" xfId="3606" xr:uid="{00000000-0005-0000-0000-0000020C0000}"/>
    <cellStyle name="—_I&amp;O Report Tables_candicetables_Book7_AUO forecast (GQ)2005_03" xfId="3607" xr:uid="{00000000-0005-0000-0000-0000030C0000}"/>
    <cellStyle name="—_I&amp;O Report Tables_candicetables_Book7_blank industrial template - new" xfId="3608" xr:uid="{00000000-0005-0000-0000-0000040C0000}"/>
    <cellStyle name="—_I&amp;O Report Tables_candicetables_Book7_BS" xfId="3609" xr:uid="{00000000-0005-0000-0000-0000050C0000}"/>
    <cellStyle name="—_I&amp;O Report Tables_candicetables_Book7_Eagle" xfId="3610" xr:uid="{00000000-0005-0000-0000-0000060C0000}"/>
    <cellStyle name="—_I&amp;O Report Tables_candicetables_Book7_HSH under review" xfId="3611" xr:uid="{00000000-0005-0000-0000-0000070C0000}"/>
    <cellStyle name="—_I&amp;O Report Tables_candicetables_Book7_Novatek forecast 280404" xfId="3612" xr:uid="{00000000-0005-0000-0000-0000080C0000}"/>
    <cellStyle name="—_I&amp;O Report Tables_candicetables_Book7_Prosperity REIT_2006Mar27" xfId="3613" xr:uid="{00000000-0005-0000-0000-0000090C0000}"/>
    <cellStyle name="—_I&amp;O Report Tables_candicetables_Book7_Shangri-La under review" xfId="3614" xr:uid="{00000000-0005-0000-0000-00000A0C0000}"/>
    <cellStyle name="—_I&amp;O Report Tables_candicetables_BS" xfId="3615" xr:uid="{00000000-0005-0000-0000-00000B0C0000}"/>
    <cellStyle name="—_I&amp;O Report Tables_candicetables_CK Hutch InvestmentProp Mar 24 2006" xfId="3616" xr:uid="{00000000-0005-0000-0000-00000C0C0000}"/>
    <cellStyle name="—_I&amp;O Report Tables_candicetables_CKC_Hutch_group structure" xfId="3617" xr:uid="{00000000-0005-0000-0000-00000D0C0000}"/>
    <cellStyle name="—_I&amp;O Report Tables_candicetables_DoCoMo table 10July2000" xfId="3618" xr:uid="{00000000-0005-0000-0000-00000E0C0000}"/>
    <cellStyle name="—_I&amp;O Report Tables_candicetables_DoCoMo table 10July2000_BS" xfId="3619" xr:uid="{00000000-0005-0000-0000-00000F0C0000}"/>
    <cellStyle name="—_I&amp;O Report Tables_candicetables_Eagle" xfId="3620" xr:uid="{00000000-0005-0000-0000-0000100C0000}"/>
    <cellStyle name="—_I&amp;O Report Tables_candicetables_earnings" xfId="3621" xr:uid="{00000000-0005-0000-0000-0000110C0000}"/>
    <cellStyle name="—_I&amp;O Report Tables_candicetables_earnings_AUO consolidated 2004_02" xfId="3622" xr:uid="{00000000-0005-0000-0000-0000120C0000}"/>
    <cellStyle name="—_I&amp;O Report Tables_candicetables_earnings_AUO forecast (GQ)2005_03" xfId="3623" xr:uid="{00000000-0005-0000-0000-0000130C0000}"/>
    <cellStyle name="—_I&amp;O Report Tables_candicetables_earnings_blank industrial template - new" xfId="3624" xr:uid="{00000000-0005-0000-0000-0000140C0000}"/>
    <cellStyle name="—_I&amp;O Report Tables_candicetables_earnings_BS" xfId="3625" xr:uid="{00000000-0005-0000-0000-0000150C0000}"/>
    <cellStyle name="—_I&amp;O Report Tables_candicetables_earnings_Eagle" xfId="3626" xr:uid="{00000000-0005-0000-0000-0000160C0000}"/>
    <cellStyle name="—_I&amp;O Report Tables_candicetables_earnings_HSH under review" xfId="3627" xr:uid="{00000000-0005-0000-0000-0000170C0000}"/>
    <cellStyle name="—_I&amp;O Report Tables_candicetables_earnings_Novatek forecast 280404" xfId="3628" xr:uid="{00000000-0005-0000-0000-0000180C0000}"/>
    <cellStyle name="—_I&amp;O Report Tables_candicetables_earnings_Prosperity REIT_2006Mar27" xfId="3629" xr:uid="{00000000-0005-0000-0000-0000190C0000}"/>
    <cellStyle name="—_I&amp;O Report Tables_candicetables_earnings_Shangri-La under review" xfId="3630" xr:uid="{00000000-0005-0000-0000-00001A0C0000}"/>
    <cellStyle name="—_I&amp;O Report Tables_candicetables_EM_FETone_new" xfId="3631" xr:uid="{00000000-0005-0000-0000-00001B0C0000}"/>
    <cellStyle name="—_I&amp;O Report Tables_candicetables_EM_FETone_new_AUO consolidated 2004_02" xfId="3632" xr:uid="{00000000-0005-0000-0000-00001C0C0000}"/>
    <cellStyle name="—_I&amp;O Report Tables_candicetables_EM_FETone_new_AUO forecast (GQ)2005_03" xfId="3633" xr:uid="{00000000-0005-0000-0000-00001D0C0000}"/>
    <cellStyle name="—_I&amp;O Report Tables_candicetables_EM_FETone_new_blank industrial template - new" xfId="3634" xr:uid="{00000000-0005-0000-0000-00001E0C0000}"/>
    <cellStyle name="—_I&amp;O Report Tables_candicetables_EM_FETone_new_BS" xfId="3635" xr:uid="{00000000-0005-0000-0000-00001F0C0000}"/>
    <cellStyle name="—_I&amp;O Report Tables_candicetables_EM_FETone_new_Eagle" xfId="3636" xr:uid="{00000000-0005-0000-0000-0000200C0000}"/>
    <cellStyle name="—_I&amp;O Report Tables_candicetables_EM_FETone_new_HSH under review" xfId="3637" xr:uid="{00000000-0005-0000-0000-0000210C0000}"/>
    <cellStyle name="—_I&amp;O Report Tables_candicetables_EM_FETone_new_Novatek forecast 280404" xfId="3638" xr:uid="{00000000-0005-0000-0000-0000220C0000}"/>
    <cellStyle name="—_I&amp;O Report Tables_candicetables_EM_FETone_new_Prosperity REIT_2006Mar27" xfId="3639" xr:uid="{00000000-0005-0000-0000-0000230C0000}"/>
    <cellStyle name="—_I&amp;O Report Tables_candicetables_EM_FETone_new_Shangri-La under review" xfId="3640" xr:uid="{00000000-0005-0000-0000-0000240C0000}"/>
    <cellStyle name="—_I&amp;O Report Tables_candicetables_EM_TCC_new" xfId="3641" xr:uid="{00000000-0005-0000-0000-0000250C0000}"/>
    <cellStyle name="—_I&amp;O Report Tables_candicetables_EM_TCC_new_AUO consolidated 2004_02" xfId="3642" xr:uid="{00000000-0005-0000-0000-0000260C0000}"/>
    <cellStyle name="—_I&amp;O Report Tables_candicetables_EM_TCC_new_AUO forecast (GQ)2005_03" xfId="3643" xr:uid="{00000000-0005-0000-0000-0000270C0000}"/>
    <cellStyle name="—_I&amp;O Report Tables_candicetables_EM_TCC_new_blank industrial template - new" xfId="3644" xr:uid="{00000000-0005-0000-0000-0000280C0000}"/>
    <cellStyle name="—_I&amp;O Report Tables_candicetables_EM_TCC_new_BS" xfId="3645" xr:uid="{00000000-0005-0000-0000-0000290C0000}"/>
    <cellStyle name="—_I&amp;O Report Tables_candicetables_EM_TCC_new_Eagle" xfId="3646" xr:uid="{00000000-0005-0000-0000-00002A0C0000}"/>
    <cellStyle name="—_I&amp;O Report Tables_candicetables_EM_TCC_new_HSH under review" xfId="3647" xr:uid="{00000000-0005-0000-0000-00002B0C0000}"/>
    <cellStyle name="—_I&amp;O Report Tables_candicetables_EM_TCC_new_Novatek forecast 280404" xfId="3648" xr:uid="{00000000-0005-0000-0000-00002C0C0000}"/>
    <cellStyle name="—_I&amp;O Report Tables_candicetables_EM_TCC_new_Prosperity REIT_2006Mar27" xfId="3649" xr:uid="{00000000-0005-0000-0000-00002D0C0000}"/>
    <cellStyle name="—_I&amp;O Report Tables_candicetables_EM_TCC_new_Shangri-La under review" xfId="3650" xr:uid="{00000000-0005-0000-0000-00002E0C0000}"/>
    <cellStyle name="—_I&amp;O Report Tables_candicetables_European Mktg - May99" xfId="3651" xr:uid="{00000000-0005-0000-0000-00002F0C0000}"/>
    <cellStyle name="—_I&amp;O Report Tables_candicetables_European Mktg - May99_CKC_Hutch_group structure" xfId="3652" xr:uid="{00000000-0005-0000-0000-0000300C0000}"/>
    <cellStyle name="—_I&amp;O Report Tables_candicetables_European Mktg - May99_Feb01report" xfId="3653" xr:uid="{00000000-0005-0000-0000-0000310C0000}"/>
    <cellStyle name="—_I&amp;O Report Tables_candicetables_European Mktg - May99_Feb01report_NAV" xfId="3654" xr:uid="{00000000-0005-0000-0000-0000320C0000}"/>
    <cellStyle name="—_I&amp;O Report Tables_candicetables_European Mktg - May99_Feb01report_QP_0019.HK" xfId="3655" xr:uid="{00000000-0005-0000-0000-0000330C0000}"/>
    <cellStyle name="—_I&amp;O Report Tables_candicetables_European Mktg - May99_Feb01report_Swire Model" xfId="3656" xr:uid="{00000000-0005-0000-0000-0000340C0000}"/>
    <cellStyle name="—_I&amp;O Report Tables_candicetables_European Mktg - May99_Feb01report_SWIRESS" xfId="3657" xr:uid="{00000000-0005-0000-0000-0000350C0000}"/>
    <cellStyle name="—_I&amp;O Report Tables_candicetables_European Mktg - May99_Hutchison Model" xfId="3658" xr:uid="{00000000-0005-0000-0000-0000360C0000}"/>
    <cellStyle name="—_I&amp;O Report Tables_candicetables_European Mktg - May99_Hutchison Model 090514" xfId="3659" xr:uid="{00000000-0005-0000-0000-0000370C0000}"/>
    <cellStyle name="—_I&amp;O Report Tables_candicetables_European Mktg - May99_hutchss" xfId="3660" xr:uid="{00000000-0005-0000-0000-0000380C0000}"/>
    <cellStyle name="—_I&amp;O Report Tables_candicetables_European Mktg - May99_NAV" xfId="3661" xr:uid="{00000000-0005-0000-0000-0000390C0000}"/>
    <cellStyle name="—_I&amp;O Report Tables_candicetables_European Mktg - May99_Prop Dev" xfId="3662" xr:uid="{00000000-0005-0000-0000-00003A0C0000}"/>
    <cellStyle name="—_I&amp;O Report Tables_candicetables_Feb01report" xfId="3663" xr:uid="{00000000-0005-0000-0000-00003B0C0000}"/>
    <cellStyle name="—_I&amp;O Report Tables_candicetables_Feb01report_NAV" xfId="3664" xr:uid="{00000000-0005-0000-0000-00003C0C0000}"/>
    <cellStyle name="—_I&amp;O Report Tables_candicetables_Feb01report_QP_0019.HK" xfId="3665" xr:uid="{00000000-0005-0000-0000-00003D0C0000}"/>
    <cellStyle name="—_I&amp;O Report Tables_candicetables_Feb01report_Swire Model" xfId="3666" xr:uid="{00000000-0005-0000-0000-00003E0C0000}"/>
    <cellStyle name="—_I&amp;O Report Tables_candicetables_Feb01report_SWIRESS" xfId="3667" xr:uid="{00000000-0005-0000-0000-00003F0C0000}"/>
    <cellStyle name="—_I&amp;O Report Tables_candicetables_HSH under review" xfId="3668" xr:uid="{00000000-0005-0000-0000-0000400C0000}"/>
    <cellStyle name="—_I&amp;O Report Tables_candicetables_Hutchison Model" xfId="3669" xr:uid="{00000000-0005-0000-0000-0000410C0000}"/>
    <cellStyle name="—_I&amp;O Report Tables_candicetables_Hutchison Model 090514" xfId="3670" xr:uid="{00000000-0005-0000-0000-0000420C0000}"/>
    <cellStyle name="—_I&amp;O Report Tables_candicetables_hutchss" xfId="3671" xr:uid="{00000000-0005-0000-0000-0000430C0000}"/>
    <cellStyle name="—_I&amp;O Report Tables_candicetables_NAV" xfId="3672" xr:uid="{00000000-0005-0000-0000-0000440C0000}"/>
    <cellStyle name="—_I&amp;O Report Tables_candicetables_Novatek forecast" xfId="3673" xr:uid="{00000000-0005-0000-0000-0000450C0000}"/>
    <cellStyle name="—_I&amp;O Report Tables_candicetables_Novatek forecast 280404" xfId="3674" xr:uid="{00000000-0005-0000-0000-0000460C0000}"/>
    <cellStyle name="—_I&amp;O Report Tables_candicetables_operating stats comp" xfId="3675" xr:uid="{00000000-0005-0000-0000-0000470C0000}"/>
    <cellStyle name="—_I&amp;O Report Tables_candicetables_operating stats comp_AUO consolidated 2004_02" xfId="3676" xr:uid="{00000000-0005-0000-0000-0000480C0000}"/>
    <cellStyle name="—_I&amp;O Report Tables_candicetables_operating stats comp_AUO forecast (GQ)2005_03" xfId="3677" xr:uid="{00000000-0005-0000-0000-0000490C0000}"/>
    <cellStyle name="—_I&amp;O Report Tables_candicetables_operating stats comp_blank industrial template - new" xfId="3678" xr:uid="{00000000-0005-0000-0000-00004A0C0000}"/>
    <cellStyle name="—_I&amp;O Report Tables_candicetables_operating stats comp_BS" xfId="3679" xr:uid="{00000000-0005-0000-0000-00004B0C0000}"/>
    <cellStyle name="—_I&amp;O Report Tables_candicetables_operating stats comp_Eagle" xfId="3680" xr:uid="{00000000-0005-0000-0000-00004C0C0000}"/>
    <cellStyle name="—_I&amp;O Report Tables_candicetables_operating stats comp_HSH under review" xfId="3681" xr:uid="{00000000-0005-0000-0000-00004D0C0000}"/>
    <cellStyle name="—_I&amp;O Report Tables_candicetables_operating stats comp_Novatek forecast 280404" xfId="3682" xr:uid="{00000000-0005-0000-0000-00004E0C0000}"/>
    <cellStyle name="—_I&amp;O Report Tables_candicetables_operating stats comp_Prosperity REIT_2006Mar27" xfId="3683" xr:uid="{00000000-0005-0000-0000-00004F0C0000}"/>
    <cellStyle name="—_I&amp;O Report Tables_candicetables_operating stats comp_Shangri-La under review" xfId="3684" xr:uid="{00000000-0005-0000-0000-0000500C0000}"/>
    <cellStyle name="—_I&amp;O Report Tables_candicetables_Prop Dev" xfId="3685" xr:uid="{00000000-0005-0000-0000-0000510C0000}"/>
    <cellStyle name="—_I&amp;O Report Tables_candicetables_Prosperity REIT_2006Mar27" xfId="3686" xr:uid="{00000000-0005-0000-0000-0000520C0000}"/>
    <cellStyle name="—_I&amp;O Report Tables_candicetables_Shangri-La under review" xfId="3687" xr:uid="{00000000-0005-0000-0000-0000530C0000}"/>
    <cellStyle name="—_I&amp;O Report Tables_candicetables_Strategy_data_update" xfId="3688" xr:uid="{00000000-0005-0000-0000-0000540C0000}"/>
    <cellStyle name="—_I&amp;O Report Tables_candicetables_Strategy_data_update_AUO consolidated 2004_02" xfId="3689" xr:uid="{00000000-0005-0000-0000-0000550C0000}"/>
    <cellStyle name="—_I&amp;O Report Tables_candicetables_Strategy_data_update_AUO forecast (GQ)2005_03" xfId="3690" xr:uid="{00000000-0005-0000-0000-0000560C0000}"/>
    <cellStyle name="—_I&amp;O Report Tables_candicetables_Strategy_data_update_blank industrial template - new" xfId="3691" xr:uid="{00000000-0005-0000-0000-0000570C0000}"/>
    <cellStyle name="—_I&amp;O Report Tables_candicetables_Strategy_data_update_BS" xfId="3692" xr:uid="{00000000-0005-0000-0000-0000580C0000}"/>
    <cellStyle name="—_I&amp;O Report Tables_candicetables_Strategy_data_update_Eagle" xfId="3693" xr:uid="{00000000-0005-0000-0000-0000590C0000}"/>
    <cellStyle name="—_I&amp;O Report Tables_candicetables_Strategy_data_update_HSH under review" xfId="3694" xr:uid="{00000000-0005-0000-0000-00005A0C0000}"/>
    <cellStyle name="—_I&amp;O Report Tables_candicetables_Strategy_data_update_Novatek forecast 280404" xfId="3695" xr:uid="{00000000-0005-0000-0000-00005B0C0000}"/>
    <cellStyle name="—_I&amp;O Report Tables_candicetables_Strategy_data_update_Prosperity REIT_2006Mar27" xfId="3696" xr:uid="{00000000-0005-0000-0000-00005C0C0000}"/>
    <cellStyle name="—_I&amp;O Report Tables_candicetables_Strategy_data_update_Shangri-La under review" xfId="3697" xr:uid="{00000000-0005-0000-0000-00005D0C0000}"/>
    <cellStyle name="—_I&amp;O Report Tables_CK Hutch InvestmentProp Mar 24 2006" xfId="3698" xr:uid="{00000000-0005-0000-0000-00005E0C0000}"/>
    <cellStyle name="—_I&amp;O Report Tables_CKC_Hutch_group structure" xfId="3699" xr:uid="{00000000-0005-0000-0000-00005F0C0000}"/>
    <cellStyle name="—_I&amp;O Report Tables_DoCoMo table 10July2000" xfId="3700" xr:uid="{00000000-0005-0000-0000-0000600C0000}"/>
    <cellStyle name="—_I&amp;O Report Tables_Eagle" xfId="3701" xr:uid="{00000000-0005-0000-0000-0000610C0000}"/>
    <cellStyle name="—_I&amp;O Report Tables_earnings" xfId="3702" xr:uid="{00000000-0005-0000-0000-0000620C0000}"/>
    <cellStyle name="—_I&amp;O Report Tables_earnings_AUO consolidated 2004_02" xfId="3703" xr:uid="{00000000-0005-0000-0000-0000630C0000}"/>
    <cellStyle name="—_I&amp;O Report Tables_earnings_AUO forecast (GQ)2005_03" xfId="3704" xr:uid="{00000000-0005-0000-0000-0000640C0000}"/>
    <cellStyle name="—_I&amp;O Report Tables_earnings_blank industrial template - new" xfId="3705" xr:uid="{00000000-0005-0000-0000-0000650C0000}"/>
    <cellStyle name="—_I&amp;O Report Tables_earnings_BS" xfId="3706" xr:uid="{00000000-0005-0000-0000-0000660C0000}"/>
    <cellStyle name="—_I&amp;O Report Tables_earnings_Eagle" xfId="3707" xr:uid="{00000000-0005-0000-0000-0000670C0000}"/>
    <cellStyle name="—_I&amp;O Report Tables_earnings_HSH under review" xfId="3708" xr:uid="{00000000-0005-0000-0000-0000680C0000}"/>
    <cellStyle name="—_I&amp;O Report Tables_earnings_Novatek forecast 280404" xfId="3709" xr:uid="{00000000-0005-0000-0000-0000690C0000}"/>
    <cellStyle name="—_I&amp;O Report Tables_earnings_Prosperity REIT_2006Mar27" xfId="3710" xr:uid="{00000000-0005-0000-0000-00006A0C0000}"/>
    <cellStyle name="—_I&amp;O Report Tables_earnings_Shangri-La under review" xfId="3711" xr:uid="{00000000-0005-0000-0000-00006B0C0000}"/>
    <cellStyle name="—_I&amp;O Report Tables_EM_FETone_new" xfId="3712" xr:uid="{00000000-0005-0000-0000-00006C0C0000}"/>
    <cellStyle name="—_I&amp;O Report Tables_EM_FETone_new_AUO consolidated 2004_02" xfId="3713" xr:uid="{00000000-0005-0000-0000-00006D0C0000}"/>
    <cellStyle name="—_I&amp;O Report Tables_EM_FETone_new_AUO forecast (GQ)2005_03" xfId="3714" xr:uid="{00000000-0005-0000-0000-00006E0C0000}"/>
    <cellStyle name="—_I&amp;O Report Tables_EM_FETone_new_blank industrial template - new" xfId="3715" xr:uid="{00000000-0005-0000-0000-00006F0C0000}"/>
    <cellStyle name="—_I&amp;O Report Tables_EM_FETone_new_BS" xfId="3716" xr:uid="{00000000-0005-0000-0000-0000700C0000}"/>
    <cellStyle name="—_I&amp;O Report Tables_EM_FETone_new_Eagle" xfId="3717" xr:uid="{00000000-0005-0000-0000-0000710C0000}"/>
    <cellStyle name="—_I&amp;O Report Tables_EM_FETone_new_HSH under review" xfId="3718" xr:uid="{00000000-0005-0000-0000-0000720C0000}"/>
    <cellStyle name="—_I&amp;O Report Tables_EM_FETone_new_Novatek forecast 280404" xfId="3719" xr:uid="{00000000-0005-0000-0000-0000730C0000}"/>
    <cellStyle name="—_I&amp;O Report Tables_EM_FETone_new_Prosperity REIT_2006Mar27" xfId="3720" xr:uid="{00000000-0005-0000-0000-0000740C0000}"/>
    <cellStyle name="—_I&amp;O Report Tables_EM_FETone_new_Shangri-La under review" xfId="3721" xr:uid="{00000000-0005-0000-0000-0000750C0000}"/>
    <cellStyle name="—_I&amp;O Report Tables_EM_TCC_new" xfId="3722" xr:uid="{00000000-0005-0000-0000-0000760C0000}"/>
    <cellStyle name="—_I&amp;O Report Tables_EM_TCC_new_AUO consolidated 2004_02" xfId="3723" xr:uid="{00000000-0005-0000-0000-0000770C0000}"/>
    <cellStyle name="—_I&amp;O Report Tables_EM_TCC_new_AUO forecast (GQ)2005_03" xfId="3724" xr:uid="{00000000-0005-0000-0000-0000780C0000}"/>
    <cellStyle name="—_I&amp;O Report Tables_EM_TCC_new_blank industrial template - new" xfId="3725" xr:uid="{00000000-0005-0000-0000-0000790C0000}"/>
    <cellStyle name="—_I&amp;O Report Tables_EM_TCC_new_BS" xfId="3726" xr:uid="{00000000-0005-0000-0000-00007A0C0000}"/>
    <cellStyle name="—_I&amp;O Report Tables_EM_TCC_new_Eagle" xfId="3727" xr:uid="{00000000-0005-0000-0000-00007B0C0000}"/>
    <cellStyle name="—_I&amp;O Report Tables_EM_TCC_new_HSH under review" xfId="3728" xr:uid="{00000000-0005-0000-0000-00007C0C0000}"/>
    <cellStyle name="—_I&amp;O Report Tables_EM_TCC_new_Novatek forecast 280404" xfId="3729" xr:uid="{00000000-0005-0000-0000-00007D0C0000}"/>
    <cellStyle name="—_I&amp;O Report Tables_EM_TCC_new_Prosperity REIT_2006Mar27" xfId="3730" xr:uid="{00000000-0005-0000-0000-00007E0C0000}"/>
    <cellStyle name="—_I&amp;O Report Tables_EM_TCC_new_Shangri-La under review" xfId="3731" xr:uid="{00000000-0005-0000-0000-00007F0C0000}"/>
    <cellStyle name="—_I&amp;O Report Tables_European Mktg - May99" xfId="3732" xr:uid="{00000000-0005-0000-0000-0000800C0000}"/>
    <cellStyle name="—_I&amp;O Report Tables_European Mktg - May99_CKC_Hutch_group structure" xfId="3733" xr:uid="{00000000-0005-0000-0000-0000810C0000}"/>
    <cellStyle name="—_I&amp;O Report Tables_European Mktg - May99_Feb01report" xfId="3734" xr:uid="{00000000-0005-0000-0000-0000820C0000}"/>
    <cellStyle name="—_I&amp;O Report Tables_European Mktg - May99_Feb01report_NAV" xfId="3735" xr:uid="{00000000-0005-0000-0000-0000830C0000}"/>
    <cellStyle name="—_I&amp;O Report Tables_European Mktg - May99_Feb01report_QP_0019.HK" xfId="3736" xr:uid="{00000000-0005-0000-0000-0000840C0000}"/>
    <cellStyle name="—_I&amp;O Report Tables_European Mktg - May99_Feb01report_Swire Model" xfId="3737" xr:uid="{00000000-0005-0000-0000-0000850C0000}"/>
    <cellStyle name="—_I&amp;O Report Tables_European Mktg - May99_Feb01report_SWIRESS" xfId="3738" xr:uid="{00000000-0005-0000-0000-0000860C0000}"/>
    <cellStyle name="—_I&amp;O Report Tables_European Mktg - May99_Hutchison Model" xfId="3739" xr:uid="{00000000-0005-0000-0000-0000870C0000}"/>
    <cellStyle name="—_I&amp;O Report Tables_European Mktg - May99_Hutchison Model 090514" xfId="3740" xr:uid="{00000000-0005-0000-0000-0000880C0000}"/>
    <cellStyle name="—_I&amp;O Report Tables_European Mktg - May99_hutchss" xfId="3741" xr:uid="{00000000-0005-0000-0000-0000890C0000}"/>
    <cellStyle name="—_I&amp;O Report Tables_European Mktg - May99_NAV" xfId="3742" xr:uid="{00000000-0005-0000-0000-00008A0C0000}"/>
    <cellStyle name="—_I&amp;O Report Tables_European Mktg - May99_Prop Dev" xfId="3743" xr:uid="{00000000-0005-0000-0000-00008B0C0000}"/>
    <cellStyle name="—_I&amp;O Report Tables_Feb01report" xfId="3744" xr:uid="{00000000-0005-0000-0000-00008C0C0000}"/>
    <cellStyle name="—_I&amp;O Report Tables_Feb01report_NAV" xfId="3745" xr:uid="{00000000-0005-0000-0000-00008D0C0000}"/>
    <cellStyle name="—_I&amp;O Report Tables_Feb01report_QP_0019.HK" xfId="3746" xr:uid="{00000000-0005-0000-0000-00008E0C0000}"/>
    <cellStyle name="—_I&amp;O Report Tables_Feb01report_Swire Model" xfId="3747" xr:uid="{00000000-0005-0000-0000-00008F0C0000}"/>
    <cellStyle name="—_I&amp;O Report Tables_Feb01report_SWIRESS" xfId="3748" xr:uid="{00000000-0005-0000-0000-0000900C0000}"/>
    <cellStyle name="—_I&amp;O Report Tables_FPACSS" xfId="3749" xr:uid="{00000000-0005-0000-0000-0000910C0000}"/>
    <cellStyle name="—_I&amp;O Report Tables_HSH under review" xfId="3750" xr:uid="{00000000-0005-0000-0000-0000920C0000}"/>
    <cellStyle name="—_I&amp;O Report Tables_Hutchison Model" xfId="3751" xr:uid="{00000000-0005-0000-0000-0000930C0000}"/>
    <cellStyle name="—_I&amp;O Report Tables_Hutchison Model 090514" xfId="3752" xr:uid="{00000000-0005-0000-0000-0000940C0000}"/>
    <cellStyle name="—_I&amp;O Report Tables_hutchss" xfId="3753" xr:uid="{00000000-0005-0000-0000-0000950C0000}"/>
    <cellStyle name="—_I&amp;O Report Tables_IPOmaster" xfId="3754" xr:uid="{00000000-0005-0000-0000-0000960C0000}"/>
    <cellStyle name="—_I&amp;O Report Tables_JMATHSS" xfId="3755" xr:uid="{00000000-0005-0000-0000-0000970C0000}"/>
    <cellStyle name="—_I&amp;O Report Tables_L&amp;Ffin" xfId="3756" xr:uid="{00000000-0005-0000-0000-0000980C0000}"/>
    <cellStyle name="—_I&amp;O Report Tables_MASTER" xfId="3757" xr:uid="{00000000-0005-0000-0000-0000990C0000}"/>
    <cellStyle name="—_I&amp;O Report Tables_NAV" xfId="3758" xr:uid="{00000000-0005-0000-0000-00009A0C0000}"/>
    <cellStyle name="—_I&amp;O Report Tables_Novatek forecast" xfId="3759" xr:uid="{00000000-0005-0000-0000-00009B0C0000}"/>
    <cellStyle name="—_I&amp;O Report Tables_Novatek forecast 280404" xfId="3760" xr:uid="{00000000-0005-0000-0000-00009C0C0000}"/>
    <cellStyle name="—_I&amp;O Report Tables_operating stats comp" xfId="3761" xr:uid="{00000000-0005-0000-0000-00009D0C0000}"/>
    <cellStyle name="—_I&amp;O Report Tables_operating stats comp_AUO consolidated 2004_02" xfId="3762" xr:uid="{00000000-0005-0000-0000-00009E0C0000}"/>
    <cellStyle name="—_I&amp;O Report Tables_operating stats comp_AUO forecast (GQ)2005_03" xfId="3763" xr:uid="{00000000-0005-0000-0000-00009F0C0000}"/>
    <cellStyle name="—_I&amp;O Report Tables_operating stats comp_blank industrial template - new" xfId="3764" xr:uid="{00000000-0005-0000-0000-0000A00C0000}"/>
    <cellStyle name="—_I&amp;O Report Tables_operating stats comp_BS" xfId="3765" xr:uid="{00000000-0005-0000-0000-0000A10C0000}"/>
    <cellStyle name="—_I&amp;O Report Tables_operating stats comp_Eagle" xfId="3766" xr:uid="{00000000-0005-0000-0000-0000A20C0000}"/>
    <cellStyle name="—_I&amp;O Report Tables_operating stats comp_HSH under review" xfId="3767" xr:uid="{00000000-0005-0000-0000-0000A30C0000}"/>
    <cellStyle name="—_I&amp;O Report Tables_operating stats comp_Novatek forecast 280404" xfId="3768" xr:uid="{00000000-0005-0000-0000-0000A40C0000}"/>
    <cellStyle name="—_I&amp;O Report Tables_operating stats comp_Prosperity REIT_2006Mar27" xfId="3769" xr:uid="{00000000-0005-0000-0000-0000A50C0000}"/>
    <cellStyle name="—_I&amp;O Report Tables_operating stats comp_Shangri-La under review" xfId="3770" xr:uid="{00000000-0005-0000-0000-0000A60C0000}"/>
    <cellStyle name="—_I&amp;O Report Tables_PLDT report Tables" xfId="3771" xr:uid="{00000000-0005-0000-0000-0000A70C0000}"/>
    <cellStyle name="—_I&amp;O Report Tables_PLDT report Tables_CKC_Hutch_group structure" xfId="3772" xr:uid="{00000000-0005-0000-0000-0000A80C0000}"/>
    <cellStyle name="—_I&amp;O Report Tables_PLDT report Tables_Feb01report" xfId="3773" xr:uid="{00000000-0005-0000-0000-0000A90C0000}"/>
    <cellStyle name="—_I&amp;O Report Tables_PLDT report Tables_Feb01report_NAV" xfId="3774" xr:uid="{00000000-0005-0000-0000-0000AA0C0000}"/>
    <cellStyle name="—_I&amp;O Report Tables_PLDT report Tables_Feb01report_QP_0019.HK" xfId="3775" xr:uid="{00000000-0005-0000-0000-0000AB0C0000}"/>
    <cellStyle name="—_I&amp;O Report Tables_PLDT report Tables_Feb01report_Swire Model" xfId="3776" xr:uid="{00000000-0005-0000-0000-0000AC0C0000}"/>
    <cellStyle name="—_I&amp;O Report Tables_PLDT report Tables_Feb01report_SWIRESS" xfId="3777" xr:uid="{00000000-0005-0000-0000-0000AD0C0000}"/>
    <cellStyle name="—_I&amp;O Report Tables_PLDT report Tables_Hutchison Model" xfId="3778" xr:uid="{00000000-0005-0000-0000-0000AE0C0000}"/>
    <cellStyle name="—_I&amp;O Report Tables_PLDT report Tables_Hutchison Model 090514" xfId="3779" xr:uid="{00000000-0005-0000-0000-0000AF0C0000}"/>
    <cellStyle name="—_I&amp;O Report Tables_PLDT report Tables_hutchss" xfId="3780" xr:uid="{00000000-0005-0000-0000-0000B00C0000}"/>
    <cellStyle name="—_I&amp;O Report Tables_PLDT report Tables_NAV" xfId="3781" xr:uid="{00000000-0005-0000-0000-0000B10C0000}"/>
    <cellStyle name="—_I&amp;O Report Tables_PLDT report Tables_Prop Dev" xfId="3782" xr:uid="{00000000-0005-0000-0000-0000B20C0000}"/>
    <cellStyle name="—_I&amp;O Report Tables_Prop Dev" xfId="3783" xr:uid="{00000000-0005-0000-0000-0000B30C0000}"/>
    <cellStyle name="—_I&amp;O Report Tables_Prosperity REIT_2006Mar27" xfId="3784" xr:uid="{00000000-0005-0000-0000-0000B40C0000}"/>
    <cellStyle name="—_I&amp;O Report Tables_Shangri-La under review" xfId="3785" xr:uid="{00000000-0005-0000-0000-0000B50C0000}"/>
    <cellStyle name="—_I&amp;O Report Tables_ShunTakSS" xfId="3786" xr:uid="{00000000-0005-0000-0000-0000B60C0000}"/>
    <cellStyle name="—_I&amp;O Report Tables_Strategy_data_update" xfId="3787" xr:uid="{00000000-0005-0000-0000-0000B70C0000}"/>
    <cellStyle name="—_I&amp;O Report Tables_Strategy_data_update_AUO consolidated 2004_02" xfId="3788" xr:uid="{00000000-0005-0000-0000-0000B80C0000}"/>
    <cellStyle name="—_I&amp;O Report Tables_Strategy_data_update_AUO forecast (GQ)2005_03" xfId="3789" xr:uid="{00000000-0005-0000-0000-0000B90C0000}"/>
    <cellStyle name="—_I&amp;O Report Tables_Strategy_data_update_blank industrial template - new" xfId="3790" xr:uid="{00000000-0005-0000-0000-0000BA0C0000}"/>
    <cellStyle name="—_I&amp;O Report Tables_Strategy_data_update_BS" xfId="3791" xr:uid="{00000000-0005-0000-0000-0000BB0C0000}"/>
    <cellStyle name="—_I&amp;O Report Tables_Strategy_data_update_Eagle" xfId="3792" xr:uid="{00000000-0005-0000-0000-0000BC0C0000}"/>
    <cellStyle name="—_I&amp;O Report Tables_Strategy_data_update_HSH under review" xfId="3793" xr:uid="{00000000-0005-0000-0000-0000BD0C0000}"/>
    <cellStyle name="—_I&amp;O Report Tables_Strategy_data_update_Novatek forecast 280404" xfId="3794" xr:uid="{00000000-0005-0000-0000-0000BE0C0000}"/>
    <cellStyle name="—_I&amp;O Report Tables_Strategy_data_update_Prosperity REIT_2006Mar27" xfId="3795" xr:uid="{00000000-0005-0000-0000-0000BF0C0000}"/>
    <cellStyle name="—_I&amp;O Report Tables_Strategy_data_update_Shangri-La under review" xfId="3796" xr:uid="{00000000-0005-0000-0000-0000C00C0000}"/>
    <cellStyle name="—_I&amp;O Report Tables_SWIRESS" xfId="3797" xr:uid="{00000000-0005-0000-0000-0000C10C0000}"/>
    <cellStyle name="—_I&amp;O Report Tables_WHARFSS" xfId="3798" xr:uid="{00000000-0005-0000-0000-0000C20C0000}"/>
    <cellStyle name="—_I&amp;O Report Tables_WHARFSS_CKC_Hutch_group structure" xfId="3799" xr:uid="{00000000-0005-0000-0000-0000C30C0000}"/>
    <cellStyle name="—_I&amp;O Report Tables_WHARFSS_Hutchison Model" xfId="3800" xr:uid="{00000000-0005-0000-0000-0000C40C0000}"/>
    <cellStyle name="—_I&amp;O Report Tables_WHARFSS_Hutchison Model 090514" xfId="3801" xr:uid="{00000000-0005-0000-0000-0000C50C0000}"/>
    <cellStyle name="—_I&amp;O Report Tables_WHARFSS_hutchss" xfId="3802" xr:uid="{00000000-0005-0000-0000-0000C60C0000}"/>
    <cellStyle name="—_I&amp;O Report Tables_WHARFSS_NAV" xfId="3803" xr:uid="{00000000-0005-0000-0000-0000C70C0000}"/>
    <cellStyle name="—_I&amp;O Report Tables_WHARFSS_Prop Dev" xfId="3804" xr:uid="{00000000-0005-0000-0000-0000C80C0000}"/>
    <cellStyle name="_IND-DEC-HK-1068-H-T" xfId="3805" xr:uid="{00000000-0005-0000-0000-0000C90C0000}"/>
    <cellStyle name="_IND-DEC-HK-322-H-T" xfId="3806" xr:uid="{00000000-0005-0000-0000-0000CA0C0000}"/>
    <cellStyle name="_IND-DEC-HK-3308-H-T" xfId="3807" xr:uid="{00000000-0005-0000-0000-0000CB0C0000}"/>
    <cellStyle name="—_Interim" xfId="3808" xr:uid="{00000000-0005-0000-0000-0000CC0C0000}"/>
    <cellStyle name="_Interim comparisons" xfId="3809" xr:uid="{00000000-0005-0000-0000-0000CD0C0000}"/>
    <cellStyle name="—_Intermediate GQ" xfId="3810" xr:uid="{00000000-0005-0000-0000-0000CE0C0000}"/>
    <cellStyle name="—_IPOmaster" xfId="3811" xr:uid="{00000000-0005-0000-0000-0000CF0C0000}"/>
    <cellStyle name="—_JMATHSS" xfId="3812" xr:uid="{00000000-0005-0000-0000-0000D00C0000}"/>
    <cellStyle name="—_JT CROCI" xfId="3813" xr:uid="{00000000-0005-0000-0000-0000D10C0000}"/>
    <cellStyle name="—_KDDI CROCI" xfId="3814" xr:uid="{00000000-0005-0000-0000-0000D20C0000}"/>
    <cellStyle name="_L&amp;Ffin" xfId="3815" xr:uid="{00000000-0005-0000-0000-0000D30C0000}"/>
    <cellStyle name="—_Landlords" xfId="3816" xr:uid="{00000000-0005-0000-0000-0000D40C0000}"/>
    <cellStyle name="—_li&amp;fung model from Mike Warren_050317" xfId="3817" xr:uid="{00000000-0005-0000-0000-0000D50C0000}"/>
    <cellStyle name="—_li&amp;fungSS" xfId="3818" xr:uid="{00000000-0005-0000-0000-0000D60C0000}"/>
    <cellStyle name="—_li&amp;fungSS_CKC_Hutch_group structure" xfId="3819" xr:uid="{00000000-0005-0000-0000-0000D70C0000}"/>
    <cellStyle name="—_li&amp;fungSS_Hutchison Model 090514" xfId="3820" xr:uid="{00000000-0005-0000-0000-0000D80C0000}"/>
    <cellStyle name="_Link REIT_071509" xfId="3821" xr:uid="{00000000-0005-0000-0000-0000D90C0000}"/>
    <cellStyle name="_Link REIT_090728" xfId="3822" xr:uid="{00000000-0005-0000-0000-0000DA0C0000}"/>
    <cellStyle name="_LLeung_Templates" xfId="3823" xr:uid="{00000000-0005-0000-0000-0000DB0C0000}"/>
    <cellStyle name="—_MASTER" xfId="3824" xr:uid="{00000000-0005-0000-0000-0000DC0C0000}"/>
    <cellStyle name="_Master DB YR 2001 for Routers" xfId="3825" xr:uid="{00000000-0005-0000-0000-0000DD0C0000}"/>
    <cellStyle name="_Master DB YR 2001 for Routers_" xfId="3826" xr:uid="{00000000-0005-0000-0000-0000DE0C0000}"/>
    <cellStyle name="_Master DB YR 2001 for Routers__Tong yang model copy valuation" xfId="3827" xr:uid="{00000000-0005-0000-0000-0000DF0C0000}"/>
    <cellStyle name="_Master DB YR 2001 for Routers__Tong yang model copy valuation_Tsann Kuen Model" xfId="3828" xr:uid="{00000000-0005-0000-0000-0000E00C0000}"/>
    <cellStyle name="_Master DB YR 2001 for Routers__Tong yang model copy valuation_TSRC Model" xfId="3829" xr:uid="{00000000-0005-0000-0000-0000E10C0000}"/>
    <cellStyle name="_Master DB YR 2001 for Routers__Tsann Kuen Model" xfId="3830" xr:uid="{00000000-0005-0000-0000-0000E20C0000}"/>
    <cellStyle name="_Master DB YR 2001 for Routers__TSRC Model" xfId="3831" xr:uid="{00000000-0005-0000-0000-0000E30C0000}"/>
    <cellStyle name="_Master DB YR 2001 for Routers__Two stage DDM" xfId="3832" xr:uid="{00000000-0005-0000-0000-0000E40C0000}"/>
    <cellStyle name="_Master DB YR 2001 for Routers__Two stage DDM_Tsann Kuen Model" xfId="3833" xr:uid="{00000000-0005-0000-0000-0000E50C0000}"/>
    <cellStyle name="_Master DB YR 2001 for Routers__Two stage DDM_TSRC Model" xfId="3834" xr:uid="{00000000-0005-0000-0000-0000E60C0000}"/>
    <cellStyle name="_Master DB YR 2001 for Routers_1" xfId="3835" xr:uid="{00000000-0005-0000-0000-0000E70C0000}"/>
    <cellStyle name="_Master DB YR 2001 for Routers_1_Tong yang model copy valuation" xfId="3836" xr:uid="{00000000-0005-0000-0000-0000E80C0000}"/>
    <cellStyle name="_Master DB YR 2001 for Routers_1_Tong yang model copy valuation_Tsann Kuen Model" xfId="3837" xr:uid="{00000000-0005-0000-0000-0000E90C0000}"/>
    <cellStyle name="_Master DB YR 2001 for Routers_1_Tong yang model copy valuation_TSRC Model" xfId="3838" xr:uid="{00000000-0005-0000-0000-0000EA0C0000}"/>
    <cellStyle name="_Master DB YR 2001 for Routers_1_Tsann Kuen Model" xfId="3839" xr:uid="{00000000-0005-0000-0000-0000EB0C0000}"/>
    <cellStyle name="_Master DB YR 2001 for Routers_1_TSRC Model" xfId="3840" xr:uid="{00000000-0005-0000-0000-0000EC0C0000}"/>
    <cellStyle name="_Master DB YR 2001 for Routers_1_Two stage DDM" xfId="3841" xr:uid="{00000000-0005-0000-0000-0000ED0C0000}"/>
    <cellStyle name="_Master DB YR 2001 for Routers_1_Two stage DDM_Tsann Kuen Model" xfId="3842" xr:uid="{00000000-0005-0000-0000-0000EE0C0000}"/>
    <cellStyle name="_Master DB YR 2001 for Routers_1_Two stage DDM_TSRC Model" xfId="3843" xr:uid="{00000000-0005-0000-0000-0000EF0C0000}"/>
    <cellStyle name="_Master DB YR 2001 for Routers_2" xfId="3844" xr:uid="{00000000-0005-0000-0000-0000F00C0000}"/>
    <cellStyle name="_Master DB YR 2001 for Routers_2_Tong yang model copy valuation" xfId="3845" xr:uid="{00000000-0005-0000-0000-0000F10C0000}"/>
    <cellStyle name="_Master DB YR 2001 for Routers_2_Tong yang model copy valuation_Tsann Kuen Model" xfId="3846" xr:uid="{00000000-0005-0000-0000-0000F20C0000}"/>
    <cellStyle name="_Master DB YR 2001 for Routers_2_Tong yang model copy valuation_TSRC Model" xfId="3847" xr:uid="{00000000-0005-0000-0000-0000F30C0000}"/>
    <cellStyle name="_Master DB YR 2001 for Routers_2_Tsann Kuen Model" xfId="3848" xr:uid="{00000000-0005-0000-0000-0000F40C0000}"/>
    <cellStyle name="_Master DB YR 2001 for Routers_2_TSRC Model" xfId="3849" xr:uid="{00000000-0005-0000-0000-0000F50C0000}"/>
    <cellStyle name="_Master DB YR 2001 for Routers_2_Two stage DDM" xfId="3850" xr:uid="{00000000-0005-0000-0000-0000F60C0000}"/>
    <cellStyle name="_Master DB YR 2001 for Routers_2_Two stage DDM_Tsann Kuen Model" xfId="3851" xr:uid="{00000000-0005-0000-0000-0000F70C0000}"/>
    <cellStyle name="_Master DB YR 2001 for Routers_2_Two stage DDM_TSRC Model" xfId="3852" xr:uid="{00000000-0005-0000-0000-0000F80C0000}"/>
    <cellStyle name="_Master DB YR 2001 for Routers_2324tw_WIP" xfId="3853" xr:uid="{00000000-0005-0000-0000-0000F90C0000}"/>
    <cellStyle name="_Master DB YR 2001 for Routers_2357tw-WIP" xfId="3854" xr:uid="{00000000-0005-0000-0000-0000FA0C0000}"/>
    <cellStyle name="_Master DB YR 2001 for Routers_2376tw_WIP" xfId="3855" xr:uid="{00000000-0005-0000-0000-0000FB0C0000}"/>
    <cellStyle name="_Master DB YR 2001 for Routers_2382tw_WIP" xfId="3856" xr:uid="{00000000-0005-0000-0000-0000FC0C0000}"/>
    <cellStyle name="_Master DB YR 2001 for Routers_Company" xfId="3857" xr:uid="{00000000-0005-0000-0000-0000FD0C0000}"/>
    <cellStyle name="_Master DB YR 2001 for Routers_for notexpress" xfId="3858" xr:uid="{00000000-0005-0000-0000-0000FE0C0000}"/>
    <cellStyle name="_Master DB YR 2001 for Routers_Fu Sheng Rev and GM model" xfId="3859" xr:uid="{00000000-0005-0000-0000-0000FF0C0000}"/>
    <cellStyle name="_Master DB YR 2001 for Routers_Fu Sheng Rev and GM model_Tsann Kuen Model" xfId="3860" xr:uid="{00000000-0005-0000-0000-0000000D0000}"/>
    <cellStyle name="_Master DB YR 2001 for Routers_Fu Sheng Rev and GM model_TSRC Model" xfId="3861" xr:uid="{00000000-0005-0000-0000-0000010D0000}"/>
    <cellStyle name="_Master DB YR 2001 for Routers_Giant Model MASTER" xfId="3862" xr:uid="{00000000-0005-0000-0000-0000020D0000}"/>
    <cellStyle name="_Master DB YR 2001 for Routers_Giant Model MASTER_Tsann Kuen Model" xfId="3863" xr:uid="{00000000-0005-0000-0000-0000030D0000}"/>
    <cellStyle name="_Master DB YR 2001 for Routers_Giant Model MASTER_TSRC Model" xfId="3864" xr:uid="{00000000-0005-0000-0000-0000040D0000}"/>
    <cellStyle name="_Master DB YR 2001 for Routers_GS1" xfId="3865" xr:uid="{00000000-0005-0000-0000-0000050D0000}"/>
    <cellStyle name="_Master DB YR 2001 for Routers_GS1_GS2" xfId="3866" xr:uid="{00000000-0005-0000-0000-0000060D0000}"/>
    <cellStyle name="_Master DB YR 2001 for Routers_GS1_GS2_Tong yang model copy valuation" xfId="3867" xr:uid="{00000000-0005-0000-0000-0000070D0000}"/>
    <cellStyle name="_Master DB YR 2001 for Routers_GS1_GS2_Tong yang model copy valuation_Tsann Kuen Model" xfId="3868" xr:uid="{00000000-0005-0000-0000-0000080D0000}"/>
    <cellStyle name="_Master DB YR 2001 for Routers_GS1_GS2_Tong yang model copy valuation_TSRC Model" xfId="3869" xr:uid="{00000000-0005-0000-0000-0000090D0000}"/>
    <cellStyle name="_Master DB YR 2001 for Routers_GS1_GS2_Tsann Kuen Model" xfId="3870" xr:uid="{00000000-0005-0000-0000-00000A0D0000}"/>
    <cellStyle name="_Master DB YR 2001 for Routers_GS1_GS2_TSRC Model" xfId="3871" xr:uid="{00000000-0005-0000-0000-00000B0D0000}"/>
    <cellStyle name="_Master DB YR 2001 for Routers_GS1_GS2_Two stage DDM" xfId="3872" xr:uid="{00000000-0005-0000-0000-00000C0D0000}"/>
    <cellStyle name="_Master DB YR 2001 for Routers_GS1_GS2_Two stage DDM_Tsann Kuen Model" xfId="3873" xr:uid="{00000000-0005-0000-0000-00000D0D0000}"/>
    <cellStyle name="_Master DB YR 2001 for Routers_GS1_GS2_Two stage DDM_TSRC Model" xfId="3874" xr:uid="{00000000-0005-0000-0000-00000E0D0000}"/>
    <cellStyle name="_Master DB YR 2001 for Routers_GS1_Tong yang model copy valuation" xfId="3875" xr:uid="{00000000-0005-0000-0000-00000F0D0000}"/>
    <cellStyle name="_Master DB YR 2001 for Routers_GS1_Tong yang model copy valuation_Tsann Kuen Model" xfId="3876" xr:uid="{00000000-0005-0000-0000-0000100D0000}"/>
    <cellStyle name="_Master DB YR 2001 for Routers_GS1_Tong yang model copy valuation_TSRC Model" xfId="3877" xr:uid="{00000000-0005-0000-0000-0000110D0000}"/>
    <cellStyle name="_Master DB YR 2001 for Routers_GS1_Tsann Kuen Model" xfId="3878" xr:uid="{00000000-0005-0000-0000-0000120D0000}"/>
    <cellStyle name="_Master DB YR 2001 for Routers_GS1_TSRC Model" xfId="3879" xr:uid="{00000000-0005-0000-0000-0000130D0000}"/>
    <cellStyle name="_Master DB YR 2001 for Routers_GS1_Two stage DDM" xfId="3880" xr:uid="{00000000-0005-0000-0000-0000140D0000}"/>
    <cellStyle name="_Master DB YR 2001 for Routers_GS1_Two stage DDM_Tsann Kuen Model" xfId="3881" xr:uid="{00000000-0005-0000-0000-0000150D0000}"/>
    <cellStyle name="_Master DB YR 2001 for Routers_GS1_Two stage DDM_TSRC Model" xfId="3882" xr:uid="{00000000-0005-0000-0000-0000160D0000}"/>
    <cellStyle name="_Master DB YR 2001 for Routers_Q sheet for ASUSTeK" xfId="3883" xr:uid="{00000000-0005-0000-0000-0000170D0000}"/>
    <cellStyle name="_Master DB YR 2001 for Routers_QA-GS1" xfId="3884" xr:uid="{00000000-0005-0000-0000-0000180D0000}"/>
    <cellStyle name="_Master DB YR 2001 for Routers_QA-GS1_GS2" xfId="3885" xr:uid="{00000000-0005-0000-0000-0000190D0000}"/>
    <cellStyle name="_Master DB YR 2001 for Routers_QA-GS1_GS2_Tong yang model copy valuation" xfId="3886" xr:uid="{00000000-0005-0000-0000-00001A0D0000}"/>
    <cellStyle name="_Master DB YR 2001 for Routers_QA-GS1_GS2_Tong yang model copy valuation_Tsann Kuen Model" xfId="3887" xr:uid="{00000000-0005-0000-0000-00001B0D0000}"/>
    <cellStyle name="_Master DB YR 2001 for Routers_QA-GS1_GS2_Tong yang model copy valuation_TSRC Model" xfId="3888" xr:uid="{00000000-0005-0000-0000-00001C0D0000}"/>
    <cellStyle name="_Master DB YR 2001 for Routers_QA-GS1_GS2_Tsann Kuen Model" xfId="3889" xr:uid="{00000000-0005-0000-0000-00001D0D0000}"/>
    <cellStyle name="_Master DB YR 2001 for Routers_QA-GS1_GS2_TSRC Model" xfId="3890" xr:uid="{00000000-0005-0000-0000-00001E0D0000}"/>
    <cellStyle name="_Master DB YR 2001 for Routers_QA-GS1_GS2_Two stage DDM" xfId="3891" xr:uid="{00000000-0005-0000-0000-00001F0D0000}"/>
    <cellStyle name="_Master DB YR 2001 for Routers_QA-GS1_GS2_Two stage DDM_Tsann Kuen Model" xfId="3892" xr:uid="{00000000-0005-0000-0000-0000200D0000}"/>
    <cellStyle name="_Master DB YR 2001 for Routers_QA-GS1_GS2_Two stage DDM_TSRC Model" xfId="3893" xr:uid="{00000000-0005-0000-0000-0000210D0000}"/>
    <cellStyle name="_Master DB YR 2001 for Routers_QA-GS1_Tong yang model copy valuation" xfId="3894" xr:uid="{00000000-0005-0000-0000-0000220D0000}"/>
    <cellStyle name="_Master DB YR 2001 for Routers_QA-GS1_Tong yang model copy valuation_Tsann Kuen Model" xfId="3895" xr:uid="{00000000-0005-0000-0000-0000230D0000}"/>
    <cellStyle name="_Master DB YR 2001 for Routers_QA-GS1_Tong yang model copy valuation_TSRC Model" xfId="3896" xr:uid="{00000000-0005-0000-0000-0000240D0000}"/>
    <cellStyle name="_Master DB YR 2001 for Routers_QA-GS1_Tsann Kuen Model" xfId="3897" xr:uid="{00000000-0005-0000-0000-0000250D0000}"/>
    <cellStyle name="_Master DB YR 2001 for Routers_QA-GS1_TSRC Model" xfId="3898" xr:uid="{00000000-0005-0000-0000-0000260D0000}"/>
    <cellStyle name="_Master DB YR 2001 for Routers_QA-GS1_Two stage DDM" xfId="3899" xr:uid="{00000000-0005-0000-0000-0000270D0000}"/>
    <cellStyle name="_Master DB YR 2001 for Routers_QA-GS1_Two stage DDM_Tsann Kuen Model" xfId="3900" xr:uid="{00000000-0005-0000-0000-0000280D0000}"/>
    <cellStyle name="_Master DB YR 2001 for Routers_QA-GS1_Two stage DDM_TSRC Model" xfId="3901" xr:uid="{00000000-0005-0000-0000-0000290D0000}"/>
    <cellStyle name="_Master DB YR 2001 for Routers_Quaterly operating data (FROM COMPANY) 2003-09-12" xfId="3902" xr:uid="{00000000-0005-0000-0000-00002A0D0000}"/>
    <cellStyle name="_Master DB YR 2001 for Routers_Quaterly operating data (FROM COMPANY) 2003-09-12_Tong yang model copy valuation" xfId="3903" xr:uid="{00000000-0005-0000-0000-00002B0D0000}"/>
    <cellStyle name="_Master DB YR 2001 for Routers_Quaterly operating data (FROM COMPANY) 2003-09-12_Tong yang model copy valuation_Tsann Kuen Model" xfId="3904" xr:uid="{00000000-0005-0000-0000-00002C0D0000}"/>
    <cellStyle name="_Master DB YR 2001 for Routers_Quaterly operating data (FROM COMPANY) 2003-09-12_Tong yang model copy valuation_TSRC Model" xfId="3905" xr:uid="{00000000-0005-0000-0000-00002D0D0000}"/>
    <cellStyle name="_Master DB YR 2001 for Routers_Quaterly operating data (FROM COMPANY) 2003-09-12_Tsann Kuen Model" xfId="3906" xr:uid="{00000000-0005-0000-0000-00002E0D0000}"/>
    <cellStyle name="_Master DB YR 2001 for Routers_Quaterly operating data (FROM COMPANY) 2003-09-12_TSRC Model" xfId="3907" xr:uid="{00000000-0005-0000-0000-00002F0D0000}"/>
    <cellStyle name="_Master DB YR 2001 for Routers_Quaterly operating data (FROM COMPANY) 2003-09-12_Two stage DDM" xfId="3908" xr:uid="{00000000-0005-0000-0000-0000300D0000}"/>
    <cellStyle name="_Master DB YR 2001 for Routers_Quaterly operating data (FROM COMPANY) 2003-09-12_Two stage DDM_Tsann Kuen Model" xfId="3909" xr:uid="{00000000-0005-0000-0000-0000310D0000}"/>
    <cellStyle name="_Master DB YR 2001 for Routers_Quaterly operating data (FROM COMPANY) 2003-09-12_Two stage DDM_TSRC Model" xfId="3910" xr:uid="{00000000-0005-0000-0000-0000320D0000}"/>
    <cellStyle name="_Master DB YR 2001 for Routers_QUESTI~11" xfId="3911" xr:uid="{00000000-0005-0000-0000-0000330D0000}"/>
    <cellStyle name="_Master DB YR 2001 for Routers_QUESTI~11_GS2" xfId="3912" xr:uid="{00000000-0005-0000-0000-0000340D0000}"/>
    <cellStyle name="_Master DB YR 2001 for Routers_QUESTI~11_GS2_Tong yang model copy valuation" xfId="3913" xr:uid="{00000000-0005-0000-0000-0000350D0000}"/>
    <cellStyle name="_Master DB YR 2001 for Routers_QUESTI~11_GS2_Tong yang model copy valuation_Tsann Kuen Model" xfId="3914" xr:uid="{00000000-0005-0000-0000-0000360D0000}"/>
    <cellStyle name="_Master DB YR 2001 for Routers_QUESTI~11_GS2_Tong yang model copy valuation_TSRC Model" xfId="3915" xr:uid="{00000000-0005-0000-0000-0000370D0000}"/>
    <cellStyle name="_Master DB YR 2001 for Routers_QUESTI~11_GS2_Tsann Kuen Model" xfId="3916" xr:uid="{00000000-0005-0000-0000-0000380D0000}"/>
    <cellStyle name="_Master DB YR 2001 for Routers_QUESTI~11_GS2_TSRC Model" xfId="3917" xr:uid="{00000000-0005-0000-0000-0000390D0000}"/>
    <cellStyle name="_Master DB YR 2001 for Routers_QUESTI~11_GS2_Two stage DDM" xfId="3918" xr:uid="{00000000-0005-0000-0000-00003A0D0000}"/>
    <cellStyle name="_Master DB YR 2001 for Routers_QUESTI~11_GS2_Two stage DDM_Tsann Kuen Model" xfId="3919" xr:uid="{00000000-0005-0000-0000-00003B0D0000}"/>
    <cellStyle name="_Master DB YR 2001 for Routers_QUESTI~11_GS2_Two stage DDM_TSRC Model" xfId="3920" xr:uid="{00000000-0005-0000-0000-00003C0D0000}"/>
    <cellStyle name="_Master DB YR 2001 for Routers_QUESTI~11_Tong yang model copy valuation" xfId="3921" xr:uid="{00000000-0005-0000-0000-00003D0D0000}"/>
    <cellStyle name="_Master DB YR 2001 for Routers_QUESTI~11_Tong yang model copy valuation_Tsann Kuen Model" xfId="3922" xr:uid="{00000000-0005-0000-0000-00003E0D0000}"/>
    <cellStyle name="_Master DB YR 2001 for Routers_QUESTI~11_Tong yang model copy valuation_TSRC Model" xfId="3923" xr:uid="{00000000-0005-0000-0000-00003F0D0000}"/>
    <cellStyle name="_Master DB YR 2001 for Routers_QUESTI~11_Tsann Kuen Model" xfId="3924" xr:uid="{00000000-0005-0000-0000-0000400D0000}"/>
    <cellStyle name="_Master DB YR 2001 for Routers_QUESTI~11_TSRC Model" xfId="3925" xr:uid="{00000000-0005-0000-0000-0000410D0000}"/>
    <cellStyle name="_Master DB YR 2001 for Routers_QUESTI~11_Two stage DDM" xfId="3926" xr:uid="{00000000-0005-0000-0000-0000420D0000}"/>
    <cellStyle name="_Master DB YR 2001 for Routers_QUESTI~11_Two stage DDM_Tsann Kuen Model" xfId="3927" xr:uid="{00000000-0005-0000-0000-0000430D0000}"/>
    <cellStyle name="_Master DB YR 2001 for Routers_QUESTI~11_Two stage DDM_TSRC Model" xfId="3928" xr:uid="{00000000-0005-0000-0000-0000440D0000}"/>
    <cellStyle name="_Master DB YR 2001 for Routers_Tong yang model copy valuation" xfId="3929" xr:uid="{00000000-0005-0000-0000-0000450D0000}"/>
    <cellStyle name="_Master DB YR 2001 for Routers_Tong yang model copy valuation_Fu Sheng Rev and GM model" xfId="3930" xr:uid="{00000000-0005-0000-0000-0000460D0000}"/>
    <cellStyle name="_Master DB YR 2001 for Routers_Tong yang model copy valuation_Fu Sheng Rev and GM model_Tsann Kuen Model" xfId="3931" xr:uid="{00000000-0005-0000-0000-0000470D0000}"/>
    <cellStyle name="_Master DB YR 2001 for Routers_Tong yang model copy valuation_Fu Sheng Rev and GM model_TSRC Model" xfId="3932" xr:uid="{00000000-0005-0000-0000-0000480D0000}"/>
    <cellStyle name="_Master DB YR 2001 for Routers_Two stage DDM" xfId="3933" xr:uid="{00000000-0005-0000-0000-0000490D0000}"/>
    <cellStyle name="_Master DB YR 2001 for Routers_Two stage DDM_Fu Sheng Rev and GM model" xfId="3934" xr:uid="{00000000-0005-0000-0000-00004A0D0000}"/>
    <cellStyle name="_Master DB YR 2001 for Routers_Two stage DDM_Fu Sheng Rev and GM model_Tsann Kuen Model" xfId="3935" xr:uid="{00000000-0005-0000-0000-00004B0D0000}"/>
    <cellStyle name="_Master DB YR 2001 for Routers_Two stage DDM_Fu Sheng Rev and GM model_TSRC Model" xfId="3936" xr:uid="{00000000-0005-0000-0000-00004C0D0000}"/>
    <cellStyle name="_MN071101" xfId="3937" xr:uid="{00000000-0005-0000-0000-00004D0D0000}"/>
    <cellStyle name="—_MN071101" xfId="3938" xr:uid="{00000000-0005-0000-0000-00004E0D0000}"/>
    <cellStyle name="—_MN-Langham" xfId="3939" xr:uid="{00000000-0005-0000-0000-00004F0D0000}"/>
    <cellStyle name="—_Model" xfId="3940" xr:uid="{00000000-0005-0000-0000-0000500D0000}"/>
    <cellStyle name="_Multiple" xfId="427" xr:uid="{00000000-0005-0000-0000-0000510D0000}"/>
    <cellStyle name="_Multiple_(GS) China Pharmaceutical Group model" xfId="3941" xr:uid="{00000000-0005-0000-0000-0000520D0000}"/>
    <cellStyle name="_Multiple_(GS) Global Bio-chem model" xfId="3942" xr:uid="{00000000-0005-0000-0000-0000530D0000}"/>
    <cellStyle name="_Multiple_01 adj for merger plan" xfId="428" xr:uid="{00000000-0005-0000-0000-0000540D0000}"/>
    <cellStyle name="_Multiple_Ability to Pay Analysis" xfId="429" xr:uid="{00000000-0005-0000-0000-0000550D0000}"/>
    <cellStyle name="_Multiple_AFL" xfId="430" xr:uid="{00000000-0005-0000-0000-0000560D0000}"/>
    <cellStyle name="_Multiple_AIZ" xfId="431" xr:uid="{00000000-0005-0000-0000-0000570D0000}"/>
    <cellStyle name="_Multiple_AMP" xfId="432" xr:uid="{00000000-0005-0000-0000-0000580D0000}"/>
    <cellStyle name="_Multiple_Balance Sheet" xfId="433" xr:uid="{00000000-0005-0000-0000-0000590D0000}"/>
    <cellStyle name="_Multiple_Base" xfId="3943" xr:uid="{00000000-0005-0000-0000-00005A0D0000}"/>
    <cellStyle name="_Multiple_BigSix Tables" xfId="3944" xr:uid="{00000000-0005-0000-0000-00005B0D0000}"/>
    <cellStyle name="_Multiple_Book1" xfId="434" xr:uid="{00000000-0005-0000-0000-00005C0D0000}"/>
    <cellStyle name="_Multiple_Book1_Jazztel model 16DP3-Exhibits" xfId="3945" xr:uid="{00000000-0005-0000-0000-00005D0D0000}"/>
    <cellStyle name="_Multiple_Book1_Jazztel model 18DP-exhibits" xfId="3946" xr:uid="{00000000-0005-0000-0000-00005E0D0000}"/>
    <cellStyle name="_Multiple_Book1_Jazztel model 18DP-exhibits_T_MOBIL2" xfId="3947" xr:uid="{00000000-0005-0000-0000-00005F0D0000}"/>
    <cellStyle name="_Multiple_Book1_Jazztel1" xfId="3948" xr:uid="{00000000-0005-0000-0000-0000600D0000}"/>
    <cellStyle name="_Multiple_Book1_T_MOBIL2" xfId="3949" xr:uid="{00000000-0005-0000-0000-0000610D0000}"/>
    <cellStyle name="_Multiple_Book11" xfId="3950" xr:uid="{00000000-0005-0000-0000-0000620D0000}"/>
    <cellStyle name="_Multiple_Book11_Jazztel model 16DP3-Exhibits" xfId="3951" xr:uid="{00000000-0005-0000-0000-0000630D0000}"/>
    <cellStyle name="_Multiple_Book11_Jazztel model 18DP-exhibits" xfId="3952" xr:uid="{00000000-0005-0000-0000-0000640D0000}"/>
    <cellStyle name="_Multiple_Book11_Jazztel model 18DP-exhibits_T_MOBIL2" xfId="3953" xr:uid="{00000000-0005-0000-0000-0000650D0000}"/>
    <cellStyle name="_Multiple_Book11_Jazztel1" xfId="3954" xr:uid="{00000000-0005-0000-0000-0000660D0000}"/>
    <cellStyle name="_Multiple_Book11_T_MOBIL2" xfId="3955" xr:uid="{00000000-0005-0000-0000-0000670D0000}"/>
    <cellStyle name="_Multiple_Book12" xfId="3956" xr:uid="{00000000-0005-0000-0000-0000680D0000}"/>
    <cellStyle name="_Multiple_Book12_Jazztel model 16DP3-Exhibits" xfId="3957" xr:uid="{00000000-0005-0000-0000-0000690D0000}"/>
    <cellStyle name="_Multiple_Book12_Jazztel model 18DP-exhibits" xfId="3958" xr:uid="{00000000-0005-0000-0000-00006A0D0000}"/>
    <cellStyle name="_Multiple_Book12_Jazztel model 18DP-exhibits_T_MOBIL2" xfId="3959" xr:uid="{00000000-0005-0000-0000-00006B0D0000}"/>
    <cellStyle name="_Multiple_Book12_Jazztel1" xfId="3960" xr:uid="{00000000-0005-0000-0000-00006C0D0000}"/>
    <cellStyle name="_Multiple_Book12_T_MOBIL2" xfId="3961" xr:uid="{00000000-0005-0000-0000-00006D0D0000}"/>
    <cellStyle name="_Multiple_Book29" xfId="435" xr:uid="{00000000-0005-0000-0000-00006E0D0000}"/>
    <cellStyle name="_Multiple_Book3" xfId="436" xr:uid="{00000000-0005-0000-0000-00006F0D0000}"/>
    <cellStyle name="_Multiple_Book3_1" xfId="437" xr:uid="{00000000-0005-0000-0000-0000700D0000}"/>
    <cellStyle name="_Multiple_BS" xfId="3962" xr:uid="{00000000-0005-0000-0000-0000710D0000}"/>
    <cellStyle name="_Multiple_CB" xfId="3963" xr:uid="{00000000-0005-0000-0000-0000720D0000}"/>
    <cellStyle name="_Multiple_CK Hutch InvestmentProp Mar 24 2006" xfId="3964" xr:uid="{00000000-0005-0000-0000-0000730D0000}"/>
    <cellStyle name="_Multiple_CNO" xfId="438" xr:uid="{00000000-0005-0000-0000-0000740D0000}"/>
    <cellStyle name="_Multiple_DCF Alexander Forbes" xfId="439" xr:uid="{00000000-0005-0000-0000-0000750D0000}"/>
    <cellStyle name="_Multiple_DCF Summary pages" xfId="3965" xr:uid="{00000000-0005-0000-0000-0000760D0000}"/>
    <cellStyle name="_Multiple_DCF Summary pages_Jazztel model 16DP3-Exhibits" xfId="3966" xr:uid="{00000000-0005-0000-0000-0000770D0000}"/>
    <cellStyle name="_Multiple_DCF Summary pages_Jazztel model 18DP-exhibits" xfId="3967" xr:uid="{00000000-0005-0000-0000-0000780D0000}"/>
    <cellStyle name="_Multiple_DCF Summary pages_Jazztel model 18DP-exhibits_T_MOBIL2" xfId="3968" xr:uid="{00000000-0005-0000-0000-0000790D0000}"/>
    <cellStyle name="_Multiple_DCF Summary pages_Jazztel1" xfId="3969" xr:uid="{00000000-0005-0000-0000-00007A0D0000}"/>
    <cellStyle name="_Multiple_DCF Summary pages_T_MOBIL2" xfId="3970" xr:uid="{00000000-0005-0000-0000-00007B0D0000}"/>
    <cellStyle name="_Multiple_FHRmodel" xfId="3971" xr:uid="{00000000-0005-0000-0000-00007C0D0000}"/>
    <cellStyle name="_Multiple_fmbi counties" xfId="440" xr:uid="{00000000-0005-0000-0000-00007D0D0000}"/>
    <cellStyle name="_Multiple_FMBI MBHI Graphs" xfId="441" xr:uid="{00000000-0005-0000-0000-00007E0D0000}"/>
    <cellStyle name="_Multiple_FMBI MBHI Graphs 07102001" xfId="442" xr:uid="{00000000-0005-0000-0000-00007F0D0000}"/>
    <cellStyle name="_Multiple_FMBI MBHI Graphs_7601" xfId="443" xr:uid="{00000000-0005-0000-0000-0000800D0000}"/>
    <cellStyle name="_Multiple_GNW" xfId="444" xr:uid="{00000000-0005-0000-0000-0000810D0000}"/>
    <cellStyle name="_Multiple_Hutchison Model 090514" xfId="3972" xr:uid="{00000000-0005-0000-0000-0000820D0000}"/>
    <cellStyle name="_Multiple_HWLaug2000" xfId="3973" xr:uid="{00000000-0005-0000-0000-0000830D0000}"/>
    <cellStyle name="_Multiple_Insurance Brokerage CSC_1Q2002" xfId="445" xr:uid="{00000000-0005-0000-0000-0000840D0000}"/>
    <cellStyle name="_Multiple_IPOmaster" xfId="3974" xr:uid="{00000000-0005-0000-0000-0000850D0000}"/>
    <cellStyle name="_Multiple_Jazztel model 15-exhibits" xfId="3975" xr:uid="{00000000-0005-0000-0000-0000860D0000}"/>
    <cellStyle name="_Multiple_Jazztel model 15-exhibits bis" xfId="3976" xr:uid="{00000000-0005-0000-0000-0000870D0000}"/>
    <cellStyle name="_Multiple_Jazztel model 15-exhibits_Jazztel model 16DP3-Exhibits" xfId="3977" xr:uid="{00000000-0005-0000-0000-0000880D0000}"/>
    <cellStyle name="_Multiple_Jazztel model 15-exhibits_Jazztel model 18DP-exhibits" xfId="3978" xr:uid="{00000000-0005-0000-0000-0000890D0000}"/>
    <cellStyle name="_Multiple_Jazztel model 15-exhibits_Jazztel model 18DP-exhibits_T_MOBIL2" xfId="3979" xr:uid="{00000000-0005-0000-0000-00008A0D0000}"/>
    <cellStyle name="_Multiple_Jazztel model 15-exhibits_Jazztel1" xfId="3980" xr:uid="{00000000-0005-0000-0000-00008B0D0000}"/>
    <cellStyle name="_Multiple_Jazztel model 15-exhibits_T_MOBIL2" xfId="3981" xr:uid="{00000000-0005-0000-0000-00008C0D0000}"/>
    <cellStyle name="_Multiple_Jazztel model 15-exhibits-Friso2" xfId="3982" xr:uid="{00000000-0005-0000-0000-00008D0D0000}"/>
    <cellStyle name="_Multiple_Jazztel model 15-exhibits-Friso2_Jazztel model 16DP3-Exhibits" xfId="3983" xr:uid="{00000000-0005-0000-0000-00008E0D0000}"/>
    <cellStyle name="_Multiple_Jazztel model 15-exhibits-Friso2_Jazztel model 18DP-exhibits" xfId="3984" xr:uid="{00000000-0005-0000-0000-00008F0D0000}"/>
    <cellStyle name="_Multiple_Jazztel model 15-exhibits-Friso2_Jazztel model 18DP-exhibits_T_MOBIL2" xfId="3985" xr:uid="{00000000-0005-0000-0000-0000900D0000}"/>
    <cellStyle name="_Multiple_Jazztel model 15-exhibits-Friso2_Jazztel1" xfId="3986" xr:uid="{00000000-0005-0000-0000-0000910D0000}"/>
    <cellStyle name="_Multiple_Jazztel model 15-exhibits-Friso2_T_MOBIL2" xfId="3987" xr:uid="{00000000-0005-0000-0000-0000920D0000}"/>
    <cellStyle name="_Multiple_Jazztel model 16DP2-Exhibits" xfId="3988" xr:uid="{00000000-0005-0000-0000-0000930D0000}"/>
    <cellStyle name="_Multiple_Jazztel model 16DP2-Exhibits_T_MOBIL2" xfId="3989" xr:uid="{00000000-0005-0000-0000-0000940D0000}"/>
    <cellStyle name="_Multiple_Jazztel model 16DP3-Exhibits" xfId="3990" xr:uid="{00000000-0005-0000-0000-0000950D0000}"/>
    <cellStyle name="_Multiple_Jazztel model 16DP3-Exhibits_T_MOBIL2" xfId="3991" xr:uid="{00000000-0005-0000-0000-0000960D0000}"/>
    <cellStyle name="_Multiple_JP" xfId="446" xr:uid="{00000000-0005-0000-0000-0000970D0000}"/>
    <cellStyle name="_Multiple_L&amp;Ffin" xfId="3992" xr:uid="{00000000-0005-0000-0000-0000980D0000}"/>
    <cellStyle name="_Multiple_LNC" xfId="447" xr:uid="{00000000-0005-0000-0000-0000990D0000}"/>
    <cellStyle name="_Multiple_MET" xfId="448" xr:uid="{00000000-0005-0000-0000-00009A0D0000}"/>
    <cellStyle name="_Multiple_MET04" xfId="449" xr:uid="{00000000-0005-0000-0000-00009B0D0000}"/>
    <cellStyle name="_Multiple_NFS" xfId="450" xr:uid="{00000000-0005-0000-0000-00009C0D0000}"/>
    <cellStyle name="_Multiple_Novatek forecast" xfId="3993" xr:uid="{00000000-0005-0000-0000-00009D0D0000}"/>
    <cellStyle name="_Multiple_Overseas" xfId="3994" xr:uid="{00000000-0005-0000-0000-00009E0D0000}"/>
    <cellStyle name="_Multiple_Overview3" xfId="451" xr:uid="{00000000-0005-0000-0000-00009F0D0000}"/>
    <cellStyle name="_Multiple_phil data" xfId="452" xr:uid="{00000000-0005-0000-0000-0000A00D0000}"/>
    <cellStyle name="_Multiple_Price Performance Charts" xfId="453" xr:uid="{00000000-0005-0000-0000-0000A10D0000}"/>
    <cellStyle name="_Multiple_PRU" xfId="454" xr:uid="{00000000-0005-0000-0000-0000A20D0000}"/>
    <cellStyle name="_Multiple_PRU04" xfId="455" xr:uid="{00000000-0005-0000-0000-0000A30D0000}"/>
    <cellStyle name="_Multiple_RiskReward" xfId="456" xr:uid="{00000000-0005-0000-0000-0000A40D0000}"/>
    <cellStyle name="_Multiple_SFG" xfId="457" xr:uid="{00000000-0005-0000-0000-0000A50D0000}"/>
    <cellStyle name="_Multiple_Sheet1" xfId="458" xr:uid="{00000000-0005-0000-0000-0000A60D0000}"/>
    <cellStyle name="_Multiple_Stock-QTR1 FDS" xfId="459" xr:uid="{00000000-0005-0000-0000-0000A70D0000}"/>
    <cellStyle name="_Multiple_T_MOBIL2" xfId="3995" xr:uid="{00000000-0005-0000-0000-0000A80D0000}"/>
    <cellStyle name="_Multiple_TMK" xfId="460" xr:uid="{00000000-0005-0000-0000-0000A90D0000}"/>
    <cellStyle name="_Multiple_Updated Valuation Changes" xfId="461" xr:uid="{00000000-0005-0000-0000-0000AA0D0000}"/>
    <cellStyle name="_Multiple_Valuation Graphs" xfId="462" xr:uid="{00000000-0005-0000-0000-0000AB0D0000}"/>
    <cellStyle name="_Multiple_WHARFSS" xfId="3996" xr:uid="{00000000-0005-0000-0000-0000AC0D0000}"/>
    <cellStyle name="_Multiple_xratio - historical mkt val" xfId="463" xr:uid="{00000000-0005-0000-0000-0000AD0D0000}"/>
    <cellStyle name="_MultipleSpace" xfId="464" xr:uid="{00000000-0005-0000-0000-0000AE0D0000}"/>
    <cellStyle name="_MultipleSpace_01 adj for merger plan" xfId="465" xr:uid="{00000000-0005-0000-0000-0000AF0D0000}"/>
    <cellStyle name="_MultipleSpace_Ability to Pay Analysis" xfId="466" xr:uid="{00000000-0005-0000-0000-0000B00D0000}"/>
    <cellStyle name="_MultipleSpace_AFL" xfId="467" xr:uid="{00000000-0005-0000-0000-0000B10D0000}"/>
    <cellStyle name="_MultipleSpace_AIZ" xfId="468" xr:uid="{00000000-0005-0000-0000-0000B20D0000}"/>
    <cellStyle name="_MultipleSpace_AMP" xfId="469" xr:uid="{00000000-0005-0000-0000-0000B30D0000}"/>
    <cellStyle name="_MultipleSpace_Balance Sheet" xfId="470" xr:uid="{00000000-0005-0000-0000-0000B40D0000}"/>
    <cellStyle name="_MultipleSpace_Base" xfId="3997" xr:uid="{00000000-0005-0000-0000-0000B50D0000}"/>
    <cellStyle name="_MultipleSpace_BigSix Tables" xfId="3998" xr:uid="{00000000-0005-0000-0000-0000B60D0000}"/>
    <cellStyle name="_MultipleSpace_Book1" xfId="471" xr:uid="{00000000-0005-0000-0000-0000B70D0000}"/>
    <cellStyle name="_MultipleSpace_Book1_Jazztel" xfId="3999" xr:uid="{00000000-0005-0000-0000-0000B80D0000}"/>
    <cellStyle name="_MultipleSpace_Book1_Jazztel model 16DP3-Exhibits" xfId="4000" xr:uid="{00000000-0005-0000-0000-0000B90D0000}"/>
    <cellStyle name="_MultipleSpace_Book1_Jazztel model 18DP-exhibits" xfId="4001" xr:uid="{00000000-0005-0000-0000-0000BA0D0000}"/>
    <cellStyle name="_MultipleSpace_Book1_Jazztel model 18DP-exhibits_T_MOBIL2" xfId="4002" xr:uid="{00000000-0005-0000-0000-0000BB0D0000}"/>
    <cellStyle name="_MultipleSpace_Book1_Jazztel model 18DP-exhibits_T_MOBIL2_Fidelity FixedTel - Summer" xfId="4003" xr:uid="{00000000-0005-0000-0000-0000BC0D0000}"/>
    <cellStyle name="_MultipleSpace_Book1_Jazztel model 18DP-exhibits_T_MOBIL2_Fidelity FixedTel - Summer_Cheng Shin Model" xfId="4004" xr:uid="{00000000-0005-0000-0000-0000BD0D0000}"/>
    <cellStyle name="_MultipleSpace_Book1_Jazztel model 18DP-exhibits_T_MOBIL2_Fidelity FixedTel - Summer_Cheng Shin Model (WIP 2004-07)" xfId="4005" xr:uid="{00000000-0005-0000-0000-0000BE0D0000}"/>
    <cellStyle name="_MultipleSpace_Book1_Jazztel model 18DP-exhibits_T_MOBIL2_Fidelity FixedTel - Summer_Cheng Shin Model_Cheng Shin Model (WIP 2004-07)" xfId="4006" xr:uid="{00000000-0005-0000-0000-0000BF0D0000}"/>
    <cellStyle name="_MultipleSpace_Book1_Jazztel model 18DP-exhibits_T_MOBIL2_Fidelity FixedTel - Summer_Cheng Shin Model_FEDS Model" xfId="4007" xr:uid="{00000000-0005-0000-0000-0000C00D0000}"/>
    <cellStyle name="_MultipleSpace_Book1_Jazztel model 18DP-exhibits_T_MOBIL2_Fidelity FixedTel - Summer_Cheng Shin Model_Tong yang model copy valuation" xfId="4008" xr:uid="{00000000-0005-0000-0000-0000C10D0000}"/>
    <cellStyle name="_MultipleSpace_Book1_Jazztel model 18DP-exhibits_T_MOBIL2_Fidelity FixedTel - Summer_FEDS Model" xfId="4009" xr:uid="{00000000-0005-0000-0000-0000C20D0000}"/>
    <cellStyle name="_MultipleSpace_Book1_Jazztel model 18DP-exhibits_T_MOBIL2_Fidelity FixedTel - Summer_Synnex Model" xfId="4010" xr:uid="{00000000-0005-0000-0000-0000C30D0000}"/>
    <cellStyle name="_MultipleSpace_Book1_Jazztel model 18DP-exhibits_T_MOBIL2_Fidelity FixedTel - Summer_Taiwan Auto Company DCF Comparison" xfId="4011" xr:uid="{00000000-0005-0000-0000-0000C40D0000}"/>
    <cellStyle name="_MultipleSpace_Book1_Jazztel model 18DP-exhibits_T_MOBIL2_Fidelity FixedTel - Summer_Tong Yang Model" xfId="4012" xr:uid="{00000000-0005-0000-0000-0000C50D0000}"/>
    <cellStyle name="_MultipleSpace_Book1_Jazztel model 18DP-exhibits_T_MOBIL2_Fidelity FixedTel - Summer_Tong yang model copy valuation" xfId="4013" xr:uid="{00000000-0005-0000-0000-0000C60D0000}"/>
    <cellStyle name="_MultipleSpace_Book1_Jazztel model 18DP-exhibits_T_MOBIL2_FixedTele" xfId="4014" xr:uid="{00000000-0005-0000-0000-0000C70D0000}"/>
    <cellStyle name="_MultipleSpace_Book1_Jazztel1" xfId="4015" xr:uid="{00000000-0005-0000-0000-0000C80D0000}"/>
    <cellStyle name="_MultipleSpace_Book11" xfId="4016" xr:uid="{00000000-0005-0000-0000-0000C90D0000}"/>
    <cellStyle name="_MultipleSpace_Book11_Jazztel" xfId="4017" xr:uid="{00000000-0005-0000-0000-0000CA0D0000}"/>
    <cellStyle name="_MultipleSpace_Book11_Jazztel model 16DP3-Exhibits" xfId="4018" xr:uid="{00000000-0005-0000-0000-0000CB0D0000}"/>
    <cellStyle name="_MultipleSpace_Book11_Jazztel model 18DP-exhibits" xfId="4019" xr:uid="{00000000-0005-0000-0000-0000CC0D0000}"/>
    <cellStyle name="_MultipleSpace_Book11_Jazztel model 18DP-exhibits_T_MOBIL2" xfId="4020" xr:uid="{00000000-0005-0000-0000-0000CD0D0000}"/>
    <cellStyle name="_MultipleSpace_Book11_Jazztel model 18DP-exhibits_T_MOBIL2_Fidelity FixedTel - Summer" xfId="4021" xr:uid="{00000000-0005-0000-0000-0000CE0D0000}"/>
    <cellStyle name="_MultipleSpace_Book11_Jazztel model 18DP-exhibits_T_MOBIL2_Fidelity FixedTel - Summer_Cheng Shin Model" xfId="4022" xr:uid="{00000000-0005-0000-0000-0000CF0D0000}"/>
    <cellStyle name="_MultipleSpace_Book11_Jazztel model 18DP-exhibits_T_MOBIL2_Fidelity FixedTel - Summer_Cheng Shin Model (WIP 2004-07)" xfId="4023" xr:uid="{00000000-0005-0000-0000-0000D00D0000}"/>
    <cellStyle name="_MultipleSpace_Book11_Jazztel model 18DP-exhibits_T_MOBIL2_Fidelity FixedTel - Summer_Cheng Shin Model_Cheng Shin Model (WIP 2004-07)" xfId="4024" xr:uid="{00000000-0005-0000-0000-0000D10D0000}"/>
    <cellStyle name="_MultipleSpace_Book11_Jazztel model 18DP-exhibits_T_MOBIL2_Fidelity FixedTel - Summer_Cheng Shin Model_FEDS Model" xfId="4025" xr:uid="{00000000-0005-0000-0000-0000D20D0000}"/>
    <cellStyle name="_MultipleSpace_Book11_Jazztel model 18DP-exhibits_T_MOBIL2_Fidelity FixedTel - Summer_Cheng Shin Model_Tong yang model copy valuation" xfId="4026" xr:uid="{00000000-0005-0000-0000-0000D30D0000}"/>
    <cellStyle name="_MultipleSpace_Book11_Jazztel model 18DP-exhibits_T_MOBIL2_Fidelity FixedTel - Summer_FEDS Model" xfId="4027" xr:uid="{00000000-0005-0000-0000-0000D40D0000}"/>
    <cellStyle name="_MultipleSpace_Book11_Jazztel model 18DP-exhibits_T_MOBIL2_Fidelity FixedTel - Summer_Synnex Model" xfId="4028" xr:uid="{00000000-0005-0000-0000-0000D50D0000}"/>
    <cellStyle name="_MultipleSpace_Book11_Jazztel model 18DP-exhibits_T_MOBIL2_Fidelity FixedTel - Summer_Taiwan Auto Company DCF Comparison" xfId="4029" xr:uid="{00000000-0005-0000-0000-0000D60D0000}"/>
    <cellStyle name="_MultipleSpace_Book11_Jazztel model 18DP-exhibits_T_MOBIL2_Fidelity FixedTel - Summer_Tong Yang Model" xfId="4030" xr:uid="{00000000-0005-0000-0000-0000D70D0000}"/>
    <cellStyle name="_MultipleSpace_Book11_Jazztel model 18DP-exhibits_T_MOBIL2_Fidelity FixedTel - Summer_Tong yang model copy valuation" xfId="4031" xr:uid="{00000000-0005-0000-0000-0000D80D0000}"/>
    <cellStyle name="_MultipleSpace_Book11_Jazztel model 18DP-exhibits_T_MOBIL2_FixedTele" xfId="4032" xr:uid="{00000000-0005-0000-0000-0000D90D0000}"/>
    <cellStyle name="_MultipleSpace_Book11_Jazztel1" xfId="4033" xr:uid="{00000000-0005-0000-0000-0000DA0D0000}"/>
    <cellStyle name="_MultipleSpace_Book12" xfId="4034" xr:uid="{00000000-0005-0000-0000-0000DB0D0000}"/>
    <cellStyle name="_MultipleSpace_Book12_Jazztel" xfId="4035" xr:uid="{00000000-0005-0000-0000-0000DC0D0000}"/>
    <cellStyle name="_MultipleSpace_Book12_Jazztel model 16DP3-Exhibits" xfId="4036" xr:uid="{00000000-0005-0000-0000-0000DD0D0000}"/>
    <cellStyle name="_MultipleSpace_Book12_Jazztel model 18DP-exhibits" xfId="4037" xr:uid="{00000000-0005-0000-0000-0000DE0D0000}"/>
    <cellStyle name="_MultipleSpace_Book12_Jazztel model 18DP-exhibits_T_MOBIL2" xfId="4038" xr:uid="{00000000-0005-0000-0000-0000DF0D0000}"/>
    <cellStyle name="_MultipleSpace_Book12_Jazztel model 18DP-exhibits_T_MOBIL2_Fidelity FixedTel - Summer" xfId="4039" xr:uid="{00000000-0005-0000-0000-0000E00D0000}"/>
    <cellStyle name="_MultipleSpace_Book12_Jazztel model 18DP-exhibits_T_MOBIL2_Fidelity FixedTel - Summer_Cheng Shin Model" xfId="4040" xr:uid="{00000000-0005-0000-0000-0000E10D0000}"/>
    <cellStyle name="_MultipleSpace_Book12_Jazztel model 18DP-exhibits_T_MOBIL2_Fidelity FixedTel - Summer_Cheng Shin Model (WIP 2004-07)" xfId="4041" xr:uid="{00000000-0005-0000-0000-0000E20D0000}"/>
    <cellStyle name="_MultipleSpace_Book12_Jazztel model 18DP-exhibits_T_MOBIL2_Fidelity FixedTel - Summer_Cheng Shin Model_Cheng Shin Model (WIP 2004-07)" xfId="4042" xr:uid="{00000000-0005-0000-0000-0000E30D0000}"/>
    <cellStyle name="_MultipleSpace_Book12_Jazztel model 18DP-exhibits_T_MOBIL2_Fidelity FixedTel - Summer_Cheng Shin Model_FEDS Model" xfId="4043" xr:uid="{00000000-0005-0000-0000-0000E40D0000}"/>
    <cellStyle name="_MultipleSpace_Book12_Jazztel model 18DP-exhibits_T_MOBIL2_Fidelity FixedTel - Summer_Cheng Shin Model_Tong yang model copy valuation" xfId="4044" xr:uid="{00000000-0005-0000-0000-0000E50D0000}"/>
    <cellStyle name="_MultipleSpace_Book12_Jazztel model 18DP-exhibits_T_MOBIL2_Fidelity FixedTel - Summer_FEDS Model" xfId="4045" xr:uid="{00000000-0005-0000-0000-0000E60D0000}"/>
    <cellStyle name="_MultipleSpace_Book12_Jazztel model 18DP-exhibits_T_MOBIL2_Fidelity FixedTel - Summer_Synnex Model" xfId="4046" xr:uid="{00000000-0005-0000-0000-0000E70D0000}"/>
    <cellStyle name="_MultipleSpace_Book12_Jazztel model 18DP-exhibits_T_MOBIL2_Fidelity FixedTel - Summer_Taiwan Auto Company DCF Comparison" xfId="4047" xr:uid="{00000000-0005-0000-0000-0000E80D0000}"/>
    <cellStyle name="_MultipleSpace_Book12_Jazztel model 18DP-exhibits_T_MOBIL2_Fidelity FixedTel - Summer_Tong Yang Model" xfId="4048" xr:uid="{00000000-0005-0000-0000-0000E90D0000}"/>
    <cellStyle name="_MultipleSpace_Book12_Jazztel model 18DP-exhibits_T_MOBIL2_Fidelity FixedTel - Summer_Tong yang model copy valuation" xfId="4049" xr:uid="{00000000-0005-0000-0000-0000EA0D0000}"/>
    <cellStyle name="_MultipleSpace_Book12_Jazztel model 18DP-exhibits_T_MOBIL2_FixedTele" xfId="4050" xr:uid="{00000000-0005-0000-0000-0000EB0D0000}"/>
    <cellStyle name="_MultipleSpace_Book12_Jazztel1" xfId="4051" xr:uid="{00000000-0005-0000-0000-0000EC0D0000}"/>
    <cellStyle name="_MultipleSpace_Book29" xfId="472" xr:uid="{00000000-0005-0000-0000-0000ED0D0000}"/>
    <cellStyle name="_MultipleSpace_Book3" xfId="473" xr:uid="{00000000-0005-0000-0000-0000EE0D0000}"/>
    <cellStyle name="_MultipleSpace_Book3_1" xfId="474" xr:uid="{00000000-0005-0000-0000-0000EF0D0000}"/>
    <cellStyle name="_MultipleSpace_Book6" xfId="4052" xr:uid="{00000000-0005-0000-0000-0000F00D0000}"/>
    <cellStyle name="_MultipleSpace_CB" xfId="4053" xr:uid="{00000000-0005-0000-0000-0000F10D0000}"/>
    <cellStyle name="_MultipleSpace_CK Hutch InvestmentProp Mar 24 2006" xfId="4054" xr:uid="{00000000-0005-0000-0000-0000F20D0000}"/>
    <cellStyle name="_MultipleSpace_CNO" xfId="475" xr:uid="{00000000-0005-0000-0000-0000F30D0000}"/>
    <cellStyle name="_MultipleSpace_DCF Alexander Forbes" xfId="476" xr:uid="{00000000-0005-0000-0000-0000F40D0000}"/>
    <cellStyle name="_MultipleSpace_DCF Summary pages" xfId="4055" xr:uid="{00000000-0005-0000-0000-0000F50D0000}"/>
    <cellStyle name="_MultipleSpace_DCF Summary pages_Jazztel" xfId="4056" xr:uid="{00000000-0005-0000-0000-0000F60D0000}"/>
    <cellStyle name="_MultipleSpace_DCF Summary pages_Jazztel model 16DP3-Exhibits" xfId="4057" xr:uid="{00000000-0005-0000-0000-0000F70D0000}"/>
    <cellStyle name="_MultipleSpace_DCF Summary pages_Jazztel model 18DP-exhibits" xfId="4058" xr:uid="{00000000-0005-0000-0000-0000F80D0000}"/>
    <cellStyle name="_MultipleSpace_DCF Summary pages_Jazztel model 18DP-exhibits_T_MOBIL2" xfId="4059" xr:uid="{00000000-0005-0000-0000-0000F90D0000}"/>
    <cellStyle name="_MultipleSpace_DCF Summary pages_Jazztel model 18DP-exhibits_T_MOBIL2_Fidelity FixedTel - Summer" xfId="4060" xr:uid="{00000000-0005-0000-0000-0000FA0D0000}"/>
    <cellStyle name="_MultipleSpace_DCF Summary pages_Jazztel model 18DP-exhibits_T_MOBIL2_Fidelity FixedTel - Summer_Cheng Shin Model" xfId="4061" xr:uid="{00000000-0005-0000-0000-0000FB0D0000}"/>
    <cellStyle name="_MultipleSpace_DCF Summary pages_Jazztel model 18DP-exhibits_T_MOBIL2_Fidelity FixedTel - Summer_Cheng Shin Model (WIP 2004-07)" xfId="4062" xr:uid="{00000000-0005-0000-0000-0000FC0D0000}"/>
    <cellStyle name="_MultipleSpace_DCF Summary pages_Jazztel model 18DP-exhibits_T_MOBIL2_Fidelity FixedTel - Summer_Cheng Shin Model_Cheng Shin Model (WIP 2004-07)" xfId="4063" xr:uid="{00000000-0005-0000-0000-0000FD0D0000}"/>
    <cellStyle name="_MultipleSpace_DCF Summary pages_Jazztel model 18DP-exhibits_T_MOBIL2_Fidelity FixedTel - Summer_Cheng Shin Model_FEDS Model" xfId="4064" xr:uid="{00000000-0005-0000-0000-0000FE0D0000}"/>
    <cellStyle name="_MultipleSpace_DCF Summary pages_Jazztel model 18DP-exhibits_T_MOBIL2_Fidelity FixedTel - Summer_Cheng Shin Model_Tong yang model copy valuation" xfId="4065" xr:uid="{00000000-0005-0000-0000-0000FF0D0000}"/>
    <cellStyle name="_MultipleSpace_DCF Summary pages_Jazztel model 18DP-exhibits_T_MOBIL2_Fidelity FixedTel - Summer_FEDS Model" xfId="4066" xr:uid="{00000000-0005-0000-0000-0000000E0000}"/>
    <cellStyle name="_MultipleSpace_DCF Summary pages_Jazztel model 18DP-exhibits_T_MOBIL2_Fidelity FixedTel - Summer_Synnex Model" xfId="4067" xr:uid="{00000000-0005-0000-0000-0000010E0000}"/>
    <cellStyle name="_MultipleSpace_DCF Summary pages_Jazztel model 18DP-exhibits_T_MOBIL2_Fidelity FixedTel - Summer_Taiwan Auto Company DCF Comparison" xfId="4068" xr:uid="{00000000-0005-0000-0000-0000020E0000}"/>
    <cellStyle name="_MultipleSpace_DCF Summary pages_Jazztel model 18DP-exhibits_T_MOBIL2_Fidelity FixedTel - Summer_Tong Yang Model" xfId="4069" xr:uid="{00000000-0005-0000-0000-0000030E0000}"/>
    <cellStyle name="_MultipleSpace_DCF Summary pages_Jazztel model 18DP-exhibits_T_MOBIL2_Fidelity FixedTel - Summer_Tong yang model copy valuation" xfId="4070" xr:uid="{00000000-0005-0000-0000-0000040E0000}"/>
    <cellStyle name="_MultipleSpace_DCF Summary pages_Jazztel model 18DP-exhibits_T_MOBIL2_FixedTele" xfId="4071" xr:uid="{00000000-0005-0000-0000-0000050E0000}"/>
    <cellStyle name="_MultipleSpace_DCF Summary pages_Jazztel1" xfId="4072" xr:uid="{00000000-0005-0000-0000-0000060E0000}"/>
    <cellStyle name="_MultipleSpace_DCFTemplatev1" xfId="4073" xr:uid="{00000000-0005-0000-0000-0000070E0000}"/>
    <cellStyle name="_MultipleSpace_FHRmodel" xfId="4074" xr:uid="{00000000-0005-0000-0000-0000080E0000}"/>
    <cellStyle name="_MultipleSpace_fmbi counties" xfId="477" xr:uid="{00000000-0005-0000-0000-0000090E0000}"/>
    <cellStyle name="_MultipleSpace_FMBI MBHI Graphs" xfId="478" xr:uid="{00000000-0005-0000-0000-00000A0E0000}"/>
    <cellStyle name="_MultipleSpace_FMBI MBHI Graphs 07102001" xfId="479" xr:uid="{00000000-0005-0000-0000-00000B0E0000}"/>
    <cellStyle name="_MultipleSpace_FMBI MBHI Graphs_7601" xfId="480" xr:uid="{00000000-0005-0000-0000-00000C0E0000}"/>
    <cellStyle name="_MultipleSpace_GNW" xfId="481" xr:uid="{00000000-0005-0000-0000-00000D0E0000}"/>
    <cellStyle name="_MultipleSpace_HLG stub" xfId="4075" xr:uid="{00000000-0005-0000-0000-00000E0E0000}"/>
    <cellStyle name="_MultipleSpace_Hutchison Model 090514" xfId="4076" xr:uid="{00000000-0005-0000-0000-00000F0E0000}"/>
    <cellStyle name="_MultipleSpace_HWLaug2000" xfId="4077" xr:uid="{00000000-0005-0000-0000-0000100E0000}"/>
    <cellStyle name="_MultipleSpace_Hysan" xfId="4078" xr:uid="{00000000-0005-0000-0000-0000110E0000}"/>
    <cellStyle name="_MultipleSpace_Insurance Brokerage CSC_1Q2002" xfId="482" xr:uid="{00000000-0005-0000-0000-0000120E0000}"/>
    <cellStyle name="_MultipleSpace_IPOmaster" xfId="4079" xr:uid="{00000000-0005-0000-0000-0000130E0000}"/>
    <cellStyle name="_MultipleSpace_Jazztel model 15-exhibits" xfId="4080" xr:uid="{00000000-0005-0000-0000-0000140E0000}"/>
    <cellStyle name="_MultipleSpace_Jazztel model 15-exhibits bis" xfId="4081" xr:uid="{00000000-0005-0000-0000-0000150E0000}"/>
    <cellStyle name="_MultipleSpace_Jazztel model 15-exhibits_Jazztel" xfId="4082" xr:uid="{00000000-0005-0000-0000-0000160E0000}"/>
    <cellStyle name="_MultipleSpace_Jazztel model 15-exhibits_Jazztel model 16DP3-Exhibits" xfId="4083" xr:uid="{00000000-0005-0000-0000-0000170E0000}"/>
    <cellStyle name="_MultipleSpace_Jazztel model 15-exhibits_Jazztel model 18DP-exhibits" xfId="4084" xr:uid="{00000000-0005-0000-0000-0000180E0000}"/>
    <cellStyle name="_MultipleSpace_Jazztel model 15-exhibits_Jazztel model 18DP-exhibits_T_MOBIL2" xfId="4085" xr:uid="{00000000-0005-0000-0000-0000190E0000}"/>
    <cellStyle name="_MultipleSpace_Jazztel model 15-exhibits_Jazztel model 18DP-exhibits_T_MOBIL2_Fidelity FixedTel - Summer" xfId="4086" xr:uid="{00000000-0005-0000-0000-00001A0E0000}"/>
    <cellStyle name="_MultipleSpace_Jazztel model 15-exhibits_Jazztel model 18DP-exhibits_T_MOBIL2_Fidelity FixedTel - Summer_Cheng Shin Model" xfId="4087" xr:uid="{00000000-0005-0000-0000-00001B0E0000}"/>
    <cellStyle name="_MultipleSpace_Jazztel model 15-exhibits_Jazztel model 18DP-exhibits_T_MOBIL2_Fidelity FixedTel - Summer_Cheng Shin Model (WIP 2004-07)" xfId="4088" xr:uid="{00000000-0005-0000-0000-00001C0E0000}"/>
    <cellStyle name="_MultipleSpace_Jazztel model 15-exhibits_Jazztel model 18DP-exhibits_T_MOBIL2_Fidelity FixedTel - Summer_Cheng Shin Model_Cheng Shin Model (WIP 2004-07)" xfId="4089" xr:uid="{00000000-0005-0000-0000-00001D0E0000}"/>
    <cellStyle name="_MultipleSpace_Jazztel model 15-exhibits_Jazztel model 18DP-exhibits_T_MOBIL2_Fidelity FixedTel - Summer_Cheng Shin Model_FEDS Model" xfId="4090" xr:uid="{00000000-0005-0000-0000-00001E0E0000}"/>
    <cellStyle name="_MultipleSpace_Jazztel model 15-exhibits_Jazztel model 18DP-exhibits_T_MOBIL2_Fidelity FixedTel - Summer_Cheng Shin Model_Tong yang model copy valuation" xfId="4091" xr:uid="{00000000-0005-0000-0000-00001F0E0000}"/>
    <cellStyle name="_MultipleSpace_Jazztel model 15-exhibits_Jazztel model 18DP-exhibits_T_MOBIL2_Fidelity FixedTel - Summer_FEDS Model" xfId="4092" xr:uid="{00000000-0005-0000-0000-0000200E0000}"/>
    <cellStyle name="_MultipleSpace_Jazztel model 15-exhibits_Jazztel model 18DP-exhibits_T_MOBIL2_Fidelity FixedTel - Summer_Synnex Model" xfId="4093" xr:uid="{00000000-0005-0000-0000-0000210E0000}"/>
    <cellStyle name="_MultipleSpace_Jazztel model 15-exhibits_Jazztel model 18DP-exhibits_T_MOBIL2_Fidelity FixedTel - Summer_Taiwan Auto Company DCF Comparison" xfId="4094" xr:uid="{00000000-0005-0000-0000-0000220E0000}"/>
    <cellStyle name="_MultipleSpace_Jazztel model 15-exhibits_Jazztel model 18DP-exhibits_T_MOBIL2_Fidelity FixedTel - Summer_Tong Yang Model" xfId="4095" xr:uid="{00000000-0005-0000-0000-0000230E0000}"/>
    <cellStyle name="_MultipleSpace_Jazztel model 15-exhibits_Jazztel model 18DP-exhibits_T_MOBIL2_Fidelity FixedTel - Summer_Tong yang model copy valuation" xfId="4096" xr:uid="{00000000-0005-0000-0000-0000240E0000}"/>
    <cellStyle name="_MultipleSpace_Jazztel model 15-exhibits_Jazztel model 18DP-exhibits_T_MOBIL2_FixedTele" xfId="4097" xr:uid="{00000000-0005-0000-0000-0000250E0000}"/>
    <cellStyle name="_MultipleSpace_Jazztel model 15-exhibits_Jazztel1" xfId="4098" xr:uid="{00000000-0005-0000-0000-0000260E0000}"/>
    <cellStyle name="_MultipleSpace_Jazztel model 15-exhibits-Friso2" xfId="4099" xr:uid="{00000000-0005-0000-0000-0000270E0000}"/>
    <cellStyle name="_MultipleSpace_Jazztel model 15-exhibits-Friso2_Jazztel" xfId="4100" xr:uid="{00000000-0005-0000-0000-0000280E0000}"/>
    <cellStyle name="_MultipleSpace_Jazztel model 15-exhibits-Friso2_Jazztel model 16DP3-Exhibits" xfId="4101" xr:uid="{00000000-0005-0000-0000-0000290E0000}"/>
    <cellStyle name="_MultipleSpace_Jazztel model 15-exhibits-Friso2_Jazztel model 18DP-exhibits" xfId="4102" xr:uid="{00000000-0005-0000-0000-00002A0E0000}"/>
    <cellStyle name="_MultipleSpace_Jazztel model 15-exhibits-Friso2_Jazztel model 18DP-exhibits_T_MOBIL2" xfId="4103" xr:uid="{00000000-0005-0000-0000-00002B0E0000}"/>
    <cellStyle name="_MultipleSpace_Jazztel model 15-exhibits-Friso2_Jazztel model 18DP-exhibits_T_MOBIL2_Fidelity FixedTel - Summer" xfId="4104" xr:uid="{00000000-0005-0000-0000-00002C0E0000}"/>
    <cellStyle name="_MultipleSpace_Jazztel model 15-exhibits-Friso2_Jazztel model 18DP-exhibits_T_MOBIL2_Fidelity FixedTel - Summer_Cheng Shin Model" xfId="4105" xr:uid="{00000000-0005-0000-0000-00002D0E0000}"/>
    <cellStyle name="_MultipleSpace_Jazztel model 15-exhibits-Friso2_Jazztel model 18DP-exhibits_T_MOBIL2_Fidelity FixedTel - Summer_Cheng Shin Model (WIP 2004-07)" xfId="4106" xr:uid="{00000000-0005-0000-0000-00002E0E0000}"/>
    <cellStyle name="_MultipleSpace_Jazztel model 15-exhibits-Friso2_Jazztel model 18DP-exhibits_T_MOBIL2_Fidelity FixedTel - Summer_Cheng Shin Model_Cheng Shin Model (WIP 2004-07)" xfId="4107" xr:uid="{00000000-0005-0000-0000-00002F0E0000}"/>
    <cellStyle name="_MultipleSpace_Jazztel model 15-exhibits-Friso2_Jazztel model 18DP-exhibits_T_MOBIL2_Fidelity FixedTel - Summer_Cheng Shin Model_FEDS Model" xfId="4108" xr:uid="{00000000-0005-0000-0000-0000300E0000}"/>
    <cellStyle name="_MultipleSpace_Jazztel model 15-exhibits-Friso2_Jazztel model 18DP-exhibits_T_MOBIL2_Fidelity FixedTel - Summer_Cheng Shin Model_Tong yang model copy valuation" xfId="4109" xr:uid="{00000000-0005-0000-0000-0000310E0000}"/>
    <cellStyle name="_MultipleSpace_Jazztel model 15-exhibits-Friso2_Jazztel model 18DP-exhibits_T_MOBIL2_Fidelity FixedTel - Summer_FEDS Model" xfId="4110" xr:uid="{00000000-0005-0000-0000-0000320E0000}"/>
    <cellStyle name="_MultipleSpace_Jazztel model 15-exhibits-Friso2_Jazztel model 18DP-exhibits_T_MOBIL2_Fidelity FixedTel - Summer_Synnex Model" xfId="4111" xr:uid="{00000000-0005-0000-0000-0000330E0000}"/>
    <cellStyle name="_MultipleSpace_Jazztel model 15-exhibits-Friso2_Jazztel model 18DP-exhibits_T_MOBIL2_Fidelity FixedTel - Summer_Taiwan Auto Company DCF Comparison" xfId="4112" xr:uid="{00000000-0005-0000-0000-0000340E0000}"/>
    <cellStyle name="_MultipleSpace_Jazztel model 15-exhibits-Friso2_Jazztel model 18DP-exhibits_T_MOBIL2_Fidelity FixedTel - Summer_Tong Yang Model" xfId="4113" xr:uid="{00000000-0005-0000-0000-0000350E0000}"/>
    <cellStyle name="_MultipleSpace_Jazztel model 15-exhibits-Friso2_Jazztel model 18DP-exhibits_T_MOBIL2_Fidelity FixedTel - Summer_Tong yang model copy valuation" xfId="4114" xr:uid="{00000000-0005-0000-0000-0000360E0000}"/>
    <cellStyle name="_MultipleSpace_Jazztel model 15-exhibits-Friso2_Jazztel model 18DP-exhibits_T_MOBIL2_FixedTele" xfId="4115" xr:uid="{00000000-0005-0000-0000-0000370E0000}"/>
    <cellStyle name="_MultipleSpace_Jazztel model 15-exhibits-Friso2_Jazztel1" xfId="4116" xr:uid="{00000000-0005-0000-0000-0000380E0000}"/>
    <cellStyle name="_MultipleSpace_Jazztel model 16DP2-Exhibits" xfId="4117" xr:uid="{00000000-0005-0000-0000-0000390E0000}"/>
    <cellStyle name="_MultipleSpace_Jazztel model 16DP3-Exhibits" xfId="4118" xr:uid="{00000000-0005-0000-0000-00003A0E0000}"/>
    <cellStyle name="_MultipleSpace_JP" xfId="483" xr:uid="{00000000-0005-0000-0000-00003B0E0000}"/>
    <cellStyle name="_MultipleSpace_Kerry being edited (Justin)" xfId="4119" xr:uid="{00000000-0005-0000-0000-00003C0E0000}"/>
    <cellStyle name="_MultipleSpace_L&amp;Ffin" xfId="4120" xr:uid="{00000000-0005-0000-0000-00003D0E0000}"/>
    <cellStyle name="_MultipleSpace_Landlords" xfId="4121" xr:uid="{00000000-0005-0000-0000-00003E0E0000}"/>
    <cellStyle name="_MultipleSpace_LNC" xfId="484" xr:uid="{00000000-0005-0000-0000-00003F0E0000}"/>
    <cellStyle name="_MultipleSpace_MET" xfId="485" xr:uid="{00000000-0005-0000-0000-0000400E0000}"/>
    <cellStyle name="_MultipleSpace_MET04" xfId="486" xr:uid="{00000000-0005-0000-0000-0000410E0000}"/>
    <cellStyle name="_MultipleSpace_MN070625" xfId="4122" xr:uid="{00000000-0005-0000-0000-0000420E0000}"/>
    <cellStyle name="_MultipleSpace_MN070914" xfId="4123" xr:uid="{00000000-0005-0000-0000-0000430E0000}"/>
    <cellStyle name="_MultipleSpace_NFS" xfId="487" xr:uid="{00000000-0005-0000-0000-0000440E0000}"/>
    <cellStyle name="_MultipleSpace_Office supply &amp; demand" xfId="4124" xr:uid="{00000000-0005-0000-0000-0000450E0000}"/>
    <cellStyle name="_MultipleSpace_Overseas" xfId="4125" xr:uid="{00000000-0005-0000-0000-0000460E0000}"/>
    <cellStyle name="_MultipleSpace_Overview3" xfId="488" xr:uid="{00000000-0005-0000-0000-0000470E0000}"/>
    <cellStyle name="_MultipleSpace_phil data" xfId="489" xr:uid="{00000000-0005-0000-0000-0000480E0000}"/>
    <cellStyle name="_MultipleSpace_Price Performance Charts" xfId="490" xr:uid="{00000000-0005-0000-0000-0000490E0000}"/>
    <cellStyle name="_MultipleSpace_PRU" xfId="491" xr:uid="{00000000-0005-0000-0000-00004A0E0000}"/>
    <cellStyle name="_MultipleSpace_PRU04" xfId="492" xr:uid="{00000000-0005-0000-0000-00004B0E0000}"/>
    <cellStyle name="_MultipleSpace_Regal REIT_afterlisting" xfId="4126" xr:uid="{00000000-0005-0000-0000-00004C0E0000}"/>
    <cellStyle name="_MultipleSpace_RiskReward" xfId="493" xr:uid="{00000000-0005-0000-0000-00004D0E0000}"/>
    <cellStyle name="_MultipleSpace_RPT-Developers-2008Sep" xfId="4127" xr:uid="{00000000-0005-0000-0000-00004E0E0000}"/>
    <cellStyle name="_MultipleSpace_RPT-Hongkong Land 080430" xfId="4128" xr:uid="{00000000-0005-0000-0000-00004F0E0000}"/>
    <cellStyle name="_MultipleSpace_RPT-Landlords-2008Sep" xfId="4129" xr:uid="{00000000-0005-0000-0000-0000500E0000}"/>
    <cellStyle name="_MultipleSpace_Sales charts 0728" xfId="4130" xr:uid="{00000000-0005-0000-0000-0000510E0000}"/>
    <cellStyle name="_MultipleSpace_SFG" xfId="494" xr:uid="{00000000-0005-0000-0000-0000520E0000}"/>
    <cellStyle name="_MultipleSpace_Shangri-La" xfId="4131" xr:uid="{00000000-0005-0000-0000-0000530E0000}"/>
    <cellStyle name="_MultipleSpace_Shangri-La_being edited" xfId="4132" xr:uid="{00000000-0005-0000-0000-0000540E0000}"/>
    <cellStyle name="_MultipleSpace_Sheet1" xfId="495" xr:uid="{00000000-0005-0000-0000-0000550E0000}"/>
    <cellStyle name="_MultipleSpace_Stock-QTR1 FDS" xfId="496" xr:uid="{00000000-0005-0000-0000-0000560E0000}"/>
    <cellStyle name="_MultipleSpace_TMK" xfId="497" xr:uid="{00000000-0005-0000-0000-0000570E0000}"/>
    <cellStyle name="_MultipleSpace_Updated Valuation Changes" xfId="498" xr:uid="{00000000-0005-0000-0000-0000580E0000}"/>
    <cellStyle name="_MultipleSpace_Valuation Graphs" xfId="499" xr:uid="{00000000-0005-0000-0000-0000590E0000}"/>
    <cellStyle name="_MultipleSpace_WC" xfId="4133" xr:uid="{00000000-0005-0000-0000-00005A0E0000}"/>
    <cellStyle name="_MultipleSpace_WHARFSS" xfId="4134" xr:uid="{00000000-0005-0000-0000-00005B0E0000}"/>
    <cellStyle name="_MultipleSpace_xratio - historical mkt val" xfId="500" xr:uid="{00000000-0005-0000-0000-00005C0E0000}"/>
    <cellStyle name="_Novatek forecast" xfId="4135" xr:uid="{00000000-0005-0000-0000-00005D0E0000}"/>
    <cellStyle name="—_Novatek forecast" xfId="4136" xr:uid="{00000000-0005-0000-0000-00005E0E0000}"/>
    <cellStyle name="—_Novatek forecast 280404" xfId="4137" xr:uid="{00000000-0005-0000-0000-00005F0E0000}"/>
    <cellStyle name="—_NTT CROCI" xfId="4138" xr:uid="{00000000-0005-0000-0000-0000600E0000}"/>
    <cellStyle name="—_NTT proportionate" xfId="4139" xr:uid="{00000000-0005-0000-0000-0000610E0000}"/>
    <cellStyle name="—_Office supply &amp; demand" xfId="4140" xr:uid="{00000000-0005-0000-0000-0000620E0000}"/>
    <cellStyle name="—_ONGC master" xfId="4141" xr:uid="{00000000-0005-0000-0000-0000630E0000}"/>
    <cellStyle name="—_operating stats comp" xfId="4142" xr:uid="{00000000-0005-0000-0000-0000640E0000}"/>
    <cellStyle name="—_operating stats comp_blank industrial template - new" xfId="4143" xr:uid="{00000000-0005-0000-0000-0000650E0000}"/>
    <cellStyle name="—_operating stats comp_BS" xfId="4144" xr:uid="{00000000-0005-0000-0000-0000660E0000}"/>
    <cellStyle name="—_operating stats comp_Eagle" xfId="4145" xr:uid="{00000000-0005-0000-0000-0000670E0000}"/>
    <cellStyle name="—_operating stats comp_HSH under review" xfId="4146" xr:uid="{00000000-0005-0000-0000-0000680E0000}"/>
    <cellStyle name="—_operating stats comp_Prosperity REIT_2006Mar27" xfId="4147" xr:uid="{00000000-0005-0000-0000-0000690E0000}"/>
    <cellStyle name="—_operating stats comp_Shangri-La under review" xfId="4148" xr:uid="{00000000-0005-0000-0000-00006A0E0000}"/>
    <cellStyle name="_Parkson Fin DQ" xfId="4149" xr:uid="{00000000-0005-0000-0000-00006B0E0000}"/>
    <cellStyle name="_PB band" xfId="4150" xr:uid="{00000000-0005-0000-0000-00006C0E0000}"/>
    <cellStyle name="_PB band_600519_with" xfId="4151" xr:uid="{00000000-0005-0000-0000-00006D0E0000}"/>
    <cellStyle name="_PB band_600519_with_600519.SS" xfId="4152" xr:uid="{00000000-0005-0000-0000-00006E0E0000}"/>
    <cellStyle name="_PE band" xfId="4153" xr:uid="{00000000-0005-0000-0000-00006F0E0000}"/>
    <cellStyle name="_Percent" xfId="501" xr:uid="{00000000-0005-0000-0000-0000700E0000}"/>
    <cellStyle name="_Percent_BigSix Tables" xfId="4154" xr:uid="{00000000-0005-0000-0000-0000710E0000}"/>
    <cellStyle name="_Percent_Book1" xfId="4155" xr:uid="{00000000-0005-0000-0000-0000720E0000}"/>
    <cellStyle name="_Percent_Book1_Jazztel model 16DP3-Exhibits" xfId="4156" xr:uid="{00000000-0005-0000-0000-0000730E0000}"/>
    <cellStyle name="_Percent_Book1_Jazztel model 16DP3-Exhibits_T_MOBIL2" xfId="4157" xr:uid="{00000000-0005-0000-0000-0000740E0000}"/>
    <cellStyle name="_Percent_Book1_Jazztel model 16DP3-Exhibits_T_MOBIL2_Want-Want" xfId="4158" xr:uid="{00000000-0005-0000-0000-0000750E0000}"/>
    <cellStyle name="_Percent_Book1_Jazztel model 18DP-exhibits" xfId="4159" xr:uid="{00000000-0005-0000-0000-0000760E0000}"/>
    <cellStyle name="_Percent_Book1_Want-Want" xfId="4160" xr:uid="{00000000-0005-0000-0000-0000770E0000}"/>
    <cellStyle name="_Percent_Book1_Want-Want_FY07" xfId="4161" xr:uid="{00000000-0005-0000-0000-0000780E0000}"/>
    <cellStyle name="_Percent_Book11" xfId="4162" xr:uid="{00000000-0005-0000-0000-0000790E0000}"/>
    <cellStyle name="_Percent_Book11_Jazztel model 16DP3-Exhibits" xfId="4163" xr:uid="{00000000-0005-0000-0000-00007A0E0000}"/>
    <cellStyle name="_Percent_Book11_Jazztel model 16DP3-Exhibits_T_MOBIL2" xfId="4164" xr:uid="{00000000-0005-0000-0000-00007B0E0000}"/>
    <cellStyle name="_Percent_Book11_Jazztel model 16DP3-Exhibits_T_MOBIL2_Want-Want" xfId="4165" xr:uid="{00000000-0005-0000-0000-00007C0E0000}"/>
    <cellStyle name="_Percent_Book11_Jazztel model 18DP-exhibits" xfId="4166" xr:uid="{00000000-0005-0000-0000-00007D0E0000}"/>
    <cellStyle name="_Percent_Book11_Want-Want" xfId="4167" xr:uid="{00000000-0005-0000-0000-00007E0E0000}"/>
    <cellStyle name="_Percent_Book11_Want-Want_FY07" xfId="4168" xr:uid="{00000000-0005-0000-0000-00007F0E0000}"/>
    <cellStyle name="_Percent_Book12" xfId="4169" xr:uid="{00000000-0005-0000-0000-0000800E0000}"/>
    <cellStyle name="_Percent_Book12_Jazztel model 16DP3-Exhibits" xfId="4170" xr:uid="{00000000-0005-0000-0000-0000810E0000}"/>
    <cellStyle name="_Percent_Book12_Jazztel model 16DP3-Exhibits_T_MOBIL2" xfId="4171" xr:uid="{00000000-0005-0000-0000-0000820E0000}"/>
    <cellStyle name="_Percent_Book12_Jazztel model 16DP3-Exhibits_T_MOBIL2_Want-Want" xfId="4172" xr:uid="{00000000-0005-0000-0000-0000830E0000}"/>
    <cellStyle name="_Percent_Book12_Jazztel model 18DP-exhibits" xfId="4173" xr:uid="{00000000-0005-0000-0000-0000840E0000}"/>
    <cellStyle name="_Percent_Book12_Want-Want" xfId="4174" xr:uid="{00000000-0005-0000-0000-0000850E0000}"/>
    <cellStyle name="_Percent_Book12_Want-Want_FY07" xfId="4175" xr:uid="{00000000-0005-0000-0000-0000860E0000}"/>
    <cellStyle name="_Percent_BS" xfId="4176" xr:uid="{00000000-0005-0000-0000-0000870E0000}"/>
    <cellStyle name="_Percent_CK Hutch InvestmentProp Mar 24 2006" xfId="4177" xr:uid="{00000000-0005-0000-0000-0000880E0000}"/>
    <cellStyle name="_Percent_DCF Alexander Forbes" xfId="502" xr:uid="{00000000-0005-0000-0000-0000890E0000}"/>
    <cellStyle name="_Percent_DCF Summary pages" xfId="4178" xr:uid="{00000000-0005-0000-0000-00008A0E0000}"/>
    <cellStyle name="_Percent_DCF Summary pages_Jazztel model 16DP3-Exhibits" xfId="4179" xr:uid="{00000000-0005-0000-0000-00008B0E0000}"/>
    <cellStyle name="_Percent_DCF Summary pages_Jazztel model 16DP3-Exhibits_T_MOBIL2" xfId="4180" xr:uid="{00000000-0005-0000-0000-00008C0E0000}"/>
    <cellStyle name="_Percent_DCF Summary pages_Jazztel model 16DP3-Exhibits_T_MOBIL2_Want-Want" xfId="4181" xr:uid="{00000000-0005-0000-0000-00008D0E0000}"/>
    <cellStyle name="_Percent_DCF Summary pages_Jazztel model 18DP-exhibits" xfId="4182" xr:uid="{00000000-0005-0000-0000-00008E0E0000}"/>
    <cellStyle name="_Percent_DCF Summary pages_Want-Want" xfId="4183" xr:uid="{00000000-0005-0000-0000-00008F0E0000}"/>
    <cellStyle name="_Percent_DCF Summary pages_Want-Want_FY07" xfId="4184" xr:uid="{00000000-0005-0000-0000-0000900E0000}"/>
    <cellStyle name="_Percent_FMBI MBHI Graphs" xfId="503" xr:uid="{00000000-0005-0000-0000-0000910E0000}"/>
    <cellStyle name="_Percent_FMBI MBHI Graphs 07102001" xfId="504" xr:uid="{00000000-0005-0000-0000-0000920E0000}"/>
    <cellStyle name="_Percent_FMBI MBHI Graphs_7601" xfId="505" xr:uid="{00000000-0005-0000-0000-0000930E0000}"/>
    <cellStyle name="_Percent_Hutchison Model 090514" xfId="4185" xr:uid="{00000000-0005-0000-0000-0000940E0000}"/>
    <cellStyle name="_Percent_HWLaug2000" xfId="4186" xr:uid="{00000000-0005-0000-0000-0000950E0000}"/>
    <cellStyle name="_Percent_IPOmaster" xfId="4187" xr:uid="{00000000-0005-0000-0000-0000960E0000}"/>
    <cellStyle name="_Percent_Jazztel model 15-exhibits" xfId="4188" xr:uid="{00000000-0005-0000-0000-0000970E0000}"/>
    <cellStyle name="_Percent_Jazztel model 15-exhibits bis" xfId="4189" xr:uid="{00000000-0005-0000-0000-0000980E0000}"/>
    <cellStyle name="_Percent_Jazztel model 15-exhibits bis_T_MOBIL2" xfId="4190" xr:uid="{00000000-0005-0000-0000-0000990E0000}"/>
    <cellStyle name="_Percent_Jazztel model 15-exhibits bis_T_MOBIL2_Want-Want" xfId="4191" xr:uid="{00000000-0005-0000-0000-00009A0E0000}"/>
    <cellStyle name="_Percent_Jazztel model 15-exhibits_Jazztel model 16DP3-Exhibits" xfId="4192" xr:uid="{00000000-0005-0000-0000-00009B0E0000}"/>
    <cellStyle name="_Percent_Jazztel model 15-exhibits_Jazztel model 16DP3-Exhibits_T_MOBIL2" xfId="4193" xr:uid="{00000000-0005-0000-0000-00009C0E0000}"/>
    <cellStyle name="_Percent_Jazztel model 15-exhibits_Jazztel model 16DP3-Exhibits_T_MOBIL2_Want-Want" xfId="4194" xr:uid="{00000000-0005-0000-0000-00009D0E0000}"/>
    <cellStyle name="_Percent_Jazztel model 15-exhibits_Jazztel model 18DP-exhibits" xfId="4195" xr:uid="{00000000-0005-0000-0000-00009E0E0000}"/>
    <cellStyle name="_Percent_Jazztel model 15-exhibits_Want-Want" xfId="4196" xr:uid="{00000000-0005-0000-0000-00009F0E0000}"/>
    <cellStyle name="_Percent_Jazztel model 15-exhibits_Want-Want_FY07" xfId="4197" xr:uid="{00000000-0005-0000-0000-0000A00E0000}"/>
    <cellStyle name="_Percent_Jazztel model 15-exhibits-Friso2" xfId="4198" xr:uid="{00000000-0005-0000-0000-0000A10E0000}"/>
    <cellStyle name="_Percent_Jazztel model 15-exhibits-Friso2_Jazztel model 16DP3-Exhibits" xfId="4199" xr:uid="{00000000-0005-0000-0000-0000A20E0000}"/>
    <cellStyle name="_Percent_Jazztel model 15-exhibits-Friso2_Jazztel model 16DP3-Exhibits_T_MOBIL2" xfId="4200" xr:uid="{00000000-0005-0000-0000-0000A30E0000}"/>
    <cellStyle name="_Percent_Jazztel model 15-exhibits-Friso2_Jazztel model 16DP3-Exhibits_T_MOBIL2_Want-Want" xfId="4201" xr:uid="{00000000-0005-0000-0000-0000A40E0000}"/>
    <cellStyle name="_Percent_Jazztel model 15-exhibits-Friso2_Jazztel model 18DP-exhibits" xfId="4202" xr:uid="{00000000-0005-0000-0000-0000A50E0000}"/>
    <cellStyle name="_Percent_Jazztel model 15-exhibits-Friso2_Want-Want" xfId="4203" xr:uid="{00000000-0005-0000-0000-0000A60E0000}"/>
    <cellStyle name="_Percent_Jazztel model 15-exhibits-Friso2_Want-Want_FY07" xfId="4204" xr:uid="{00000000-0005-0000-0000-0000A70E0000}"/>
    <cellStyle name="_Percent_Jazztel model 16DP2-Exhibits" xfId="4205" xr:uid="{00000000-0005-0000-0000-0000A80E0000}"/>
    <cellStyle name="_Percent_Jazztel model 16DP3-Exhibits" xfId="4206" xr:uid="{00000000-0005-0000-0000-0000A90E0000}"/>
    <cellStyle name="_Percent_Overseas" xfId="4207" xr:uid="{00000000-0005-0000-0000-0000AA0E0000}"/>
    <cellStyle name="_Percent_WHARFSS" xfId="4208" xr:uid="{00000000-0005-0000-0000-0000AB0E0000}"/>
    <cellStyle name="_PercentSpace" xfId="506" xr:uid="{00000000-0005-0000-0000-0000AC0E0000}"/>
    <cellStyle name="_PercentSpace_01 adj for merger plan" xfId="507" xr:uid="{00000000-0005-0000-0000-0000AD0E0000}"/>
    <cellStyle name="_PercentSpace_BigSix Tables" xfId="4209" xr:uid="{00000000-0005-0000-0000-0000AE0E0000}"/>
    <cellStyle name="_PercentSpace_Book1" xfId="4210" xr:uid="{00000000-0005-0000-0000-0000AF0E0000}"/>
    <cellStyle name="_PercentSpace_Book1_Jazztel model 16DP3-Exhibits" xfId="4211" xr:uid="{00000000-0005-0000-0000-0000B00E0000}"/>
    <cellStyle name="_PercentSpace_Book1_Jazztel model 16DP3-Exhibits_T_MOBIL2" xfId="4212" xr:uid="{00000000-0005-0000-0000-0000B10E0000}"/>
    <cellStyle name="_PercentSpace_Book1_Jazztel model 18DP-exhibits" xfId="4213" xr:uid="{00000000-0005-0000-0000-0000B20E0000}"/>
    <cellStyle name="_PercentSpace_Book1_Want-Want" xfId="4214" xr:uid="{00000000-0005-0000-0000-0000B30E0000}"/>
    <cellStyle name="_PercentSpace_Book11" xfId="4215" xr:uid="{00000000-0005-0000-0000-0000B40E0000}"/>
    <cellStyle name="_PercentSpace_Book11_Jazztel model 16DP3-Exhibits" xfId="4216" xr:uid="{00000000-0005-0000-0000-0000B50E0000}"/>
    <cellStyle name="_PercentSpace_Book11_Jazztel model 16DP3-Exhibits_T_MOBIL2" xfId="4217" xr:uid="{00000000-0005-0000-0000-0000B60E0000}"/>
    <cellStyle name="_PercentSpace_Book11_Jazztel model 18DP-exhibits" xfId="4218" xr:uid="{00000000-0005-0000-0000-0000B70E0000}"/>
    <cellStyle name="_PercentSpace_Book11_Want-Want" xfId="4219" xr:uid="{00000000-0005-0000-0000-0000B80E0000}"/>
    <cellStyle name="_PercentSpace_Book12" xfId="4220" xr:uid="{00000000-0005-0000-0000-0000B90E0000}"/>
    <cellStyle name="_PercentSpace_Book12_Jazztel model 16DP3-Exhibits" xfId="4221" xr:uid="{00000000-0005-0000-0000-0000BA0E0000}"/>
    <cellStyle name="_PercentSpace_Book12_Jazztel model 16DP3-Exhibits_T_MOBIL2" xfId="4222" xr:uid="{00000000-0005-0000-0000-0000BB0E0000}"/>
    <cellStyle name="_PercentSpace_Book12_Jazztel model 18DP-exhibits" xfId="4223" xr:uid="{00000000-0005-0000-0000-0000BC0E0000}"/>
    <cellStyle name="_PercentSpace_Book12_Want-Want" xfId="4224" xr:uid="{00000000-0005-0000-0000-0000BD0E0000}"/>
    <cellStyle name="_PercentSpace_BS" xfId="4225" xr:uid="{00000000-0005-0000-0000-0000BE0E0000}"/>
    <cellStyle name="_PercentSpace_CK Hutch InvestmentProp Mar 24 2006" xfId="4226" xr:uid="{00000000-0005-0000-0000-0000BF0E0000}"/>
    <cellStyle name="_PercentSpace_DCF Alexander Forbes" xfId="508" xr:uid="{00000000-0005-0000-0000-0000C00E0000}"/>
    <cellStyle name="_PercentSpace_DCF Summary pages" xfId="4227" xr:uid="{00000000-0005-0000-0000-0000C10E0000}"/>
    <cellStyle name="_PercentSpace_DCF Summary pages_Jazztel model 16DP3-Exhibits" xfId="4228" xr:uid="{00000000-0005-0000-0000-0000C20E0000}"/>
    <cellStyle name="_PercentSpace_DCF Summary pages_Jazztel model 16DP3-Exhibits_T_MOBIL2" xfId="4229" xr:uid="{00000000-0005-0000-0000-0000C30E0000}"/>
    <cellStyle name="_PercentSpace_DCF Summary pages_Jazztel model 18DP-exhibits" xfId="4230" xr:uid="{00000000-0005-0000-0000-0000C40E0000}"/>
    <cellStyle name="_PercentSpace_DCF Summary pages_Want-Want" xfId="4231" xr:uid="{00000000-0005-0000-0000-0000C50E0000}"/>
    <cellStyle name="_PercentSpace_FMBI MBHI Graphs" xfId="509" xr:uid="{00000000-0005-0000-0000-0000C60E0000}"/>
    <cellStyle name="_PercentSpace_FMBI MBHI Graphs 07102001" xfId="510" xr:uid="{00000000-0005-0000-0000-0000C70E0000}"/>
    <cellStyle name="_PercentSpace_FMBI MBHI Graphs_7601" xfId="511" xr:uid="{00000000-0005-0000-0000-0000C80E0000}"/>
    <cellStyle name="_PercentSpace_Hutchison Model 090514" xfId="4232" xr:uid="{00000000-0005-0000-0000-0000C90E0000}"/>
    <cellStyle name="_PercentSpace_HWLaug2000" xfId="4233" xr:uid="{00000000-0005-0000-0000-0000CA0E0000}"/>
    <cellStyle name="_PercentSpace_IPOmaster" xfId="4234" xr:uid="{00000000-0005-0000-0000-0000CB0E0000}"/>
    <cellStyle name="_PercentSpace_Jazztel model 15-exhibits" xfId="4235" xr:uid="{00000000-0005-0000-0000-0000CC0E0000}"/>
    <cellStyle name="_PercentSpace_Jazztel model 15-exhibits bis" xfId="4236" xr:uid="{00000000-0005-0000-0000-0000CD0E0000}"/>
    <cellStyle name="_PercentSpace_Jazztel model 15-exhibits bis_T_MOBIL2" xfId="4237" xr:uid="{00000000-0005-0000-0000-0000CE0E0000}"/>
    <cellStyle name="_PercentSpace_Jazztel model 15-exhibits_Jazztel model 16DP3-Exhibits" xfId="4238" xr:uid="{00000000-0005-0000-0000-0000CF0E0000}"/>
    <cellStyle name="_PercentSpace_Jazztel model 15-exhibits_Jazztel model 16DP3-Exhibits_T_MOBIL2" xfId="4239" xr:uid="{00000000-0005-0000-0000-0000D00E0000}"/>
    <cellStyle name="_PercentSpace_Jazztel model 15-exhibits_Jazztel model 18DP-exhibits" xfId="4240" xr:uid="{00000000-0005-0000-0000-0000D10E0000}"/>
    <cellStyle name="_PercentSpace_Jazztel model 15-exhibits_Want-Want" xfId="4241" xr:uid="{00000000-0005-0000-0000-0000D20E0000}"/>
    <cellStyle name="_PercentSpace_Jazztel model 15-exhibits-Friso2" xfId="4242" xr:uid="{00000000-0005-0000-0000-0000D30E0000}"/>
    <cellStyle name="_PercentSpace_Jazztel model 15-exhibits-Friso2_Jazztel model 16DP3-Exhibits" xfId="4243" xr:uid="{00000000-0005-0000-0000-0000D40E0000}"/>
    <cellStyle name="_PercentSpace_Jazztel model 15-exhibits-Friso2_Jazztel model 16DP3-Exhibits_T_MOBIL2" xfId="4244" xr:uid="{00000000-0005-0000-0000-0000D50E0000}"/>
    <cellStyle name="_PercentSpace_Jazztel model 15-exhibits-Friso2_Jazztel model 18DP-exhibits" xfId="4245" xr:uid="{00000000-0005-0000-0000-0000D60E0000}"/>
    <cellStyle name="_PercentSpace_Jazztel model 15-exhibits-Friso2_Want-Want" xfId="4246" xr:uid="{00000000-0005-0000-0000-0000D70E0000}"/>
    <cellStyle name="_PercentSpace_Jazztel model 16DP2-Exhibits" xfId="4247" xr:uid="{00000000-0005-0000-0000-0000D80E0000}"/>
    <cellStyle name="_PercentSpace_Jazztel model 16DP3-Exhibits" xfId="4248" xr:uid="{00000000-0005-0000-0000-0000D90E0000}"/>
    <cellStyle name="_PercentSpace_Overseas" xfId="4249" xr:uid="{00000000-0005-0000-0000-0000DA0E0000}"/>
    <cellStyle name="_PercentSpace_WHARFSS" xfId="4250" xr:uid="{00000000-0005-0000-0000-0000DB0E0000}"/>
    <cellStyle name="—_PLDT report Tables" xfId="4251" xr:uid="{00000000-0005-0000-0000-0000DC0E0000}"/>
    <cellStyle name="—_PLDT report Tables_CKC_Hutch_group structure" xfId="4252" xr:uid="{00000000-0005-0000-0000-0000DD0E0000}"/>
    <cellStyle name="—_PLDT report Tables_Feb01report" xfId="4253" xr:uid="{00000000-0005-0000-0000-0000DE0E0000}"/>
    <cellStyle name="—_PLDT report Tables_Feb01report_NAV" xfId="4254" xr:uid="{00000000-0005-0000-0000-0000DF0E0000}"/>
    <cellStyle name="—_PLDT report Tables_Feb01report_QP_0019.HK" xfId="4255" xr:uid="{00000000-0005-0000-0000-0000E00E0000}"/>
    <cellStyle name="—_PLDT report Tables_Feb01report_Swire Model" xfId="4256" xr:uid="{00000000-0005-0000-0000-0000E10E0000}"/>
    <cellStyle name="—_PLDT report Tables_Feb01report_SWIRESS" xfId="4257" xr:uid="{00000000-0005-0000-0000-0000E20E0000}"/>
    <cellStyle name="—_PLDT report Tables_Hutchison Model" xfId="4258" xr:uid="{00000000-0005-0000-0000-0000E30E0000}"/>
    <cellStyle name="—_PLDT report Tables_Hutchison Model 090514" xfId="4259" xr:uid="{00000000-0005-0000-0000-0000E40E0000}"/>
    <cellStyle name="—_PLDT report Tables_hutchss" xfId="4260" xr:uid="{00000000-0005-0000-0000-0000E50E0000}"/>
    <cellStyle name="—_PLDT report Tables_NAV" xfId="4261" xr:uid="{00000000-0005-0000-0000-0000E60E0000}"/>
    <cellStyle name="—_PLDT report Tables_Prop Dev" xfId="4262" xr:uid="{00000000-0005-0000-0000-0000E70E0000}"/>
    <cellStyle name="—_PRICE" xfId="4263" xr:uid="{00000000-0005-0000-0000-0000E80E0000}"/>
    <cellStyle name="—_price chart1" xfId="4264" xr:uid="{00000000-0005-0000-0000-0000E90E0000}"/>
    <cellStyle name="—_price chart1_blank industrial template - new" xfId="4265" xr:uid="{00000000-0005-0000-0000-0000EA0E0000}"/>
    <cellStyle name="—_price chart1_BS" xfId="4266" xr:uid="{00000000-0005-0000-0000-0000EB0E0000}"/>
    <cellStyle name="—_price chart1_Eagle" xfId="4267" xr:uid="{00000000-0005-0000-0000-0000EC0E0000}"/>
    <cellStyle name="—_price chart1_HSH under review" xfId="4268" xr:uid="{00000000-0005-0000-0000-0000ED0E0000}"/>
    <cellStyle name="—_price chart1_Prosperity REIT_2006Mar27" xfId="4269" xr:uid="{00000000-0005-0000-0000-0000EE0E0000}"/>
    <cellStyle name="—_price chart1_Shangri-La under review" xfId="4270" xr:uid="{00000000-0005-0000-0000-0000EF0E0000}"/>
    <cellStyle name="—_PRICE_CKC_Hutch_group structure" xfId="4271" xr:uid="{00000000-0005-0000-0000-0000F00E0000}"/>
    <cellStyle name="—_PRICE_Hutchison Model 090514" xfId="4272" xr:uid="{00000000-0005-0000-0000-0000F10E0000}"/>
    <cellStyle name="—_Prop Dev" xfId="4273" xr:uid="{00000000-0005-0000-0000-0000F20E0000}"/>
    <cellStyle name="_Prosperity REIT_2006Mar27" xfId="4274" xr:uid="{00000000-0005-0000-0000-0000F30E0000}"/>
    <cellStyle name="—_Prosperity REIT_2006Mar27" xfId="4275" xr:uid="{00000000-0005-0000-0000-0000F40E0000}"/>
    <cellStyle name="_Q sheet" xfId="4276" xr:uid="{00000000-0005-0000-0000-0000F50E0000}"/>
    <cellStyle name="—_report seperate tables" xfId="4277" xr:uid="{00000000-0005-0000-0000-0000F60E0000}"/>
    <cellStyle name="—_report seperate tables_CKC_Hutch_group structure" xfId="4278" xr:uid="{00000000-0005-0000-0000-0000F70E0000}"/>
    <cellStyle name="—_report seperate tables_Feb01report" xfId="4279" xr:uid="{00000000-0005-0000-0000-0000F80E0000}"/>
    <cellStyle name="—_report seperate tables_Feb01report_NAV" xfId="4280" xr:uid="{00000000-0005-0000-0000-0000F90E0000}"/>
    <cellStyle name="—_report seperate tables_Feb01report_QP_0019.HK" xfId="4281" xr:uid="{00000000-0005-0000-0000-0000FA0E0000}"/>
    <cellStyle name="—_report seperate tables_Feb01report_Swire Model" xfId="4282" xr:uid="{00000000-0005-0000-0000-0000FB0E0000}"/>
    <cellStyle name="—_report seperate tables_Feb01report_SWIRESS" xfId="4283" xr:uid="{00000000-0005-0000-0000-0000FC0E0000}"/>
    <cellStyle name="—_report seperate tables_Hutchison Model" xfId="4284" xr:uid="{00000000-0005-0000-0000-0000FD0E0000}"/>
    <cellStyle name="—_report seperate tables_Hutchison Model 090514" xfId="4285" xr:uid="{00000000-0005-0000-0000-0000FE0E0000}"/>
    <cellStyle name="—_report seperate tables_hutchss" xfId="4286" xr:uid="{00000000-0005-0000-0000-0000FF0E0000}"/>
    <cellStyle name="—_report seperate tables_NAV" xfId="4287" xr:uid="{00000000-0005-0000-0000-0000000F0000}"/>
    <cellStyle name="—_report seperate tables_Prop Dev" xfId="4288" xr:uid="{00000000-0005-0000-0000-0000010F0000}"/>
    <cellStyle name="—_report1198tables" xfId="4289" xr:uid="{00000000-0005-0000-0000-0000020F0000}"/>
    <cellStyle name="—_report1198tables_anne" xfId="4290" xr:uid="{00000000-0005-0000-0000-0000030F0000}"/>
    <cellStyle name="—_report1198tables_anne_AUO consolidated 2004_02" xfId="4291" xr:uid="{00000000-0005-0000-0000-0000040F0000}"/>
    <cellStyle name="—_report1198tables_anne_AUO forecast (GQ)2005_03" xfId="4292" xr:uid="{00000000-0005-0000-0000-0000050F0000}"/>
    <cellStyle name="—_report1198tables_anne_blank industrial template - new" xfId="4293" xr:uid="{00000000-0005-0000-0000-0000060F0000}"/>
    <cellStyle name="—_report1198tables_anne_Book7" xfId="4294" xr:uid="{00000000-0005-0000-0000-0000070F0000}"/>
    <cellStyle name="—_report1198tables_anne_Book7_AUO consolidated 2004_02" xfId="4295" xr:uid="{00000000-0005-0000-0000-0000080F0000}"/>
    <cellStyle name="—_report1198tables_anne_Book7_AUO forecast (GQ)2005_03" xfId="4296" xr:uid="{00000000-0005-0000-0000-0000090F0000}"/>
    <cellStyle name="—_report1198tables_anne_Book7_blank industrial template - new" xfId="4297" xr:uid="{00000000-0005-0000-0000-00000A0F0000}"/>
    <cellStyle name="—_report1198tables_anne_Book7_BS" xfId="4298" xr:uid="{00000000-0005-0000-0000-00000B0F0000}"/>
    <cellStyle name="—_report1198tables_anne_Book7_Eagle" xfId="4299" xr:uid="{00000000-0005-0000-0000-00000C0F0000}"/>
    <cellStyle name="—_report1198tables_anne_Book7_HSH under review" xfId="4300" xr:uid="{00000000-0005-0000-0000-00000D0F0000}"/>
    <cellStyle name="—_report1198tables_anne_Book7_Novatek forecast 280404" xfId="4301" xr:uid="{00000000-0005-0000-0000-00000E0F0000}"/>
    <cellStyle name="—_report1198tables_anne_Book7_Prosperity REIT_2006Mar27" xfId="4302" xr:uid="{00000000-0005-0000-0000-00000F0F0000}"/>
    <cellStyle name="—_report1198tables_anne_Book7_Shangri-La under review" xfId="4303" xr:uid="{00000000-0005-0000-0000-0000100F0000}"/>
    <cellStyle name="—_report1198tables_anne_BS" xfId="4304" xr:uid="{00000000-0005-0000-0000-0000110F0000}"/>
    <cellStyle name="—_report1198tables_anne_CK Hutch InvestmentProp Mar 24 2006" xfId="4305" xr:uid="{00000000-0005-0000-0000-0000120F0000}"/>
    <cellStyle name="—_report1198tables_anne_CKC_Hutch_group structure" xfId="4306" xr:uid="{00000000-0005-0000-0000-0000130F0000}"/>
    <cellStyle name="—_report1198tables_anne_DoCoMo table 10July2000" xfId="4307" xr:uid="{00000000-0005-0000-0000-0000140F0000}"/>
    <cellStyle name="—_report1198tables_anne_Eagle" xfId="4308" xr:uid="{00000000-0005-0000-0000-0000150F0000}"/>
    <cellStyle name="—_report1198tables_anne_earnings" xfId="4309" xr:uid="{00000000-0005-0000-0000-0000160F0000}"/>
    <cellStyle name="—_report1198tables_anne_earnings_AUO consolidated 2004_02" xfId="4310" xr:uid="{00000000-0005-0000-0000-0000170F0000}"/>
    <cellStyle name="—_report1198tables_anne_earnings_AUO forecast (GQ)2005_03" xfId="4311" xr:uid="{00000000-0005-0000-0000-0000180F0000}"/>
    <cellStyle name="—_report1198tables_anne_earnings_blank industrial template - new" xfId="4312" xr:uid="{00000000-0005-0000-0000-0000190F0000}"/>
    <cellStyle name="—_report1198tables_anne_earnings_BS" xfId="4313" xr:uid="{00000000-0005-0000-0000-00001A0F0000}"/>
    <cellStyle name="—_report1198tables_anne_earnings_Eagle" xfId="4314" xr:uid="{00000000-0005-0000-0000-00001B0F0000}"/>
    <cellStyle name="—_report1198tables_anne_earnings_HSH under review" xfId="4315" xr:uid="{00000000-0005-0000-0000-00001C0F0000}"/>
    <cellStyle name="—_report1198tables_anne_earnings_Novatek forecast 280404" xfId="4316" xr:uid="{00000000-0005-0000-0000-00001D0F0000}"/>
    <cellStyle name="—_report1198tables_anne_earnings_Prosperity REIT_2006Mar27" xfId="4317" xr:uid="{00000000-0005-0000-0000-00001E0F0000}"/>
    <cellStyle name="—_report1198tables_anne_earnings_Shangri-La under review" xfId="4318" xr:uid="{00000000-0005-0000-0000-00001F0F0000}"/>
    <cellStyle name="—_report1198tables_anne_EM_FETone_new" xfId="4319" xr:uid="{00000000-0005-0000-0000-0000200F0000}"/>
    <cellStyle name="—_report1198tables_anne_EM_FETone_new_AUO consolidated 2004_02" xfId="4320" xr:uid="{00000000-0005-0000-0000-0000210F0000}"/>
    <cellStyle name="—_report1198tables_anne_EM_FETone_new_AUO forecast (GQ)2005_03" xfId="4321" xr:uid="{00000000-0005-0000-0000-0000220F0000}"/>
    <cellStyle name="—_report1198tables_anne_EM_FETone_new_blank industrial template - new" xfId="4322" xr:uid="{00000000-0005-0000-0000-0000230F0000}"/>
    <cellStyle name="—_report1198tables_anne_EM_FETone_new_BS" xfId="4323" xr:uid="{00000000-0005-0000-0000-0000240F0000}"/>
    <cellStyle name="—_report1198tables_anne_EM_FETone_new_Eagle" xfId="4324" xr:uid="{00000000-0005-0000-0000-0000250F0000}"/>
    <cellStyle name="—_report1198tables_anne_EM_FETone_new_HSH under review" xfId="4325" xr:uid="{00000000-0005-0000-0000-0000260F0000}"/>
    <cellStyle name="—_report1198tables_anne_EM_FETone_new_Novatek forecast 280404" xfId="4326" xr:uid="{00000000-0005-0000-0000-0000270F0000}"/>
    <cellStyle name="—_report1198tables_anne_EM_FETone_new_Prosperity REIT_2006Mar27" xfId="4327" xr:uid="{00000000-0005-0000-0000-0000280F0000}"/>
    <cellStyle name="—_report1198tables_anne_EM_FETone_new_Shangri-La under review" xfId="4328" xr:uid="{00000000-0005-0000-0000-0000290F0000}"/>
    <cellStyle name="—_report1198tables_anne_EM_TCC_new" xfId="4329" xr:uid="{00000000-0005-0000-0000-00002A0F0000}"/>
    <cellStyle name="—_report1198tables_anne_EM_TCC_new_AUO consolidated 2004_02" xfId="4330" xr:uid="{00000000-0005-0000-0000-00002B0F0000}"/>
    <cellStyle name="—_report1198tables_anne_EM_TCC_new_AUO forecast (GQ)2005_03" xfId="4331" xr:uid="{00000000-0005-0000-0000-00002C0F0000}"/>
    <cellStyle name="—_report1198tables_anne_EM_TCC_new_blank industrial template - new" xfId="4332" xr:uid="{00000000-0005-0000-0000-00002D0F0000}"/>
    <cellStyle name="—_report1198tables_anne_EM_TCC_new_BS" xfId="4333" xr:uid="{00000000-0005-0000-0000-00002E0F0000}"/>
    <cellStyle name="—_report1198tables_anne_EM_TCC_new_Eagle" xfId="4334" xr:uid="{00000000-0005-0000-0000-00002F0F0000}"/>
    <cellStyle name="—_report1198tables_anne_EM_TCC_new_HSH under review" xfId="4335" xr:uid="{00000000-0005-0000-0000-0000300F0000}"/>
    <cellStyle name="—_report1198tables_anne_EM_TCC_new_Novatek forecast 280404" xfId="4336" xr:uid="{00000000-0005-0000-0000-0000310F0000}"/>
    <cellStyle name="—_report1198tables_anne_EM_TCC_new_Prosperity REIT_2006Mar27" xfId="4337" xr:uid="{00000000-0005-0000-0000-0000320F0000}"/>
    <cellStyle name="—_report1198tables_anne_EM_TCC_new_Shangri-La under review" xfId="4338" xr:uid="{00000000-0005-0000-0000-0000330F0000}"/>
    <cellStyle name="—_report1198tables_anne_HSH under review" xfId="4339" xr:uid="{00000000-0005-0000-0000-0000340F0000}"/>
    <cellStyle name="—_report1198tables_anne_Hutchison Model 090514" xfId="4340" xr:uid="{00000000-0005-0000-0000-0000350F0000}"/>
    <cellStyle name="—_report1198tables_anne_L&amp;Ffin" xfId="4341" xr:uid="{00000000-0005-0000-0000-0000360F0000}"/>
    <cellStyle name="—_report1198tables_anne_Novatek forecast" xfId="4342" xr:uid="{00000000-0005-0000-0000-0000370F0000}"/>
    <cellStyle name="—_report1198tables_anne_Novatek forecast 280404" xfId="4343" xr:uid="{00000000-0005-0000-0000-0000380F0000}"/>
    <cellStyle name="—_report1198tables_anne_operating stats comp" xfId="4344" xr:uid="{00000000-0005-0000-0000-0000390F0000}"/>
    <cellStyle name="—_report1198tables_anne_operating stats comp_AUO consolidated 2004_02" xfId="4345" xr:uid="{00000000-0005-0000-0000-00003A0F0000}"/>
    <cellStyle name="—_report1198tables_anne_operating stats comp_AUO forecast (GQ)2005_03" xfId="4346" xr:uid="{00000000-0005-0000-0000-00003B0F0000}"/>
    <cellStyle name="—_report1198tables_anne_operating stats comp_blank industrial template - new" xfId="4347" xr:uid="{00000000-0005-0000-0000-00003C0F0000}"/>
    <cellStyle name="—_report1198tables_anne_operating stats comp_BS" xfId="4348" xr:uid="{00000000-0005-0000-0000-00003D0F0000}"/>
    <cellStyle name="—_report1198tables_anne_operating stats comp_Eagle" xfId="4349" xr:uid="{00000000-0005-0000-0000-00003E0F0000}"/>
    <cellStyle name="—_report1198tables_anne_operating stats comp_HSH under review" xfId="4350" xr:uid="{00000000-0005-0000-0000-00003F0F0000}"/>
    <cellStyle name="—_report1198tables_anne_operating stats comp_Novatek forecast 280404" xfId="4351" xr:uid="{00000000-0005-0000-0000-0000400F0000}"/>
    <cellStyle name="—_report1198tables_anne_operating stats comp_Prosperity REIT_2006Mar27" xfId="4352" xr:uid="{00000000-0005-0000-0000-0000410F0000}"/>
    <cellStyle name="—_report1198tables_anne_operating stats comp_Shangri-La under review" xfId="4353" xr:uid="{00000000-0005-0000-0000-0000420F0000}"/>
    <cellStyle name="—_report1198tables_anne_Prosperity REIT_2006Mar27" xfId="4354" xr:uid="{00000000-0005-0000-0000-0000430F0000}"/>
    <cellStyle name="—_report1198tables_anne_Shangri-La under review" xfId="4355" xr:uid="{00000000-0005-0000-0000-0000440F0000}"/>
    <cellStyle name="—_report1198tables_anne_Strategy_data_update" xfId="4356" xr:uid="{00000000-0005-0000-0000-0000450F0000}"/>
    <cellStyle name="—_report1198tables_anne_Strategy_data_update_AUO consolidated 2004_02" xfId="4357" xr:uid="{00000000-0005-0000-0000-0000460F0000}"/>
    <cellStyle name="—_report1198tables_anne_Strategy_data_update_AUO forecast (GQ)2005_03" xfId="4358" xr:uid="{00000000-0005-0000-0000-0000470F0000}"/>
    <cellStyle name="—_report1198tables_anne_Strategy_data_update_blank industrial template - new" xfId="4359" xr:uid="{00000000-0005-0000-0000-0000480F0000}"/>
    <cellStyle name="—_report1198tables_anne_Strategy_data_update_BS" xfId="4360" xr:uid="{00000000-0005-0000-0000-0000490F0000}"/>
    <cellStyle name="—_report1198tables_anne_Strategy_data_update_Eagle" xfId="4361" xr:uid="{00000000-0005-0000-0000-00004A0F0000}"/>
    <cellStyle name="—_report1198tables_anne_Strategy_data_update_HSH under review" xfId="4362" xr:uid="{00000000-0005-0000-0000-00004B0F0000}"/>
    <cellStyle name="—_report1198tables_anne_Strategy_data_update_Novatek forecast 280404" xfId="4363" xr:uid="{00000000-0005-0000-0000-00004C0F0000}"/>
    <cellStyle name="—_report1198tables_anne_Strategy_data_update_Prosperity REIT_2006Mar27" xfId="4364" xr:uid="{00000000-0005-0000-0000-00004D0F0000}"/>
    <cellStyle name="—_report1198tables_anne_Strategy_data_update_Shangri-La under review" xfId="4365" xr:uid="{00000000-0005-0000-0000-00004E0F0000}"/>
    <cellStyle name="—_report1198tables_AUO consolidated 2004_02" xfId="4366" xr:uid="{00000000-0005-0000-0000-00004F0F0000}"/>
    <cellStyle name="—_report1198tables_AUO forecast (GQ)2005_03" xfId="4367" xr:uid="{00000000-0005-0000-0000-0000500F0000}"/>
    <cellStyle name="—_report1198tables_blank industrial template - new" xfId="4368" xr:uid="{00000000-0005-0000-0000-0000510F0000}"/>
    <cellStyle name="—_report1198tables_Book7" xfId="4369" xr:uid="{00000000-0005-0000-0000-0000520F0000}"/>
    <cellStyle name="—_report1198tables_Book7_AUO consolidated 2004_02" xfId="4370" xr:uid="{00000000-0005-0000-0000-0000530F0000}"/>
    <cellStyle name="—_report1198tables_Book7_AUO forecast (GQ)2005_03" xfId="4371" xr:uid="{00000000-0005-0000-0000-0000540F0000}"/>
    <cellStyle name="—_report1198tables_Book7_blank industrial template - new" xfId="4372" xr:uid="{00000000-0005-0000-0000-0000550F0000}"/>
    <cellStyle name="—_report1198tables_Book7_BS" xfId="4373" xr:uid="{00000000-0005-0000-0000-0000560F0000}"/>
    <cellStyle name="—_report1198tables_Book7_Eagle" xfId="4374" xr:uid="{00000000-0005-0000-0000-0000570F0000}"/>
    <cellStyle name="—_report1198tables_Book7_HSH under review" xfId="4375" xr:uid="{00000000-0005-0000-0000-0000580F0000}"/>
    <cellStyle name="—_report1198tables_Book7_Novatek forecast 280404" xfId="4376" xr:uid="{00000000-0005-0000-0000-0000590F0000}"/>
    <cellStyle name="—_report1198tables_Book7_Prosperity REIT_2006Mar27" xfId="4377" xr:uid="{00000000-0005-0000-0000-00005A0F0000}"/>
    <cellStyle name="—_report1198tables_Book7_Shangri-La under review" xfId="4378" xr:uid="{00000000-0005-0000-0000-00005B0F0000}"/>
    <cellStyle name="—_report1198tables_BPCL Master external" xfId="4379" xr:uid="{00000000-0005-0000-0000-00005C0F0000}"/>
    <cellStyle name="—_report1198tables_BS" xfId="4380" xr:uid="{00000000-0005-0000-0000-00005D0F0000}"/>
    <cellStyle name="—_report1198tables_CK Hutch InvestmentProp Mar 24 2006" xfId="4381" xr:uid="{00000000-0005-0000-0000-00005E0F0000}"/>
    <cellStyle name="—_report1198tables_CKC_Hutch_group structure" xfId="4382" xr:uid="{00000000-0005-0000-0000-00005F0F0000}"/>
    <cellStyle name="—_report1198tables_CNOOC Master" xfId="4383" xr:uid="{00000000-0005-0000-0000-0000600F0000}"/>
    <cellStyle name="—_report1198tables_DoCoMo table 10July2000" xfId="4384" xr:uid="{00000000-0005-0000-0000-0000610F0000}"/>
    <cellStyle name="—_report1198tables_Eagle" xfId="4385" xr:uid="{00000000-0005-0000-0000-0000620F0000}"/>
    <cellStyle name="—_report1198tables_earnings" xfId="4386" xr:uid="{00000000-0005-0000-0000-0000630F0000}"/>
    <cellStyle name="—_report1198tables_earnings_AUO consolidated 2004_02" xfId="4387" xr:uid="{00000000-0005-0000-0000-0000640F0000}"/>
    <cellStyle name="—_report1198tables_earnings_AUO forecast (GQ)2005_03" xfId="4388" xr:uid="{00000000-0005-0000-0000-0000650F0000}"/>
    <cellStyle name="—_report1198tables_earnings_blank industrial template - new" xfId="4389" xr:uid="{00000000-0005-0000-0000-0000660F0000}"/>
    <cellStyle name="—_report1198tables_earnings_BS" xfId="4390" xr:uid="{00000000-0005-0000-0000-0000670F0000}"/>
    <cellStyle name="—_report1198tables_earnings_Eagle" xfId="4391" xr:uid="{00000000-0005-0000-0000-0000680F0000}"/>
    <cellStyle name="—_report1198tables_earnings_HSH under review" xfId="4392" xr:uid="{00000000-0005-0000-0000-0000690F0000}"/>
    <cellStyle name="—_report1198tables_earnings_Novatek forecast 280404" xfId="4393" xr:uid="{00000000-0005-0000-0000-00006A0F0000}"/>
    <cellStyle name="—_report1198tables_earnings_Prosperity REIT_2006Mar27" xfId="4394" xr:uid="{00000000-0005-0000-0000-00006B0F0000}"/>
    <cellStyle name="—_report1198tables_earnings_Shangri-La under review" xfId="4395" xr:uid="{00000000-0005-0000-0000-00006C0F0000}"/>
    <cellStyle name="—_report1198tables_EM_FETone_new" xfId="4396" xr:uid="{00000000-0005-0000-0000-00006D0F0000}"/>
    <cellStyle name="—_report1198tables_EM_FETone_new_AUO consolidated 2004_02" xfId="4397" xr:uid="{00000000-0005-0000-0000-00006E0F0000}"/>
    <cellStyle name="—_report1198tables_EM_FETone_new_AUO forecast (GQ)2005_03" xfId="4398" xr:uid="{00000000-0005-0000-0000-00006F0F0000}"/>
    <cellStyle name="—_report1198tables_EM_FETone_new_blank industrial template - new" xfId="4399" xr:uid="{00000000-0005-0000-0000-0000700F0000}"/>
    <cellStyle name="—_report1198tables_EM_FETone_new_BS" xfId="4400" xr:uid="{00000000-0005-0000-0000-0000710F0000}"/>
    <cellStyle name="—_report1198tables_EM_FETone_new_Eagle" xfId="4401" xr:uid="{00000000-0005-0000-0000-0000720F0000}"/>
    <cellStyle name="—_report1198tables_EM_FETone_new_HSH under review" xfId="4402" xr:uid="{00000000-0005-0000-0000-0000730F0000}"/>
    <cellStyle name="—_report1198tables_EM_FETone_new_Novatek forecast 280404" xfId="4403" xr:uid="{00000000-0005-0000-0000-0000740F0000}"/>
    <cellStyle name="—_report1198tables_EM_FETone_new_Prosperity REIT_2006Mar27" xfId="4404" xr:uid="{00000000-0005-0000-0000-0000750F0000}"/>
    <cellStyle name="—_report1198tables_EM_FETone_new_Shangri-La under review" xfId="4405" xr:uid="{00000000-0005-0000-0000-0000760F0000}"/>
    <cellStyle name="—_report1198tables_EM_TCC_new" xfId="4406" xr:uid="{00000000-0005-0000-0000-0000770F0000}"/>
    <cellStyle name="—_report1198tables_EM_TCC_new_AUO consolidated 2004_02" xfId="4407" xr:uid="{00000000-0005-0000-0000-0000780F0000}"/>
    <cellStyle name="—_report1198tables_EM_TCC_new_AUO forecast (GQ)2005_03" xfId="4408" xr:uid="{00000000-0005-0000-0000-0000790F0000}"/>
    <cellStyle name="—_report1198tables_EM_TCC_new_blank industrial template - new" xfId="4409" xr:uid="{00000000-0005-0000-0000-00007A0F0000}"/>
    <cellStyle name="—_report1198tables_EM_TCC_new_BS" xfId="4410" xr:uid="{00000000-0005-0000-0000-00007B0F0000}"/>
    <cellStyle name="—_report1198tables_EM_TCC_new_Eagle" xfId="4411" xr:uid="{00000000-0005-0000-0000-00007C0F0000}"/>
    <cellStyle name="—_report1198tables_EM_TCC_new_HSH under review" xfId="4412" xr:uid="{00000000-0005-0000-0000-00007D0F0000}"/>
    <cellStyle name="—_report1198tables_EM_TCC_new_Novatek forecast 280404" xfId="4413" xr:uid="{00000000-0005-0000-0000-00007E0F0000}"/>
    <cellStyle name="—_report1198tables_EM_TCC_new_Prosperity REIT_2006Mar27" xfId="4414" xr:uid="{00000000-0005-0000-0000-00007F0F0000}"/>
    <cellStyle name="—_report1198tables_EM_TCC_new_Shangri-La under review" xfId="4415" xr:uid="{00000000-0005-0000-0000-0000800F0000}"/>
    <cellStyle name="—_report1198tables_FCFC-GSoutput 12Aug04" xfId="4416" xr:uid="{00000000-0005-0000-0000-0000810F0000}"/>
    <cellStyle name="—_report1198tables_HSH under review" xfId="4417" xr:uid="{00000000-0005-0000-0000-0000820F0000}"/>
    <cellStyle name="—_report1198tables_Hutchison Model 090514" xfId="4418" xr:uid="{00000000-0005-0000-0000-0000830F0000}"/>
    <cellStyle name="—_report1198tables_L&amp;Ffin" xfId="4419" xr:uid="{00000000-0005-0000-0000-0000840F0000}"/>
    <cellStyle name="—_report1198tables_Novatek forecast 280404" xfId="4420" xr:uid="{00000000-0005-0000-0000-0000850F0000}"/>
    <cellStyle name="—_report1198tables_operating stats comp" xfId="4421" xr:uid="{00000000-0005-0000-0000-0000860F0000}"/>
    <cellStyle name="—_report1198tables_operating stats comp_AUO consolidated 2004_02" xfId="4422" xr:uid="{00000000-0005-0000-0000-0000870F0000}"/>
    <cellStyle name="—_report1198tables_operating stats comp_AUO forecast (GQ)2005_03" xfId="4423" xr:uid="{00000000-0005-0000-0000-0000880F0000}"/>
    <cellStyle name="—_report1198tables_operating stats comp_blank industrial template - new" xfId="4424" xr:uid="{00000000-0005-0000-0000-0000890F0000}"/>
    <cellStyle name="—_report1198tables_operating stats comp_BS" xfId="4425" xr:uid="{00000000-0005-0000-0000-00008A0F0000}"/>
    <cellStyle name="—_report1198tables_operating stats comp_Eagle" xfId="4426" xr:uid="{00000000-0005-0000-0000-00008B0F0000}"/>
    <cellStyle name="—_report1198tables_operating stats comp_HSH under review" xfId="4427" xr:uid="{00000000-0005-0000-0000-00008C0F0000}"/>
    <cellStyle name="—_report1198tables_operating stats comp_Novatek forecast 280404" xfId="4428" xr:uid="{00000000-0005-0000-0000-00008D0F0000}"/>
    <cellStyle name="—_report1198tables_operating stats comp_Prosperity REIT_2006Mar27" xfId="4429" xr:uid="{00000000-0005-0000-0000-00008E0F0000}"/>
    <cellStyle name="—_report1198tables_operating stats comp_Shangri-La under review" xfId="4430" xr:uid="{00000000-0005-0000-0000-00008F0F0000}"/>
    <cellStyle name="—_report1198tables_Prosperity REIT_2006Mar27" xfId="4431" xr:uid="{00000000-0005-0000-0000-0000900F0000}"/>
    <cellStyle name="—_report1198tables_Shangri-La under review" xfId="4432" xr:uid="{00000000-0005-0000-0000-0000910F0000}"/>
    <cellStyle name="—_report1198tables_Strategy_data_update" xfId="4433" xr:uid="{00000000-0005-0000-0000-0000920F0000}"/>
    <cellStyle name="—_report1198tables_Strategy_data_update_AUO consolidated 2004_02" xfId="4434" xr:uid="{00000000-0005-0000-0000-0000930F0000}"/>
    <cellStyle name="—_report1198tables_Strategy_data_update_AUO forecast (GQ)2005_03" xfId="4435" xr:uid="{00000000-0005-0000-0000-0000940F0000}"/>
    <cellStyle name="—_report1198tables_Strategy_data_update_blank industrial template - new" xfId="4436" xr:uid="{00000000-0005-0000-0000-0000950F0000}"/>
    <cellStyle name="—_report1198tables_Strategy_data_update_BS" xfId="4437" xr:uid="{00000000-0005-0000-0000-0000960F0000}"/>
    <cellStyle name="—_report1198tables_Strategy_data_update_Eagle" xfId="4438" xr:uid="{00000000-0005-0000-0000-0000970F0000}"/>
    <cellStyle name="—_report1198tables_Strategy_data_update_HSH under review" xfId="4439" xr:uid="{00000000-0005-0000-0000-0000980F0000}"/>
    <cellStyle name="—_report1198tables_Strategy_data_update_Novatek forecast 280404" xfId="4440" xr:uid="{00000000-0005-0000-0000-0000990F0000}"/>
    <cellStyle name="—_report1198tables_Strategy_data_update_Prosperity REIT_2006Mar27" xfId="4441" xr:uid="{00000000-0005-0000-0000-00009A0F0000}"/>
    <cellStyle name="—_report1198tables_Strategy_data_update_Shangri-La under review" xfId="4442" xr:uid="{00000000-0005-0000-0000-00009B0F0000}"/>
    <cellStyle name="—_report1198tables_tables_99" xfId="4443" xr:uid="{00000000-0005-0000-0000-00009C0F0000}"/>
    <cellStyle name="—_report1198tables_tables_99_AUO consolidated 2004_02" xfId="4444" xr:uid="{00000000-0005-0000-0000-00009D0F0000}"/>
    <cellStyle name="—_report1198tables_tables_99_AUO forecast (GQ)2005_03" xfId="4445" xr:uid="{00000000-0005-0000-0000-00009E0F0000}"/>
    <cellStyle name="—_report1198tables_tables_99_blank industrial template - new" xfId="4446" xr:uid="{00000000-0005-0000-0000-00009F0F0000}"/>
    <cellStyle name="—_report1198tables_tables_99_Book7" xfId="4447" xr:uid="{00000000-0005-0000-0000-0000A00F0000}"/>
    <cellStyle name="—_report1198tables_tables_99_Book7_AUO consolidated 2004_02" xfId="4448" xr:uid="{00000000-0005-0000-0000-0000A10F0000}"/>
    <cellStyle name="—_report1198tables_tables_99_Book7_AUO forecast (GQ)2005_03" xfId="4449" xr:uid="{00000000-0005-0000-0000-0000A20F0000}"/>
    <cellStyle name="—_report1198tables_tables_99_Book7_blank industrial template - new" xfId="4450" xr:uid="{00000000-0005-0000-0000-0000A30F0000}"/>
    <cellStyle name="—_report1198tables_tables_99_Book7_BS" xfId="4451" xr:uid="{00000000-0005-0000-0000-0000A40F0000}"/>
    <cellStyle name="—_report1198tables_tables_99_Book7_Eagle" xfId="4452" xr:uid="{00000000-0005-0000-0000-0000A50F0000}"/>
    <cellStyle name="—_report1198tables_tables_99_Book7_HSH under review" xfId="4453" xr:uid="{00000000-0005-0000-0000-0000A60F0000}"/>
    <cellStyle name="—_report1198tables_tables_99_Book7_Novatek forecast 280404" xfId="4454" xr:uid="{00000000-0005-0000-0000-0000A70F0000}"/>
    <cellStyle name="—_report1198tables_tables_99_Book7_Prosperity REIT_2006Mar27" xfId="4455" xr:uid="{00000000-0005-0000-0000-0000A80F0000}"/>
    <cellStyle name="—_report1198tables_tables_99_Book7_Shangri-La under review" xfId="4456" xr:uid="{00000000-0005-0000-0000-0000A90F0000}"/>
    <cellStyle name="—_report1198tables_tables_99_BS" xfId="4457" xr:uid="{00000000-0005-0000-0000-0000AA0F0000}"/>
    <cellStyle name="—_report1198tables_tables_99_CK Hutch InvestmentProp Mar 24 2006" xfId="4458" xr:uid="{00000000-0005-0000-0000-0000AB0F0000}"/>
    <cellStyle name="—_report1198tables_tables_99_CKC_Hutch_group structure" xfId="4459" xr:uid="{00000000-0005-0000-0000-0000AC0F0000}"/>
    <cellStyle name="—_report1198tables_tables_99_DoCoMo table 10July2000" xfId="4460" xr:uid="{00000000-0005-0000-0000-0000AD0F0000}"/>
    <cellStyle name="—_report1198tables_tables_99_Eagle" xfId="4461" xr:uid="{00000000-0005-0000-0000-0000AE0F0000}"/>
    <cellStyle name="—_report1198tables_tables_99_earnings" xfId="4462" xr:uid="{00000000-0005-0000-0000-0000AF0F0000}"/>
    <cellStyle name="—_report1198tables_tables_99_earnings_AUO consolidated 2004_02" xfId="4463" xr:uid="{00000000-0005-0000-0000-0000B00F0000}"/>
    <cellStyle name="—_report1198tables_tables_99_earnings_AUO forecast (GQ)2005_03" xfId="4464" xr:uid="{00000000-0005-0000-0000-0000B10F0000}"/>
    <cellStyle name="—_report1198tables_tables_99_earnings_blank industrial template - new" xfId="4465" xr:uid="{00000000-0005-0000-0000-0000B20F0000}"/>
    <cellStyle name="—_report1198tables_tables_99_earnings_BS" xfId="4466" xr:uid="{00000000-0005-0000-0000-0000B30F0000}"/>
    <cellStyle name="—_report1198tables_tables_99_earnings_Eagle" xfId="4467" xr:uid="{00000000-0005-0000-0000-0000B40F0000}"/>
    <cellStyle name="—_report1198tables_tables_99_earnings_HSH under review" xfId="4468" xr:uid="{00000000-0005-0000-0000-0000B50F0000}"/>
    <cellStyle name="—_report1198tables_tables_99_earnings_Novatek forecast 280404" xfId="4469" xr:uid="{00000000-0005-0000-0000-0000B60F0000}"/>
    <cellStyle name="—_report1198tables_tables_99_earnings_Prosperity REIT_2006Mar27" xfId="4470" xr:uid="{00000000-0005-0000-0000-0000B70F0000}"/>
    <cellStyle name="—_report1198tables_tables_99_earnings_Shangri-La under review" xfId="4471" xr:uid="{00000000-0005-0000-0000-0000B80F0000}"/>
    <cellStyle name="—_report1198tables_tables_99_EM_FETone_new" xfId="4472" xr:uid="{00000000-0005-0000-0000-0000B90F0000}"/>
    <cellStyle name="—_report1198tables_tables_99_EM_FETone_new_AUO consolidated 2004_02" xfId="4473" xr:uid="{00000000-0005-0000-0000-0000BA0F0000}"/>
    <cellStyle name="—_report1198tables_tables_99_EM_FETone_new_AUO forecast (GQ)2005_03" xfId="4474" xr:uid="{00000000-0005-0000-0000-0000BB0F0000}"/>
    <cellStyle name="—_report1198tables_tables_99_EM_FETone_new_blank industrial template - new" xfId="4475" xr:uid="{00000000-0005-0000-0000-0000BC0F0000}"/>
    <cellStyle name="—_report1198tables_tables_99_EM_FETone_new_BS" xfId="4476" xr:uid="{00000000-0005-0000-0000-0000BD0F0000}"/>
    <cellStyle name="—_report1198tables_tables_99_EM_FETone_new_Eagle" xfId="4477" xr:uid="{00000000-0005-0000-0000-0000BE0F0000}"/>
    <cellStyle name="—_report1198tables_tables_99_EM_FETone_new_HSH under review" xfId="4478" xr:uid="{00000000-0005-0000-0000-0000BF0F0000}"/>
    <cellStyle name="—_report1198tables_tables_99_EM_FETone_new_Novatek forecast 280404" xfId="4479" xr:uid="{00000000-0005-0000-0000-0000C00F0000}"/>
    <cellStyle name="—_report1198tables_tables_99_EM_FETone_new_Prosperity REIT_2006Mar27" xfId="4480" xr:uid="{00000000-0005-0000-0000-0000C10F0000}"/>
    <cellStyle name="—_report1198tables_tables_99_EM_FETone_new_Shangri-La under review" xfId="4481" xr:uid="{00000000-0005-0000-0000-0000C20F0000}"/>
    <cellStyle name="—_report1198tables_tables_99_EM_TCC_new" xfId="4482" xr:uid="{00000000-0005-0000-0000-0000C30F0000}"/>
    <cellStyle name="—_report1198tables_tables_99_EM_TCC_new_AUO consolidated 2004_02" xfId="4483" xr:uid="{00000000-0005-0000-0000-0000C40F0000}"/>
    <cellStyle name="—_report1198tables_tables_99_EM_TCC_new_AUO forecast (GQ)2005_03" xfId="4484" xr:uid="{00000000-0005-0000-0000-0000C50F0000}"/>
    <cellStyle name="—_report1198tables_tables_99_EM_TCC_new_blank industrial template - new" xfId="4485" xr:uid="{00000000-0005-0000-0000-0000C60F0000}"/>
    <cellStyle name="—_report1198tables_tables_99_EM_TCC_new_BS" xfId="4486" xr:uid="{00000000-0005-0000-0000-0000C70F0000}"/>
    <cellStyle name="—_report1198tables_tables_99_EM_TCC_new_Eagle" xfId="4487" xr:uid="{00000000-0005-0000-0000-0000C80F0000}"/>
    <cellStyle name="—_report1198tables_tables_99_EM_TCC_new_HSH under review" xfId="4488" xr:uid="{00000000-0005-0000-0000-0000C90F0000}"/>
    <cellStyle name="—_report1198tables_tables_99_EM_TCC_new_Novatek forecast 280404" xfId="4489" xr:uid="{00000000-0005-0000-0000-0000CA0F0000}"/>
    <cellStyle name="—_report1198tables_tables_99_EM_TCC_new_Prosperity REIT_2006Mar27" xfId="4490" xr:uid="{00000000-0005-0000-0000-0000CB0F0000}"/>
    <cellStyle name="—_report1198tables_tables_99_EM_TCC_new_Shangri-La under review" xfId="4491" xr:uid="{00000000-0005-0000-0000-0000CC0F0000}"/>
    <cellStyle name="—_report1198tables_tables_99_HSH under review" xfId="4492" xr:uid="{00000000-0005-0000-0000-0000CD0F0000}"/>
    <cellStyle name="—_report1198tables_tables_99_Hutchison Model 090514" xfId="4493" xr:uid="{00000000-0005-0000-0000-0000CE0F0000}"/>
    <cellStyle name="—_report1198tables_tables_99_L&amp;Ffin" xfId="4494" xr:uid="{00000000-0005-0000-0000-0000CF0F0000}"/>
    <cellStyle name="—_report1198tables_tables_99_Novatek forecast" xfId="4495" xr:uid="{00000000-0005-0000-0000-0000D00F0000}"/>
    <cellStyle name="—_report1198tables_tables_99_Novatek forecast 280404" xfId="4496" xr:uid="{00000000-0005-0000-0000-0000D10F0000}"/>
    <cellStyle name="—_report1198tables_tables_99_operating stats comp" xfId="4497" xr:uid="{00000000-0005-0000-0000-0000D20F0000}"/>
    <cellStyle name="—_report1198tables_tables_99_operating stats comp_AUO consolidated 2004_02" xfId="4498" xr:uid="{00000000-0005-0000-0000-0000D30F0000}"/>
    <cellStyle name="—_report1198tables_tables_99_operating stats comp_AUO forecast (GQ)2005_03" xfId="4499" xr:uid="{00000000-0005-0000-0000-0000D40F0000}"/>
    <cellStyle name="—_report1198tables_tables_99_operating stats comp_blank industrial template - new" xfId="4500" xr:uid="{00000000-0005-0000-0000-0000D50F0000}"/>
    <cellStyle name="—_report1198tables_tables_99_operating stats comp_BS" xfId="4501" xr:uid="{00000000-0005-0000-0000-0000D60F0000}"/>
    <cellStyle name="—_report1198tables_tables_99_operating stats comp_Eagle" xfId="4502" xr:uid="{00000000-0005-0000-0000-0000D70F0000}"/>
    <cellStyle name="—_report1198tables_tables_99_operating stats comp_HSH under review" xfId="4503" xr:uid="{00000000-0005-0000-0000-0000D80F0000}"/>
    <cellStyle name="—_report1198tables_tables_99_operating stats comp_Novatek forecast 280404" xfId="4504" xr:uid="{00000000-0005-0000-0000-0000D90F0000}"/>
    <cellStyle name="—_report1198tables_tables_99_operating stats comp_Prosperity REIT_2006Mar27" xfId="4505" xr:uid="{00000000-0005-0000-0000-0000DA0F0000}"/>
    <cellStyle name="—_report1198tables_tables_99_operating stats comp_Shangri-La under review" xfId="4506" xr:uid="{00000000-0005-0000-0000-0000DB0F0000}"/>
    <cellStyle name="—_report1198tables_tables_99_Prosperity REIT_2006Mar27" xfId="4507" xr:uid="{00000000-0005-0000-0000-0000DC0F0000}"/>
    <cellStyle name="—_report1198tables_tables_99_Shangri-La under review" xfId="4508" xr:uid="{00000000-0005-0000-0000-0000DD0F0000}"/>
    <cellStyle name="—_report1198tables_tables_99_Strategy_data_update" xfId="4509" xr:uid="{00000000-0005-0000-0000-0000DE0F0000}"/>
    <cellStyle name="—_report1198tables_tables_99_Strategy_data_update_AUO consolidated 2004_02" xfId="4510" xr:uid="{00000000-0005-0000-0000-0000DF0F0000}"/>
    <cellStyle name="—_report1198tables_tables_99_Strategy_data_update_AUO forecast (GQ)2005_03" xfId="4511" xr:uid="{00000000-0005-0000-0000-0000E00F0000}"/>
    <cellStyle name="—_report1198tables_tables_99_Strategy_data_update_blank industrial template - new" xfId="4512" xr:uid="{00000000-0005-0000-0000-0000E10F0000}"/>
    <cellStyle name="—_report1198tables_tables_99_Strategy_data_update_BS" xfId="4513" xr:uid="{00000000-0005-0000-0000-0000E20F0000}"/>
    <cellStyle name="—_report1198tables_tables_99_Strategy_data_update_Eagle" xfId="4514" xr:uid="{00000000-0005-0000-0000-0000E30F0000}"/>
    <cellStyle name="—_report1198tables_tables_99_Strategy_data_update_HSH under review" xfId="4515" xr:uid="{00000000-0005-0000-0000-0000E40F0000}"/>
    <cellStyle name="—_report1198tables_tables_99_Strategy_data_update_Novatek forecast 280404" xfId="4516" xr:uid="{00000000-0005-0000-0000-0000E50F0000}"/>
    <cellStyle name="—_report1198tables_tables_99_Strategy_data_update_Prosperity REIT_2006Mar27" xfId="4517" xr:uid="{00000000-0005-0000-0000-0000E60F0000}"/>
    <cellStyle name="—_report1198tables_tables_99_Strategy_data_update_Shangri-La under review" xfId="4518" xr:uid="{00000000-0005-0000-0000-0000E70F0000}"/>
    <cellStyle name="—_Results_DCF ANALYSIS_HPI " xfId="6" xr:uid="{00000000-0005-0000-0000-0000E80F0000}"/>
    <cellStyle name="—_Results_Rmb_HPI " xfId="7" xr:uid="{00000000-0005-0000-0000-0000E90F0000}"/>
    <cellStyle name="—_Results_SH_HPI " xfId="8" xr:uid="{00000000-0005-0000-0000-0000EA0F0000}"/>
    <cellStyle name="_Retail Property" xfId="4519" xr:uid="{00000000-0005-0000-0000-0000EB0F0000}"/>
    <cellStyle name="_Retail standard template - Changyu B" xfId="4520" xr:uid="{00000000-0005-0000-0000-0000EC0F0000}"/>
    <cellStyle name="_Retail standard template - Changyu B_600519_with" xfId="4521" xr:uid="{00000000-0005-0000-0000-0000ED0F0000}"/>
    <cellStyle name="_Retail standard template - Changyu B_600519_with_600519.SS" xfId="4522" xr:uid="{00000000-0005-0000-0000-0000EE0F0000}"/>
    <cellStyle name="—_Revenue" xfId="4523" xr:uid="{00000000-0005-0000-0000-0000EF0F0000}"/>
    <cellStyle name="—_Revenues" xfId="4524" xr:uid="{00000000-0005-0000-0000-0000F00F0000}"/>
    <cellStyle name="—_Revenues_AUO consolidated 2004_02" xfId="4525" xr:uid="{00000000-0005-0000-0000-0000F10F0000}"/>
    <cellStyle name="—_Revenues_AUO forecast (GQ)2005_03" xfId="4526" xr:uid="{00000000-0005-0000-0000-0000F20F0000}"/>
    <cellStyle name="—_Revenues_blank industrial template - new" xfId="4527" xr:uid="{00000000-0005-0000-0000-0000F30F0000}"/>
    <cellStyle name="—_Revenues_BS" xfId="4528" xr:uid="{00000000-0005-0000-0000-0000F40F0000}"/>
    <cellStyle name="—_Revenues_Eagle" xfId="4529" xr:uid="{00000000-0005-0000-0000-0000F50F0000}"/>
    <cellStyle name="—_Revenues_HSH under review" xfId="4530" xr:uid="{00000000-0005-0000-0000-0000F60F0000}"/>
    <cellStyle name="—_Revenues_Novatek forecast 280404" xfId="4531" xr:uid="{00000000-0005-0000-0000-0000F70F0000}"/>
    <cellStyle name="—_Revenues_Prosperity REIT_2006Mar27" xfId="4532" xr:uid="{00000000-0005-0000-0000-0000F80F0000}"/>
    <cellStyle name="—_Revenues_Shangri-La under review" xfId="4533" xr:uid="{00000000-0005-0000-0000-0000F90F0000}"/>
    <cellStyle name="_RPT-Developers-2008Sep" xfId="4534" xr:uid="{00000000-0005-0000-0000-0000FA0F0000}"/>
    <cellStyle name="—_RPT-Developers-2008Sep" xfId="4535" xr:uid="{00000000-0005-0000-0000-0000FB0F0000}"/>
    <cellStyle name="_RPT-Hongkong Land 080430" xfId="4536" xr:uid="{00000000-0005-0000-0000-0000FC0F0000}"/>
    <cellStyle name="—_RPT-Hongkong Land 080430" xfId="4537" xr:uid="{00000000-0005-0000-0000-0000FD0F0000}"/>
    <cellStyle name="—_RPT-Landlords-2008Sep" xfId="4538" xr:uid="{00000000-0005-0000-0000-0000FE0F0000}"/>
    <cellStyle name="—_RSA" xfId="4539" xr:uid="{00000000-0005-0000-0000-0000FF0F0000}"/>
    <cellStyle name="—_RSA_AUO consolidated 2004_02" xfId="4540" xr:uid="{00000000-0005-0000-0000-000000100000}"/>
    <cellStyle name="—_RSA_AUO forecast (GQ)2005_03" xfId="4541" xr:uid="{00000000-0005-0000-0000-000001100000}"/>
    <cellStyle name="—_RSA_blank industrial template - new" xfId="4542" xr:uid="{00000000-0005-0000-0000-000002100000}"/>
    <cellStyle name="—_RSA_Book7" xfId="4543" xr:uid="{00000000-0005-0000-0000-000003100000}"/>
    <cellStyle name="—_RSA_Book7_AUO consolidated 2004_02" xfId="4544" xr:uid="{00000000-0005-0000-0000-000004100000}"/>
    <cellStyle name="—_RSA_Book7_AUO forecast (GQ)2005_03" xfId="4545" xr:uid="{00000000-0005-0000-0000-000005100000}"/>
    <cellStyle name="—_RSA_Book7_blank industrial template - new" xfId="4546" xr:uid="{00000000-0005-0000-0000-000006100000}"/>
    <cellStyle name="—_RSA_Book7_BS" xfId="4547" xr:uid="{00000000-0005-0000-0000-000007100000}"/>
    <cellStyle name="—_RSA_Book7_Eagle" xfId="4548" xr:uid="{00000000-0005-0000-0000-000008100000}"/>
    <cellStyle name="—_RSA_Book7_HSH under review" xfId="4549" xr:uid="{00000000-0005-0000-0000-000009100000}"/>
    <cellStyle name="—_RSA_Book7_Novatek forecast 280404" xfId="4550" xr:uid="{00000000-0005-0000-0000-00000A100000}"/>
    <cellStyle name="—_RSA_Book7_Prosperity REIT_2006Mar27" xfId="4551" xr:uid="{00000000-0005-0000-0000-00000B100000}"/>
    <cellStyle name="—_RSA_Book7_Shangri-La under review" xfId="4552" xr:uid="{00000000-0005-0000-0000-00000C100000}"/>
    <cellStyle name="—_RSA_BS" xfId="4553" xr:uid="{00000000-0005-0000-0000-00000D100000}"/>
    <cellStyle name="—_RSA_CK Hutch InvestmentProp Mar 24 2006" xfId="4554" xr:uid="{00000000-0005-0000-0000-00000E100000}"/>
    <cellStyle name="—_RSA_CKC_Hutch_group structure" xfId="4555" xr:uid="{00000000-0005-0000-0000-00000F100000}"/>
    <cellStyle name="—_RSA_DoCoMo table 10July2000" xfId="4556" xr:uid="{00000000-0005-0000-0000-000010100000}"/>
    <cellStyle name="—_RSA_DoCoMo table 10July2000_AUO consolidated 2004_02" xfId="4557" xr:uid="{00000000-0005-0000-0000-000011100000}"/>
    <cellStyle name="—_RSA_DoCoMo table 10July2000_AUO forecast (GQ)2005_03" xfId="4558" xr:uid="{00000000-0005-0000-0000-000012100000}"/>
    <cellStyle name="—_RSA_DoCoMo table 10July2000_blank industrial template - new" xfId="4559" xr:uid="{00000000-0005-0000-0000-000013100000}"/>
    <cellStyle name="—_RSA_DoCoMo table 10July2000_BS" xfId="4560" xr:uid="{00000000-0005-0000-0000-000014100000}"/>
    <cellStyle name="—_RSA_DoCoMo table 10July2000_Eagle" xfId="4561" xr:uid="{00000000-0005-0000-0000-000015100000}"/>
    <cellStyle name="—_RSA_DoCoMo table 10July2000_HSH under review" xfId="4562" xr:uid="{00000000-0005-0000-0000-000016100000}"/>
    <cellStyle name="—_RSA_DoCoMo table 10July2000_Novatek forecast 280404" xfId="4563" xr:uid="{00000000-0005-0000-0000-000017100000}"/>
    <cellStyle name="—_RSA_DoCoMo table 10July2000_Prosperity REIT_2006Mar27" xfId="4564" xr:uid="{00000000-0005-0000-0000-000018100000}"/>
    <cellStyle name="—_RSA_DoCoMo table 10July2000_Shangri-La under review" xfId="4565" xr:uid="{00000000-0005-0000-0000-000019100000}"/>
    <cellStyle name="—_RSA_Eagle" xfId="4566" xr:uid="{00000000-0005-0000-0000-00001A100000}"/>
    <cellStyle name="—_RSA_earnings" xfId="4567" xr:uid="{00000000-0005-0000-0000-00001B100000}"/>
    <cellStyle name="—_RSA_earnings_AUO consolidated 2004_02" xfId="4568" xr:uid="{00000000-0005-0000-0000-00001C100000}"/>
    <cellStyle name="—_RSA_earnings_AUO forecast (GQ)2005_03" xfId="4569" xr:uid="{00000000-0005-0000-0000-00001D100000}"/>
    <cellStyle name="—_RSA_earnings_blank industrial template - new" xfId="4570" xr:uid="{00000000-0005-0000-0000-00001E100000}"/>
    <cellStyle name="—_RSA_earnings_BS" xfId="4571" xr:uid="{00000000-0005-0000-0000-00001F100000}"/>
    <cellStyle name="—_RSA_earnings_Eagle" xfId="4572" xr:uid="{00000000-0005-0000-0000-000020100000}"/>
    <cellStyle name="—_RSA_earnings_HSH under review" xfId="4573" xr:uid="{00000000-0005-0000-0000-000021100000}"/>
    <cellStyle name="—_RSA_earnings_Novatek forecast 280404" xfId="4574" xr:uid="{00000000-0005-0000-0000-000022100000}"/>
    <cellStyle name="—_RSA_earnings_Prosperity REIT_2006Mar27" xfId="4575" xr:uid="{00000000-0005-0000-0000-000023100000}"/>
    <cellStyle name="—_RSA_earnings_Shangri-La under review" xfId="4576" xr:uid="{00000000-0005-0000-0000-000024100000}"/>
    <cellStyle name="—_RSA_EM_CMHK" xfId="4577" xr:uid="{00000000-0005-0000-0000-000025100000}"/>
    <cellStyle name="—_RSA_EM_CMHK_AUO consolidated 2004_02" xfId="4578" xr:uid="{00000000-0005-0000-0000-000026100000}"/>
    <cellStyle name="—_RSA_EM_CMHK_AUO forecast (GQ)2005_03" xfId="4579" xr:uid="{00000000-0005-0000-0000-000027100000}"/>
    <cellStyle name="—_RSA_EM_CMHK_blank industrial template - new" xfId="4580" xr:uid="{00000000-0005-0000-0000-000028100000}"/>
    <cellStyle name="—_RSA_EM_CMHK_BS" xfId="4581" xr:uid="{00000000-0005-0000-0000-000029100000}"/>
    <cellStyle name="—_RSA_EM_CMHK_Eagle" xfId="4582" xr:uid="{00000000-0005-0000-0000-00002A100000}"/>
    <cellStyle name="—_RSA_EM_CMHK_HSH under review" xfId="4583" xr:uid="{00000000-0005-0000-0000-00002B100000}"/>
    <cellStyle name="—_RSA_EM_CMHK_Novatek forecast 280404" xfId="4584" xr:uid="{00000000-0005-0000-0000-00002C100000}"/>
    <cellStyle name="—_RSA_EM_CMHK_Prosperity REIT_2006Mar27" xfId="4585" xr:uid="{00000000-0005-0000-0000-00002D100000}"/>
    <cellStyle name="—_RSA_EM_CMHK_Shangri-La under review" xfId="4586" xr:uid="{00000000-0005-0000-0000-00002E100000}"/>
    <cellStyle name="—_RSA_EM_FETone_new" xfId="4587" xr:uid="{00000000-0005-0000-0000-00002F100000}"/>
    <cellStyle name="—_RSA_EM_FETone_new_AUO consolidated 2004_02" xfId="4588" xr:uid="{00000000-0005-0000-0000-000030100000}"/>
    <cellStyle name="—_RSA_EM_FETone_new_AUO forecast (GQ)2005_03" xfId="4589" xr:uid="{00000000-0005-0000-0000-000031100000}"/>
    <cellStyle name="—_RSA_EM_FETone_new_blank industrial template - new" xfId="4590" xr:uid="{00000000-0005-0000-0000-000032100000}"/>
    <cellStyle name="—_RSA_EM_FETone_new_BS" xfId="4591" xr:uid="{00000000-0005-0000-0000-000033100000}"/>
    <cellStyle name="—_RSA_EM_FETone_new_Eagle" xfId="4592" xr:uid="{00000000-0005-0000-0000-000034100000}"/>
    <cellStyle name="—_RSA_EM_FETone_new_HSH under review" xfId="4593" xr:uid="{00000000-0005-0000-0000-000035100000}"/>
    <cellStyle name="—_RSA_EM_FETone_new_Novatek forecast 280404" xfId="4594" xr:uid="{00000000-0005-0000-0000-000036100000}"/>
    <cellStyle name="—_RSA_EM_FETone_new_Prosperity REIT_2006Mar27" xfId="4595" xr:uid="{00000000-0005-0000-0000-000037100000}"/>
    <cellStyle name="—_RSA_EM_FETone_new_Shangri-La under review" xfId="4596" xr:uid="{00000000-0005-0000-0000-000038100000}"/>
    <cellStyle name="—_RSA_EM_TCC_new" xfId="4597" xr:uid="{00000000-0005-0000-0000-000039100000}"/>
    <cellStyle name="—_RSA_EM_TCC_new_AUO consolidated 2004_02" xfId="4598" xr:uid="{00000000-0005-0000-0000-00003A100000}"/>
    <cellStyle name="—_RSA_EM_TCC_new_AUO forecast (GQ)2005_03" xfId="4599" xr:uid="{00000000-0005-0000-0000-00003B100000}"/>
    <cellStyle name="—_RSA_EM_TCC_new_blank industrial template - new" xfId="4600" xr:uid="{00000000-0005-0000-0000-00003C100000}"/>
    <cellStyle name="—_RSA_EM_TCC_new_BS" xfId="4601" xr:uid="{00000000-0005-0000-0000-00003D100000}"/>
    <cellStyle name="—_RSA_EM_TCC_new_Eagle" xfId="4602" xr:uid="{00000000-0005-0000-0000-00003E100000}"/>
    <cellStyle name="—_RSA_EM_TCC_new_HSH under review" xfId="4603" xr:uid="{00000000-0005-0000-0000-00003F100000}"/>
    <cellStyle name="—_RSA_EM_TCC_new_Novatek forecast 280404" xfId="4604" xr:uid="{00000000-0005-0000-0000-000040100000}"/>
    <cellStyle name="—_RSA_EM_TCC_new_Prosperity REIT_2006Mar27" xfId="4605" xr:uid="{00000000-0005-0000-0000-000041100000}"/>
    <cellStyle name="—_RSA_EM_TCC_new_Shangri-La under review" xfId="4606" xr:uid="{00000000-0005-0000-0000-000042100000}"/>
    <cellStyle name="—_RSA_Feb01report" xfId="4607" xr:uid="{00000000-0005-0000-0000-000043100000}"/>
    <cellStyle name="—_RSA_Feb01report_NAV" xfId="4608" xr:uid="{00000000-0005-0000-0000-000044100000}"/>
    <cellStyle name="—_RSA_Feb01report_QP_0019.HK" xfId="4609" xr:uid="{00000000-0005-0000-0000-000045100000}"/>
    <cellStyle name="—_RSA_Feb01report_Swire Model" xfId="4610" xr:uid="{00000000-0005-0000-0000-000046100000}"/>
    <cellStyle name="—_RSA_Feb01report_SWIRESS" xfId="4611" xr:uid="{00000000-0005-0000-0000-000047100000}"/>
    <cellStyle name="—_RSA_FPACSS" xfId="4612" xr:uid="{00000000-0005-0000-0000-000048100000}"/>
    <cellStyle name="—_RSA_HSH under review" xfId="4613" xr:uid="{00000000-0005-0000-0000-000049100000}"/>
    <cellStyle name="—_RSA_Hutchison Model 090514" xfId="4614" xr:uid="{00000000-0005-0000-0000-00004A100000}"/>
    <cellStyle name="—_RSA_hutchss" xfId="4615" xr:uid="{00000000-0005-0000-0000-00004B100000}"/>
    <cellStyle name="—_RSA_IPOmaster" xfId="4616" xr:uid="{00000000-0005-0000-0000-00004C100000}"/>
    <cellStyle name="—_RSA_JMATHSS" xfId="4617" xr:uid="{00000000-0005-0000-0000-00004D100000}"/>
    <cellStyle name="—_RSA_MASTER" xfId="4618" xr:uid="{00000000-0005-0000-0000-00004E100000}"/>
    <cellStyle name="—_RSA_Novatek forecast" xfId="4619" xr:uid="{00000000-0005-0000-0000-00004F100000}"/>
    <cellStyle name="—_RSA_Novatek forecast 280404" xfId="4620" xr:uid="{00000000-0005-0000-0000-000050100000}"/>
    <cellStyle name="—_RSA_operating stats comp" xfId="4621" xr:uid="{00000000-0005-0000-0000-000051100000}"/>
    <cellStyle name="—_RSA_operating stats comp_AUO consolidated 2004_02" xfId="4622" xr:uid="{00000000-0005-0000-0000-000052100000}"/>
    <cellStyle name="—_RSA_operating stats comp_AUO forecast (GQ)2005_03" xfId="4623" xr:uid="{00000000-0005-0000-0000-000053100000}"/>
    <cellStyle name="—_RSA_operating stats comp_blank industrial template - new" xfId="4624" xr:uid="{00000000-0005-0000-0000-000054100000}"/>
    <cellStyle name="—_RSA_operating stats comp_BS" xfId="4625" xr:uid="{00000000-0005-0000-0000-000055100000}"/>
    <cellStyle name="—_RSA_operating stats comp_Eagle" xfId="4626" xr:uid="{00000000-0005-0000-0000-000056100000}"/>
    <cellStyle name="—_RSA_operating stats comp_HSH under review" xfId="4627" xr:uid="{00000000-0005-0000-0000-000057100000}"/>
    <cellStyle name="—_RSA_operating stats comp_Novatek forecast 280404" xfId="4628" xr:uid="{00000000-0005-0000-0000-000058100000}"/>
    <cellStyle name="—_RSA_operating stats comp_Prosperity REIT_2006Mar27" xfId="4629" xr:uid="{00000000-0005-0000-0000-000059100000}"/>
    <cellStyle name="—_RSA_operating stats comp_Shangri-La under review" xfId="4630" xr:uid="{00000000-0005-0000-0000-00005A100000}"/>
    <cellStyle name="—_RSA_Prop Dev" xfId="4631" xr:uid="{00000000-0005-0000-0000-00005B100000}"/>
    <cellStyle name="—_RSA_Prosperity REIT_2006Mar27" xfId="4632" xr:uid="{00000000-0005-0000-0000-00005C100000}"/>
    <cellStyle name="—_RSA_Shangri-La under review" xfId="4633" xr:uid="{00000000-0005-0000-0000-00005D100000}"/>
    <cellStyle name="—_RSA_ShunTakSS" xfId="4634" xr:uid="{00000000-0005-0000-0000-00005E100000}"/>
    <cellStyle name="—_RSA_Strategy_data_update" xfId="4635" xr:uid="{00000000-0005-0000-0000-00005F100000}"/>
    <cellStyle name="—_RSA_Strategy_data_update_AUO consolidated 2004_02" xfId="4636" xr:uid="{00000000-0005-0000-0000-000060100000}"/>
    <cellStyle name="—_RSA_Strategy_data_update_AUO forecast (GQ)2005_03" xfId="4637" xr:uid="{00000000-0005-0000-0000-000061100000}"/>
    <cellStyle name="—_RSA_Strategy_data_update_blank industrial template - new" xfId="4638" xr:uid="{00000000-0005-0000-0000-000062100000}"/>
    <cellStyle name="—_RSA_Strategy_data_update_BS" xfId="4639" xr:uid="{00000000-0005-0000-0000-000063100000}"/>
    <cellStyle name="—_RSA_Strategy_data_update_Eagle" xfId="4640" xr:uid="{00000000-0005-0000-0000-000064100000}"/>
    <cellStyle name="—_RSA_Strategy_data_update_HSH under review" xfId="4641" xr:uid="{00000000-0005-0000-0000-000065100000}"/>
    <cellStyle name="—_RSA_Strategy_data_update_Novatek forecast 280404" xfId="4642" xr:uid="{00000000-0005-0000-0000-000066100000}"/>
    <cellStyle name="—_RSA_Strategy_data_update_Prosperity REIT_2006Mar27" xfId="4643" xr:uid="{00000000-0005-0000-0000-000067100000}"/>
    <cellStyle name="—_RSA_Strategy_data_update_Shangri-La under review" xfId="4644" xr:uid="{00000000-0005-0000-0000-000068100000}"/>
    <cellStyle name="—_RSA_SWIRESS" xfId="4645" xr:uid="{00000000-0005-0000-0000-000069100000}"/>
    <cellStyle name="—_RSA_WHARFSS" xfId="4646" xr:uid="{00000000-0005-0000-0000-00006A100000}"/>
    <cellStyle name="—_RSA_WHARFSS_CKC_Hutch_group structure" xfId="4647" xr:uid="{00000000-0005-0000-0000-00006B100000}"/>
    <cellStyle name="—_RSA_WHARFSS_Hutchison Model" xfId="4648" xr:uid="{00000000-0005-0000-0000-00006C100000}"/>
    <cellStyle name="—_RSA_WHARFSS_Hutchison Model 090514" xfId="4649" xr:uid="{00000000-0005-0000-0000-00006D100000}"/>
    <cellStyle name="—_RSA_WHARFSS_hutchss" xfId="4650" xr:uid="{00000000-0005-0000-0000-00006E100000}"/>
    <cellStyle name="—_RSA_WHARFSS_NAV" xfId="4651" xr:uid="{00000000-0005-0000-0000-00006F100000}"/>
    <cellStyle name="—_RSA_WHARFSS_Prop Dev" xfId="4652" xr:uid="{00000000-0005-0000-0000-000070100000}"/>
    <cellStyle name="—_Shangri-La under review" xfId="4653" xr:uid="{00000000-0005-0000-0000-000071100000}"/>
    <cellStyle name="—_Sheet1" xfId="4654" xr:uid="{00000000-0005-0000-0000-000072100000}"/>
    <cellStyle name="_SHKP 052009" xfId="4655" xr:uid="{00000000-0005-0000-0000-000073100000}"/>
    <cellStyle name="_SHKP 062609" xfId="4656" xr:uid="{00000000-0005-0000-0000-000074100000}"/>
    <cellStyle name="—_ShunTakSS" xfId="4657" xr:uid="{00000000-0005-0000-0000-000075100000}"/>
    <cellStyle name="—_ST 1H03 results handout" xfId="4658" xr:uid="{00000000-0005-0000-0000-000076100000}"/>
    <cellStyle name="—_ST 1H03 results handout_AUO consolidated 2004_02" xfId="4659" xr:uid="{00000000-0005-0000-0000-000077100000}"/>
    <cellStyle name="—_ST 1H03 results handout_AUO forecast (GQ)2005_03" xfId="4660" xr:uid="{00000000-0005-0000-0000-000078100000}"/>
    <cellStyle name="—_ST 1H03 results handout_blank industrial template - new" xfId="4661" xr:uid="{00000000-0005-0000-0000-000079100000}"/>
    <cellStyle name="—_ST 1H03 results handout_BS" xfId="4662" xr:uid="{00000000-0005-0000-0000-00007A100000}"/>
    <cellStyle name="—_ST 1H03 results handout_Eagle" xfId="4663" xr:uid="{00000000-0005-0000-0000-00007B100000}"/>
    <cellStyle name="—_ST 1H03 results handout_HSH under review" xfId="4664" xr:uid="{00000000-0005-0000-0000-00007C100000}"/>
    <cellStyle name="—_ST 1H03 results handout_Novatek forecast 280404" xfId="4665" xr:uid="{00000000-0005-0000-0000-00007D100000}"/>
    <cellStyle name="—_ST 1H03 results handout_Prosperity REIT_2006Mar27" xfId="4666" xr:uid="{00000000-0005-0000-0000-00007E100000}"/>
    <cellStyle name="—_ST 1H03 results handout_Shangri-La under review" xfId="4667" xr:uid="{00000000-0005-0000-0000-00007F100000}"/>
    <cellStyle name="_Stella Fin FY07x" xfId="4668" xr:uid="{00000000-0005-0000-0000-000080100000}"/>
    <cellStyle name="_Stella Fin FY07x lujx" xfId="4669" xr:uid="{00000000-0005-0000-0000-000081100000}"/>
    <cellStyle name="_Stella Fin luj" xfId="4670" xr:uid="{00000000-0005-0000-0000-000082100000}"/>
    <cellStyle name="_Stella Fin_2012_forresults" xfId="4671" xr:uid="{00000000-0005-0000-0000-000083100000}"/>
    <cellStyle name="_Stella Fin_after1H" xfId="4672" xr:uid="{00000000-0005-0000-0000-000084100000}"/>
    <cellStyle name="_Stella Fin_after1Hxx" xfId="4673" xr:uid="{00000000-0005-0000-0000-000085100000}"/>
    <cellStyle name="_Stella Fin_FY08" xfId="4674" xr:uid="{00000000-0005-0000-0000-000086100000}"/>
    <cellStyle name="_Stella Fin_new" xfId="4675" xr:uid="{00000000-0005-0000-0000-000087100000}"/>
    <cellStyle name="_Stella Fin_new_notpublished" xfId="4676" xr:uid="{00000000-0005-0000-0000-000088100000}"/>
    <cellStyle name="_Stella Finx" xfId="4677" xr:uid="{00000000-0005-0000-0000-000089100000}"/>
    <cellStyle name="_Stella_073109" xfId="4678" xr:uid="{00000000-0005-0000-0000-00008A100000}"/>
    <cellStyle name="_Stella_080409 edit2" xfId="4679" xr:uid="{00000000-0005-0000-0000-00008B100000}"/>
    <cellStyle name="—_Strategy_data_update" xfId="4680" xr:uid="{00000000-0005-0000-0000-00008C100000}"/>
    <cellStyle name="—_Strategy_data_update_blank industrial template - new" xfId="4681" xr:uid="{00000000-0005-0000-0000-00008D100000}"/>
    <cellStyle name="—_Strategy_data_update_BS" xfId="4682" xr:uid="{00000000-0005-0000-0000-00008E100000}"/>
    <cellStyle name="—_Strategy_data_update_Eagle" xfId="4683" xr:uid="{00000000-0005-0000-0000-00008F100000}"/>
    <cellStyle name="—_Strategy_data_update_HSH under review" xfId="4684" xr:uid="{00000000-0005-0000-0000-000090100000}"/>
    <cellStyle name="—_Strategy_data_update_Prosperity REIT_2006Mar27" xfId="4685" xr:uid="{00000000-0005-0000-0000-000091100000}"/>
    <cellStyle name="—_Strategy_data_update_Shangri-La under review" xfId="4686" xr:uid="{00000000-0005-0000-0000-000092100000}"/>
    <cellStyle name="_SubHeading" xfId="512" xr:uid="{00000000-0005-0000-0000-000093100000}"/>
    <cellStyle name="_SubHeading_Ability to Pay Analysis" xfId="513" xr:uid="{00000000-0005-0000-0000-000094100000}"/>
    <cellStyle name="_SubHeading_BankUnited Model" xfId="514" xr:uid="{00000000-0005-0000-0000-000095100000}"/>
    <cellStyle name="_SubHeading_Book6" xfId="4687" xr:uid="{00000000-0005-0000-0000-000096100000}"/>
    <cellStyle name="_SubHeading_fmbi counties" xfId="515" xr:uid="{00000000-0005-0000-0000-000097100000}"/>
    <cellStyle name="_SubHeading_FMBI MBHI Graphs" xfId="516" xr:uid="{00000000-0005-0000-0000-000098100000}"/>
    <cellStyle name="_SubHeading_FMBI MBHI Graphs 07102001" xfId="517" xr:uid="{00000000-0005-0000-0000-000099100000}"/>
    <cellStyle name="_SubHeading_FMBI MBHI Graphs_7601" xfId="518" xr:uid="{00000000-0005-0000-0000-00009A100000}"/>
    <cellStyle name="_SubHeading_HLG stub" xfId="4688" xr:uid="{00000000-0005-0000-0000-00009B100000}"/>
    <cellStyle name="_SubHeading_Hysan" xfId="4689" xr:uid="{00000000-0005-0000-0000-00009C100000}"/>
    <cellStyle name="_SubHeading_Kerry being edited (Justin)" xfId="4690" xr:uid="{00000000-0005-0000-0000-00009D100000}"/>
    <cellStyle name="_SubHeading_Landlords" xfId="4691" xr:uid="{00000000-0005-0000-0000-00009E100000}"/>
    <cellStyle name="_SubHeading_MN070625" xfId="4692" xr:uid="{00000000-0005-0000-0000-00009F100000}"/>
    <cellStyle name="_SubHeading_MN070914" xfId="4693" xr:uid="{00000000-0005-0000-0000-0000A0100000}"/>
    <cellStyle name="_SubHeading_Office supply &amp; demand" xfId="4694" xr:uid="{00000000-0005-0000-0000-0000A1100000}"/>
    <cellStyle name="_SubHeading_prestemp" xfId="519" xr:uid="{00000000-0005-0000-0000-0000A2100000}"/>
    <cellStyle name="_SubHeading_prestemp_Book1" xfId="4695" xr:uid="{00000000-0005-0000-0000-0000A3100000}"/>
    <cellStyle name="_SubHeading_prestemp_Book2" xfId="4696" xr:uid="{00000000-0005-0000-0000-0000A4100000}"/>
    <cellStyle name="_SubHeading_prestemp_Descriptive data for report" xfId="4697" xr:uid="{00000000-0005-0000-0000-0000A5100000}"/>
    <cellStyle name="_SubHeading_prestemp_Eagle" xfId="4698" xr:uid="{00000000-0005-0000-0000-0000A6100000}"/>
    <cellStyle name="_SubHeading_prestemp_Insurance Brokerage CSC_1Q2002" xfId="520" xr:uid="{00000000-0005-0000-0000-0000A7100000}"/>
    <cellStyle name="_SubHeading_prestemp_Overview3" xfId="521" xr:uid="{00000000-0005-0000-0000-0000A8100000}"/>
    <cellStyle name="_SubHeading_prestemp_Regal REIT_afterlisting" xfId="4699" xr:uid="{00000000-0005-0000-0000-0000A9100000}"/>
    <cellStyle name="_SubHeading_prestemp_Room assumptions" xfId="4700" xr:uid="{00000000-0005-0000-0000-0000AA100000}"/>
    <cellStyle name="_SubHeading_prestemp_Shangri-La" xfId="4701" xr:uid="{00000000-0005-0000-0000-0000AB100000}"/>
    <cellStyle name="_SubHeading_prestemp_Updated Valuation Changes" xfId="522" xr:uid="{00000000-0005-0000-0000-0000AC100000}"/>
    <cellStyle name="_SubHeading_RPT-Developers-2008Sep" xfId="4702" xr:uid="{00000000-0005-0000-0000-0000AD100000}"/>
    <cellStyle name="_SubHeading_RPT-Hongkong Land 080430" xfId="4703" xr:uid="{00000000-0005-0000-0000-0000AE100000}"/>
    <cellStyle name="_SubHeading_RPT-Landlords-2008Sep" xfId="4704" xr:uid="{00000000-0005-0000-0000-0000AF100000}"/>
    <cellStyle name="_SubHeading_xratio - historical mkt val" xfId="523" xr:uid="{00000000-0005-0000-0000-0000B0100000}"/>
    <cellStyle name="—_SWIRESS" xfId="4705" xr:uid="{00000000-0005-0000-0000-0000B1100000}"/>
    <cellStyle name="_Synnex Model" xfId="4706" xr:uid="{00000000-0005-0000-0000-0000B2100000}"/>
    <cellStyle name="—_Synnex Model" xfId="4707" xr:uid="{00000000-0005-0000-0000-0000B3100000}"/>
    <cellStyle name="_Table" xfId="524" xr:uid="{00000000-0005-0000-0000-0000B4100000}"/>
    <cellStyle name="_Table_Ability to Pay Analysis" xfId="525" xr:uid="{00000000-0005-0000-0000-0000B5100000}"/>
    <cellStyle name="_Table_BankUnited Model" xfId="526" xr:uid="{00000000-0005-0000-0000-0000B6100000}"/>
    <cellStyle name="_Table_Book6" xfId="4708" xr:uid="{00000000-0005-0000-0000-0000B7100000}"/>
    <cellStyle name="_Table_fmbi counties" xfId="527" xr:uid="{00000000-0005-0000-0000-0000B8100000}"/>
    <cellStyle name="_Table_HLG stub" xfId="4709" xr:uid="{00000000-0005-0000-0000-0000B9100000}"/>
    <cellStyle name="_Table_Hysan" xfId="4710" xr:uid="{00000000-0005-0000-0000-0000BA100000}"/>
    <cellStyle name="_Table_Kerry being edited (Justin)" xfId="4711" xr:uid="{00000000-0005-0000-0000-0000BB100000}"/>
    <cellStyle name="_Table_Landlords" xfId="4712" xr:uid="{00000000-0005-0000-0000-0000BC100000}"/>
    <cellStyle name="_Table_MN070625" xfId="4713" xr:uid="{00000000-0005-0000-0000-0000BD100000}"/>
    <cellStyle name="_Table_MN070914" xfId="4714" xr:uid="{00000000-0005-0000-0000-0000BE100000}"/>
    <cellStyle name="_Table_Office supply &amp; demand" xfId="4715" xr:uid="{00000000-0005-0000-0000-0000BF100000}"/>
    <cellStyle name="_Table_RPT-Developers-2008Sep" xfId="4716" xr:uid="{00000000-0005-0000-0000-0000C0100000}"/>
    <cellStyle name="_Table_RPT-Hongkong Land 080430" xfId="4717" xr:uid="{00000000-0005-0000-0000-0000C1100000}"/>
    <cellStyle name="_Table_RPT-Landlords-2008Sep" xfId="4718" xr:uid="{00000000-0005-0000-0000-0000C2100000}"/>
    <cellStyle name="_Table_xratio - historical mkt val" xfId="528" xr:uid="{00000000-0005-0000-0000-0000C3100000}"/>
    <cellStyle name="_TableHead" xfId="529" xr:uid="{00000000-0005-0000-0000-0000C4100000}"/>
    <cellStyle name="_TableHead_Book6" xfId="4719" xr:uid="{00000000-0005-0000-0000-0000C5100000}"/>
    <cellStyle name="_TableHead_Hkland under review" xfId="4720" xr:uid="{00000000-0005-0000-0000-0000C6100000}"/>
    <cellStyle name="_TableHead_HLG stub" xfId="4721" xr:uid="{00000000-0005-0000-0000-0000C7100000}"/>
    <cellStyle name="_TableHead_Hysan" xfId="4722" xr:uid="{00000000-0005-0000-0000-0000C8100000}"/>
    <cellStyle name="_TableHead_Kerry being edited (Justin)" xfId="4723" xr:uid="{00000000-0005-0000-0000-0000C9100000}"/>
    <cellStyle name="_TableHead_Landlords" xfId="4724" xr:uid="{00000000-0005-0000-0000-0000CA100000}"/>
    <cellStyle name="_TableHead_MN070625" xfId="4725" xr:uid="{00000000-0005-0000-0000-0000CB100000}"/>
    <cellStyle name="_TableHead_MN070914" xfId="4726" xr:uid="{00000000-0005-0000-0000-0000CC100000}"/>
    <cellStyle name="_TableHead_Office supply &amp; demand" xfId="4727" xr:uid="{00000000-0005-0000-0000-0000CD100000}"/>
    <cellStyle name="_TableHead_RPT-Developers-2008Sep" xfId="4728" xr:uid="{00000000-0005-0000-0000-0000CE100000}"/>
    <cellStyle name="_TableHead_RPT-Landlords-2008Sep" xfId="4729" xr:uid="{00000000-0005-0000-0000-0000CF100000}"/>
    <cellStyle name="_TableRowHead" xfId="530" xr:uid="{00000000-0005-0000-0000-0000D0100000}"/>
    <cellStyle name="_TableRowHead_Book6" xfId="4730" xr:uid="{00000000-0005-0000-0000-0000D1100000}"/>
    <cellStyle name="_TableRowHead_HLG stub" xfId="4731" xr:uid="{00000000-0005-0000-0000-0000D2100000}"/>
    <cellStyle name="_TableRowHead_Hysan" xfId="4732" xr:uid="{00000000-0005-0000-0000-0000D3100000}"/>
    <cellStyle name="_TableRowHead_Kerry being edited (Justin)" xfId="4733" xr:uid="{00000000-0005-0000-0000-0000D4100000}"/>
    <cellStyle name="_TableRowHead_Landlords" xfId="4734" xr:uid="{00000000-0005-0000-0000-0000D5100000}"/>
    <cellStyle name="_TableRowHead_MN070625" xfId="4735" xr:uid="{00000000-0005-0000-0000-0000D6100000}"/>
    <cellStyle name="_TableRowHead_MN070914" xfId="4736" xr:uid="{00000000-0005-0000-0000-0000D7100000}"/>
    <cellStyle name="_TableRowHead_Office supply &amp; demand" xfId="4737" xr:uid="{00000000-0005-0000-0000-0000D8100000}"/>
    <cellStyle name="_TableRowHead_RPT-Developers-2008Sep" xfId="4738" xr:uid="{00000000-0005-0000-0000-0000D9100000}"/>
    <cellStyle name="_TableRowHead_RPT-Hongkong Land 080430" xfId="4739" xr:uid="{00000000-0005-0000-0000-0000DA100000}"/>
    <cellStyle name="_TableRowHead_RPT-Landlords-2008Sep" xfId="4740" xr:uid="{00000000-0005-0000-0000-0000DB100000}"/>
    <cellStyle name="—_tables_99-3" xfId="4741" xr:uid="{00000000-0005-0000-0000-0000DC100000}"/>
    <cellStyle name="—_tables_99-3_CKC_Hutch_group structure" xfId="4742" xr:uid="{00000000-0005-0000-0000-0000DD100000}"/>
    <cellStyle name="—_tables_99-3_Feb01report" xfId="4743" xr:uid="{00000000-0005-0000-0000-0000DE100000}"/>
    <cellStyle name="—_tables_99-3_Hutchison Model 090514" xfId="4744" xr:uid="{00000000-0005-0000-0000-0000DF100000}"/>
    <cellStyle name="_TableSuperHead" xfId="531" xr:uid="{00000000-0005-0000-0000-0000E0100000}"/>
    <cellStyle name="_TableSuperHead_Ability to Pay Analysis" xfId="532" xr:uid="{00000000-0005-0000-0000-0000E1100000}"/>
    <cellStyle name="_TableSuperHead_BankUnited Model" xfId="533" xr:uid="{00000000-0005-0000-0000-0000E2100000}"/>
    <cellStyle name="_TableSuperHead_Book6" xfId="4745" xr:uid="{00000000-0005-0000-0000-0000E3100000}"/>
    <cellStyle name="_TableSuperHead_fmbi counties" xfId="534" xr:uid="{00000000-0005-0000-0000-0000E4100000}"/>
    <cellStyle name="_TableSuperHead_Hkland under review" xfId="4746" xr:uid="{00000000-0005-0000-0000-0000E5100000}"/>
    <cellStyle name="_TableSuperHead_HLG stub" xfId="4747" xr:uid="{00000000-0005-0000-0000-0000E6100000}"/>
    <cellStyle name="_TableSuperHead_Hysan" xfId="4748" xr:uid="{00000000-0005-0000-0000-0000E7100000}"/>
    <cellStyle name="_TableSuperHead_Kerry being edited (Justin)" xfId="4749" xr:uid="{00000000-0005-0000-0000-0000E8100000}"/>
    <cellStyle name="_TableSuperHead_Landlords" xfId="4750" xr:uid="{00000000-0005-0000-0000-0000E9100000}"/>
    <cellStyle name="_TableSuperHead_MN070625" xfId="4751" xr:uid="{00000000-0005-0000-0000-0000EA100000}"/>
    <cellStyle name="_TableSuperHead_MN070914" xfId="4752" xr:uid="{00000000-0005-0000-0000-0000EB100000}"/>
    <cellStyle name="_TableSuperHead_Office supply &amp; demand" xfId="4753" xr:uid="{00000000-0005-0000-0000-0000EC100000}"/>
    <cellStyle name="_TableSuperHead_RPT-Developers-2008Sep" xfId="4754" xr:uid="{00000000-0005-0000-0000-0000ED100000}"/>
    <cellStyle name="_TableSuperHead_RPT-Landlords-2008Sep" xfId="4755" xr:uid="{00000000-0005-0000-0000-0000EE100000}"/>
    <cellStyle name="_TableSuperHead_xratio - historical mkt val" xfId="535" xr:uid="{00000000-0005-0000-0000-0000EF100000}"/>
    <cellStyle name="_techfinal 10 Sep 09" xfId="4756" xr:uid="{00000000-0005-0000-0000-0000F0100000}"/>
    <cellStyle name="_Tingyi" xfId="4757" xr:uid="{00000000-0005-0000-0000-0000F1100000}"/>
    <cellStyle name="_WC" xfId="4758" xr:uid="{00000000-0005-0000-0000-0000F2100000}"/>
    <cellStyle name="_Western by country" xfId="4759" xr:uid="{00000000-0005-0000-0000-0000F3100000}"/>
    <cellStyle name="—_WHARFSS" xfId="4760" xr:uid="{00000000-0005-0000-0000-0000F4100000}"/>
    <cellStyle name="—_WHARFSS_CKC_Hutch_group structure" xfId="4761" xr:uid="{00000000-0005-0000-0000-0000F5100000}"/>
    <cellStyle name="—_WHARFSS_Hutchison Model" xfId="4762" xr:uid="{00000000-0005-0000-0000-0000F6100000}"/>
    <cellStyle name="—_WHARFSS_Hutchison Model 090514" xfId="4763" xr:uid="{00000000-0005-0000-0000-0000F7100000}"/>
    <cellStyle name="—_WHARFSS_hutchss" xfId="4764" xr:uid="{00000000-0005-0000-0000-0000F8100000}"/>
    <cellStyle name="—_WHARFSS_NAV" xfId="4765" xr:uid="{00000000-0005-0000-0000-0000F9100000}"/>
    <cellStyle name="—_WHARFSS_Prop Dev" xfId="4766" xr:uid="{00000000-0005-0000-0000-0000FA100000}"/>
    <cellStyle name="—_Yifan template 2" xfId="4767" xr:uid="{00000000-0005-0000-0000-0000FB100000}"/>
    <cellStyle name="—_Yifan template 2_200869 sz - historical" xfId="4768" xr:uid="{00000000-0005-0000-0000-0000FC100000}"/>
    <cellStyle name="—_Yifan template 2_600519.SS" xfId="4769" xr:uid="{00000000-0005-0000-0000-0000FD100000}"/>
    <cellStyle name="—_Yifan template 2_Changyu (200869.SZ)_060330" xfId="4770" xr:uid="{00000000-0005-0000-0000-0000FE100000}"/>
    <cellStyle name="—_Yifan template 2_China Foods (506.HK)" xfId="4771" xr:uid="{00000000-0005-0000-0000-0000FF100000}"/>
    <cellStyle name="—_Yifan template 2_COFCO (506.HK)" xfId="4772" xr:uid="{00000000-0005-0000-0000-000000110000}"/>
    <cellStyle name="—_Yifan template 2_COFCO (506.HK)_after spinoff" xfId="4773" xr:uid="{00000000-0005-0000-0000-000001110000}"/>
    <cellStyle name="—_Yifan template 2_COFCO NAV - scenario 060117" xfId="4774" xr:uid="{00000000-0005-0000-0000-000002110000}"/>
    <cellStyle name="—_Yifan template 2_COFCO_051010" xfId="4775" xr:uid="{00000000-0005-0000-0000-000003110000}"/>
    <cellStyle name="—_Yifan template 2_COFCO_backup" xfId="4776" xr:uid="{00000000-0005-0000-0000-000004110000}"/>
    <cellStyle name="_Yurun (1068.HK)_060329" xfId="4777" xr:uid="{00000000-0005-0000-0000-000005110000}"/>
    <cellStyle name="—_Zhenhai-MSTR" xfId="4778" xr:uid="{00000000-0005-0000-0000-000006110000}"/>
    <cellStyle name="’Ê‰Ý [0.00]_laroux" xfId="4779" xr:uid="{00000000-0005-0000-0000-000007110000}"/>
    <cellStyle name="’Ê‰Ý_laroux" xfId="4780" xr:uid="{00000000-0005-0000-0000-000008110000}"/>
    <cellStyle name="§Q\?1@" xfId="9" xr:uid="{00000000-0005-0000-0000-000009110000}"/>
    <cellStyle name="•W€_iij_base_bs" xfId="4781" xr:uid="{00000000-0005-0000-0000-00000A110000}"/>
    <cellStyle name="•W_laroux" xfId="4782" xr:uid="{00000000-0005-0000-0000-00000B110000}"/>
    <cellStyle name="0" xfId="4783" xr:uid="{00000000-0005-0000-0000-00000C110000}"/>
    <cellStyle name="0 2" xfId="4784" xr:uid="{00000000-0005-0000-0000-00000D110000}"/>
    <cellStyle name="0%" xfId="4785" xr:uid="{00000000-0005-0000-0000-00000E110000}"/>
    <cellStyle name="0.0" xfId="4786" xr:uid="{00000000-0005-0000-0000-00000F110000}"/>
    <cellStyle name="0.0 2" xfId="4787" xr:uid="{00000000-0005-0000-0000-000010110000}"/>
    <cellStyle name="0.0%" xfId="4788" xr:uid="{00000000-0005-0000-0000-000011110000}"/>
    <cellStyle name="0.00" xfId="4789" xr:uid="{00000000-0005-0000-0000-000012110000}"/>
    <cellStyle name="0.00 2" xfId="4790" xr:uid="{00000000-0005-0000-0000-000013110000}"/>
    <cellStyle name="0.00%" xfId="4791" xr:uid="{00000000-0005-0000-0000-000014110000}"/>
    <cellStyle name="1 Decimal" xfId="4792" xr:uid="{00000000-0005-0000-0000-000015110000}"/>
    <cellStyle name="1,000" xfId="4793" xr:uid="{00000000-0005-0000-0000-000016110000}"/>
    <cellStyle name="1,000x" xfId="4794" xr:uid="{00000000-0005-0000-0000-000017110000}"/>
    <cellStyle name="1,comma" xfId="4795" xr:uid="{00000000-0005-0000-0000-000018110000}"/>
    <cellStyle name="100" xfId="4796" xr:uid="{00000000-0005-0000-0000-000019110000}"/>
    <cellStyle name="2 decimal" xfId="4797" xr:uid="{00000000-0005-0000-0000-00001A110000}"/>
    <cellStyle name="2 Decimals" xfId="4798" xr:uid="{00000000-0005-0000-0000-00001B110000}"/>
    <cellStyle name="3 Decimals" xfId="4799" xr:uid="{00000000-0005-0000-0000-00001C110000}"/>
    <cellStyle name="3f1o [0]" xfId="4800" xr:uid="{00000000-0005-0000-0000-00001D110000}"/>
    <cellStyle name="³f¹ô_capacity" xfId="4801" xr:uid="{00000000-0005-0000-0000-00001E110000}"/>
    <cellStyle name="752131" xfId="4802" xr:uid="{00000000-0005-0000-0000-00001F110000}"/>
    <cellStyle name="Account[0]" xfId="4803" xr:uid="{00000000-0005-0000-0000-000020110000}"/>
    <cellStyle name="Account[1]" xfId="4804" xr:uid="{00000000-0005-0000-0000-000021110000}"/>
    <cellStyle name="Account[2]" xfId="4805" xr:uid="{00000000-0005-0000-0000-000022110000}"/>
    <cellStyle name="Account[3]" xfId="4806" xr:uid="{00000000-0005-0000-0000-000023110000}"/>
    <cellStyle name="Acctg" xfId="4807" xr:uid="{00000000-0005-0000-0000-000024110000}"/>
    <cellStyle name="Actual data" xfId="536" xr:uid="{00000000-0005-0000-0000-000025110000}"/>
    <cellStyle name="Actual year" xfId="537" xr:uid="{00000000-0005-0000-0000-000026110000}"/>
    <cellStyle name="Actuals Cells" xfId="538" xr:uid="{00000000-0005-0000-0000-000027110000}"/>
    <cellStyle name="ADR" xfId="4808" xr:uid="{00000000-0005-0000-0000-000028110000}"/>
    <cellStyle name="ÅëÈ­ [0]_µ¥ÀÌÅ¸" xfId="4809" xr:uid="{00000000-0005-0000-0000-000029110000}"/>
    <cellStyle name="ÅëÈ­_µ¥ÀÌÅ¸" xfId="4810" xr:uid="{00000000-0005-0000-0000-00002A110000}"/>
    <cellStyle name="AFE" xfId="539" xr:uid="{00000000-0005-0000-0000-00002B110000}"/>
    <cellStyle name="afl" xfId="540" xr:uid="{00000000-0005-0000-0000-00002C110000}"/>
    <cellStyle name="Aggregate" xfId="4811" xr:uid="{00000000-0005-0000-0000-00002D110000}"/>
    <cellStyle name="Analyst Name" xfId="4812" xr:uid="{00000000-0005-0000-0000-00002E110000}"/>
    <cellStyle name="Andre's Title" xfId="541" xr:uid="{00000000-0005-0000-0000-00002F110000}"/>
    <cellStyle name="args.style" xfId="4813" xr:uid="{00000000-0005-0000-0000-000030110000}"/>
    <cellStyle name="arial" xfId="4814" xr:uid="{00000000-0005-0000-0000-000031110000}"/>
    <cellStyle name="ArialNormal" xfId="4815" xr:uid="{00000000-0005-0000-0000-000032110000}"/>
    <cellStyle name="ÄÞ¸¶ [0]_µ¥ÀÌÅ¸" xfId="4816" xr:uid="{00000000-0005-0000-0000-000033110000}"/>
    <cellStyle name="ÄÞ¸¶_µ¥ÀÌÅ¸" xfId="4817" xr:uid="{00000000-0005-0000-0000-000034110000}"/>
    <cellStyle name="Availability" xfId="4818" xr:uid="{00000000-0005-0000-0000-000035110000}"/>
    <cellStyle name="B" xfId="4819" xr:uid="{00000000-0005-0000-0000-000036110000}"/>
    <cellStyle name="BALANCE VER" xfId="4820" xr:uid="{00000000-0005-0000-0000-000037110000}"/>
    <cellStyle name="Band 1" xfId="4821" xr:uid="{00000000-0005-0000-0000-000038110000}"/>
    <cellStyle name="Band 2" xfId="4822" xr:uid="{00000000-0005-0000-0000-000039110000}"/>
    <cellStyle name="BB_Date_mmm" xfId="4823" xr:uid="{00000000-0005-0000-0000-00003A110000}"/>
    <cellStyle name="Black Decimal" xfId="4824" xr:uid="{00000000-0005-0000-0000-00003B110000}"/>
    <cellStyle name="Black Number" xfId="4825" xr:uid="{00000000-0005-0000-0000-00003C110000}"/>
    <cellStyle name="black percentage" xfId="4826" xr:uid="{00000000-0005-0000-0000-00003D110000}"/>
    <cellStyle name="Blank" xfId="542" xr:uid="{00000000-0005-0000-0000-00003E110000}"/>
    <cellStyle name="Blue" xfId="543" xr:uid="{00000000-0005-0000-0000-00003F110000}"/>
    <cellStyle name="Blue heading" xfId="4827" xr:uid="{00000000-0005-0000-0000-000040110000}"/>
    <cellStyle name="Blue Title" xfId="544" xr:uid="{00000000-0005-0000-0000-000041110000}"/>
    <cellStyle name="Blue_BS" xfId="4828" xr:uid="{00000000-0005-0000-0000-000042110000}"/>
    <cellStyle name="BNPPPFinancials" xfId="4829" xr:uid="{00000000-0005-0000-0000-000043110000}"/>
    <cellStyle name="BNPPPPerShare" xfId="4830" xr:uid="{00000000-0005-0000-0000-000044110000}"/>
    <cellStyle name="BNPPPRatios" xfId="4831" xr:uid="{00000000-0005-0000-0000-000045110000}"/>
    <cellStyle name="Body" xfId="4832" xr:uid="{00000000-0005-0000-0000-000046110000}"/>
    <cellStyle name="Bold Bottom" xfId="4833" xr:uid="{00000000-0005-0000-0000-000047110000}"/>
    <cellStyle name="Bold Text" xfId="4834" xr:uid="{00000000-0005-0000-0000-000048110000}"/>
    <cellStyle name="Bold Text + Line" xfId="4835" xr:uid="{00000000-0005-0000-0000-000049110000}"/>
    <cellStyle name="Bold Text_centrica model mar 2000" xfId="4836" xr:uid="{00000000-0005-0000-0000-00004A110000}"/>
    <cellStyle name="bps" xfId="4837" xr:uid="{00000000-0005-0000-0000-00004B110000}"/>
    <cellStyle name="c" xfId="4838" xr:uid="{00000000-0005-0000-0000-00004C110000}"/>
    <cellStyle name="Ç¥ÁØ_±¹¹®¿¬°á" xfId="4839" xr:uid="{00000000-0005-0000-0000-00004D110000}"/>
    <cellStyle name="Calc Cells" xfId="545" xr:uid="{00000000-0005-0000-0000-00004E110000}"/>
    <cellStyle name="Calc Currency (0)" xfId="4840" xr:uid="{00000000-0005-0000-0000-00004F110000}"/>
    <cellStyle name="Calc Currency (2)" xfId="4841" xr:uid="{00000000-0005-0000-0000-000050110000}"/>
    <cellStyle name="Calc Percent (0)" xfId="4842" xr:uid="{00000000-0005-0000-0000-000051110000}"/>
    <cellStyle name="Calc Percent (1)" xfId="4843" xr:uid="{00000000-0005-0000-0000-000052110000}"/>
    <cellStyle name="Calc Percent (2)" xfId="4844" xr:uid="{00000000-0005-0000-0000-000053110000}"/>
    <cellStyle name="Calc Units (0)" xfId="4845" xr:uid="{00000000-0005-0000-0000-000054110000}"/>
    <cellStyle name="Calc Units (1)" xfId="4846" xr:uid="{00000000-0005-0000-0000-000055110000}"/>
    <cellStyle name="Calc Units (2)" xfId="4847" xr:uid="{00000000-0005-0000-0000-000056110000}"/>
    <cellStyle name="Calc_0dp" xfId="4848" xr:uid="{00000000-0005-0000-0000-000057110000}"/>
    <cellStyle name="Case" xfId="546" xr:uid="{00000000-0005-0000-0000-000058110000}"/>
    <cellStyle name="CATV Total" xfId="4849" xr:uid="{00000000-0005-0000-0000-000059110000}"/>
    <cellStyle name="Cents" xfId="4850" xr:uid="{00000000-0005-0000-0000-00005A110000}"/>
    <cellStyle name="Changeable" xfId="4851" xr:uid="{00000000-0005-0000-0000-00005B110000}"/>
    <cellStyle name="Chart Box" xfId="4852" xr:uid="{00000000-0005-0000-0000-00005C110000}"/>
    <cellStyle name="Chinese" xfId="4853" xr:uid="{00000000-0005-0000-0000-00005D110000}"/>
    <cellStyle name="Co. Names" xfId="547" xr:uid="{00000000-0005-0000-0000-00005E110000}"/>
    <cellStyle name="Co. Names - Bold" xfId="548" xr:uid="{00000000-0005-0000-0000-00005F110000}"/>
    <cellStyle name="Co. Names_Blend" xfId="549" xr:uid="{00000000-0005-0000-0000-000060110000}"/>
    <cellStyle name="Codes" xfId="4854" xr:uid="{00000000-0005-0000-0000-000061110000}"/>
    <cellStyle name="Col Head" xfId="550" xr:uid="{00000000-0005-0000-0000-000062110000}"/>
    <cellStyle name="ColHeading" xfId="4855" xr:uid="{00000000-0005-0000-0000-000063110000}"/>
    <cellStyle name="ColHeading 2" xfId="4856" xr:uid="{00000000-0005-0000-0000-000064110000}"/>
    <cellStyle name="ColumnHeadings" xfId="4857" xr:uid="{00000000-0005-0000-0000-000065110000}"/>
    <cellStyle name="ColumnHeadings2" xfId="4858" xr:uid="{00000000-0005-0000-0000-000066110000}"/>
    <cellStyle name="Comma" xfId="632" builtinId="3"/>
    <cellStyle name="Comma  - Style1" xfId="4859" xr:uid="{00000000-0005-0000-0000-000068110000}"/>
    <cellStyle name="Comma [00]" xfId="4860" xr:uid="{00000000-0005-0000-0000-000069110000}"/>
    <cellStyle name="Comma [1]" xfId="4861" xr:uid="{00000000-0005-0000-0000-00006A110000}"/>
    <cellStyle name="Comma 0" xfId="4862" xr:uid="{00000000-0005-0000-0000-00006B110000}"/>
    <cellStyle name="Comma 0*" xfId="4863" xr:uid="{00000000-0005-0000-0000-00006C110000}"/>
    <cellStyle name="Comma 0_ACCC" xfId="4864" xr:uid="{00000000-0005-0000-0000-00006D110000}"/>
    <cellStyle name="Comma 2" xfId="313" xr:uid="{00000000-0005-0000-0000-00006E110000}"/>
    <cellStyle name="Comma 2 2" xfId="626" xr:uid="{00000000-0005-0000-0000-00006F110000}"/>
    <cellStyle name="Comma 2 2 2" xfId="4865" xr:uid="{00000000-0005-0000-0000-000070110000}"/>
    <cellStyle name="Comma 2 3" xfId="4866" xr:uid="{00000000-0005-0000-0000-000071110000}"/>
    <cellStyle name="Comma 3" xfId="631" xr:uid="{00000000-0005-0000-0000-000072110000}"/>
    <cellStyle name="Comma 3 2" xfId="644" xr:uid="{00000000-0005-0000-0000-000073110000}"/>
    <cellStyle name="Comma 3 3" xfId="642" xr:uid="{00000000-0005-0000-0000-000074110000}"/>
    <cellStyle name="Comma 4" xfId="640" xr:uid="{00000000-0005-0000-0000-000075110000}"/>
    <cellStyle name="Comma 5" xfId="4867" xr:uid="{00000000-0005-0000-0000-000076110000}"/>
    <cellStyle name="Comma 6" xfId="4868" xr:uid="{00000000-0005-0000-0000-000077110000}"/>
    <cellStyle name="Comma 7" xfId="4869" xr:uid="{00000000-0005-0000-0000-000078110000}"/>
    <cellStyle name="Comma 8" xfId="4870" xr:uid="{00000000-0005-0000-0000-000079110000}"/>
    <cellStyle name="comma zerodec" xfId="4871" xr:uid="{00000000-0005-0000-0000-00007A110000}"/>
    <cellStyle name="Comma(1)" xfId="4872" xr:uid="{00000000-0005-0000-0000-00007B110000}"/>
    <cellStyle name="Comma(2)" xfId="4873" xr:uid="{00000000-0005-0000-0000-00007C110000}"/>
    <cellStyle name="comma(3)" xfId="4874" xr:uid="{00000000-0005-0000-0000-00007D110000}"/>
    <cellStyle name="Comma, 1 dec" xfId="4875" xr:uid="{00000000-0005-0000-0000-00007E110000}"/>
    <cellStyle name="Comma, 1dec" xfId="4876" xr:uid="{00000000-0005-0000-0000-00007F110000}"/>
    <cellStyle name="Comma.1" xfId="4877" xr:uid="{00000000-0005-0000-0000-000080110000}"/>
    <cellStyle name="Comma.2" xfId="4878" xr:uid="{00000000-0005-0000-0000-000081110000}"/>
    <cellStyle name="Comma0" xfId="551" xr:uid="{00000000-0005-0000-0000-000082110000}"/>
    <cellStyle name="Company" xfId="4879" xr:uid="{00000000-0005-0000-0000-000083110000}"/>
    <cellStyle name="Company 2" xfId="4880" xr:uid="{00000000-0005-0000-0000-000084110000}"/>
    <cellStyle name="Company name" xfId="552" xr:uid="{00000000-0005-0000-0000-000085110000}"/>
    <cellStyle name="CompanyName" xfId="4881" xr:uid="{00000000-0005-0000-0000-000086110000}"/>
    <cellStyle name="CompanyTitle" xfId="553" xr:uid="{00000000-0005-0000-0000-000087110000}"/>
    <cellStyle name="Confirmed" xfId="4882" xr:uid="{00000000-0005-0000-0000-000088110000}"/>
    <cellStyle name="cost" xfId="4883" xr:uid="{00000000-0005-0000-0000-000089110000}"/>
    <cellStyle name="Cover Date" xfId="4884" xr:uid="{00000000-0005-0000-0000-00008A110000}"/>
    <cellStyle name="Cover Subtitle" xfId="4885" xr:uid="{00000000-0005-0000-0000-00008B110000}"/>
    <cellStyle name="Cover Title" xfId="4886" xr:uid="{00000000-0005-0000-0000-00008C110000}"/>
    <cellStyle name="CurRatio" xfId="4887" xr:uid="{00000000-0005-0000-0000-00008D110000}"/>
    <cellStyle name="CurRatio 2" xfId="4888" xr:uid="{00000000-0005-0000-0000-00008E110000}"/>
    <cellStyle name="Curren - Style2" xfId="4889" xr:uid="{00000000-0005-0000-0000-00008F110000}"/>
    <cellStyle name="Currency [00]" xfId="4890" xr:uid="{00000000-0005-0000-0000-000090110000}"/>
    <cellStyle name="Currency [2]" xfId="554" xr:uid="{00000000-0005-0000-0000-000091110000}"/>
    <cellStyle name="Currency 0" xfId="4891" xr:uid="{00000000-0005-0000-0000-000092110000}"/>
    <cellStyle name="Currency 2" xfId="4892" xr:uid="{00000000-0005-0000-0000-000093110000}"/>
    <cellStyle name="Currency(1)" xfId="4893" xr:uid="{00000000-0005-0000-0000-000094110000}"/>
    <cellStyle name="Currency0" xfId="555" xr:uid="{00000000-0005-0000-0000-000095110000}"/>
    <cellStyle name="Currency1" xfId="4894" xr:uid="{00000000-0005-0000-0000-000096110000}"/>
    <cellStyle name="Currency2" xfId="4895" xr:uid="{00000000-0005-0000-0000-000097110000}"/>
    <cellStyle name="CUS.Work.Area" xfId="4896" xr:uid="{00000000-0005-0000-0000-000098110000}"/>
    <cellStyle name="custom" xfId="4897" xr:uid="{00000000-0005-0000-0000-000099110000}"/>
    <cellStyle name="dark shade" xfId="4898" xr:uid="{00000000-0005-0000-0000-00009A110000}"/>
    <cellStyle name="DarkBlue" xfId="4899" xr:uid="{00000000-0005-0000-0000-00009B110000}"/>
    <cellStyle name="Data_0dp" xfId="4900" xr:uid="{00000000-0005-0000-0000-00009C110000}"/>
    <cellStyle name="DataSheet Style" xfId="4901" xr:uid="{00000000-0005-0000-0000-00009D110000}"/>
    <cellStyle name="date" xfId="556" xr:uid="{00000000-0005-0000-0000-00009E110000}"/>
    <cellStyle name="Date [mmm-yy]" xfId="4902" xr:uid="{00000000-0005-0000-0000-00009F110000}"/>
    <cellStyle name="Date 2" xfId="4903" xr:uid="{00000000-0005-0000-0000-0000A0110000}"/>
    <cellStyle name="Date 3" xfId="4904" xr:uid="{00000000-0005-0000-0000-0000A1110000}"/>
    <cellStyle name="Date 4" xfId="4905" xr:uid="{00000000-0005-0000-0000-0000A2110000}"/>
    <cellStyle name="Date 5" xfId="4906" xr:uid="{00000000-0005-0000-0000-0000A3110000}"/>
    <cellStyle name="Date Aligned" xfId="4907" xr:uid="{00000000-0005-0000-0000-0000A4110000}"/>
    <cellStyle name="Date Short" xfId="4908" xr:uid="{00000000-0005-0000-0000-0000A5110000}"/>
    <cellStyle name="Date_Book6" xfId="4909" xr:uid="{00000000-0005-0000-0000-0000A6110000}"/>
    <cellStyle name="Date2" xfId="4910" xr:uid="{00000000-0005-0000-0000-0000A7110000}"/>
    <cellStyle name="Dec" xfId="4911" xr:uid="{00000000-0005-0000-0000-0000A8110000}"/>
    <cellStyle name="Decimal" xfId="4912" xr:uid="{00000000-0005-0000-0000-0000A9110000}"/>
    <cellStyle name="default" xfId="557" xr:uid="{00000000-0005-0000-0000-0000AA110000}"/>
    <cellStyle name="DELTA" xfId="4913" xr:uid="{00000000-0005-0000-0000-0000AB110000}"/>
    <cellStyle name="Derive" xfId="4914" xr:uid="{00000000-0005-0000-0000-0000AC110000}"/>
    <cellStyle name="d-mmm-yy" xfId="4915" xr:uid="{00000000-0005-0000-0000-0000AD110000}"/>
    <cellStyle name="Dollar" xfId="558" xr:uid="{00000000-0005-0000-0000-0000AE110000}"/>
    <cellStyle name="Dollar (zero dec)" xfId="4916" xr:uid="{00000000-0005-0000-0000-0000AF110000}"/>
    <cellStyle name="Dollar_(GS) China Pharmaceutical Group model" xfId="4917" xr:uid="{00000000-0005-0000-0000-0000B0110000}"/>
    <cellStyle name="Dollars" xfId="4918" xr:uid="{00000000-0005-0000-0000-0000B1110000}"/>
    <cellStyle name="Dotted Line" xfId="4919" xr:uid="{00000000-0005-0000-0000-0000B2110000}"/>
    <cellStyle name="ec" xfId="4920" xr:uid="{00000000-0005-0000-0000-0000B3110000}"/>
    <cellStyle name="emp" xfId="559" xr:uid="{00000000-0005-0000-0000-0000B4110000}"/>
    <cellStyle name="Enter Currency (0)" xfId="4921" xr:uid="{00000000-0005-0000-0000-0000B5110000}"/>
    <cellStyle name="Enter Currency (2)" xfId="4922" xr:uid="{00000000-0005-0000-0000-0000B6110000}"/>
    <cellStyle name="Enter Units (0)" xfId="4923" xr:uid="{00000000-0005-0000-0000-0000B7110000}"/>
    <cellStyle name="Enter Units (1)" xfId="4924" xr:uid="{00000000-0005-0000-0000-0000B8110000}"/>
    <cellStyle name="Enter Units (2)" xfId="4925" xr:uid="{00000000-0005-0000-0000-0000B9110000}"/>
    <cellStyle name="EnterpriseTable[1]" xfId="4926" xr:uid="{00000000-0005-0000-0000-0000BA110000}"/>
    <cellStyle name="ERROR" xfId="4927" xr:uid="{00000000-0005-0000-0000-0000BB110000}"/>
    <cellStyle name="External File Cells" xfId="560" xr:uid="{00000000-0005-0000-0000-0000BC110000}"/>
    <cellStyle name="Fail" xfId="4928" xr:uid="{00000000-0005-0000-0000-0000BD110000}"/>
    <cellStyle name="FieldName" xfId="4929" xr:uid="{00000000-0005-0000-0000-0000BE110000}"/>
    <cellStyle name="Figures[0]" xfId="4930" xr:uid="{00000000-0005-0000-0000-0000BF110000}"/>
    <cellStyle name="Financials" xfId="4931" xr:uid="{00000000-0005-0000-0000-0000C0110000}"/>
    <cellStyle name="FiscalPeriod" xfId="4932" xr:uid="{00000000-0005-0000-0000-0000C1110000}"/>
    <cellStyle name="Fit" xfId="561" xr:uid="{00000000-0005-0000-0000-0000C2110000}"/>
    <cellStyle name="Fixed" xfId="562" xr:uid="{00000000-0005-0000-0000-0000C3110000}"/>
    <cellStyle name="Footer SBILogo1" xfId="4933" xr:uid="{00000000-0005-0000-0000-0000C4110000}"/>
    <cellStyle name="Footer SBILogo2" xfId="4934" xr:uid="{00000000-0005-0000-0000-0000C5110000}"/>
    <cellStyle name="Footnote" xfId="4935" xr:uid="{00000000-0005-0000-0000-0000C6110000}"/>
    <cellStyle name="Footnote Reference" xfId="4936" xr:uid="{00000000-0005-0000-0000-0000C7110000}"/>
    <cellStyle name="Footnote_ACCC" xfId="4937" xr:uid="{00000000-0005-0000-0000-0000C8110000}"/>
    <cellStyle name="Footnotes" xfId="563" xr:uid="{00000000-0005-0000-0000-0000C9110000}"/>
    <cellStyle name="Forecast Cells" xfId="564" xr:uid="{00000000-0005-0000-0000-0000CA110000}"/>
    <cellStyle name="G1_1999 figures" xfId="565" xr:uid="{00000000-0005-0000-0000-0000CB110000}"/>
    <cellStyle name="General" xfId="4938" xr:uid="{00000000-0005-0000-0000-0000CC110000}"/>
    <cellStyle name="GIRExhibit-Standard" xfId="4939" xr:uid="{00000000-0005-0000-0000-0000CD110000}"/>
    <cellStyle name="Grey" xfId="4940" xr:uid="{00000000-0005-0000-0000-0000CE110000}"/>
    <cellStyle name="H_1998_col_head" xfId="566" xr:uid="{00000000-0005-0000-0000-0000CF110000}"/>
    <cellStyle name="H_1998_col_head_BS" xfId="4941" xr:uid="{00000000-0005-0000-0000-0000D0110000}"/>
    <cellStyle name="H_1998_col_head_BS_200869 sz - historical" xfId="4942" xr:uid="{00000000-0005-0000-0000-0000D1110000}"/>
    <cellStyle name="H_1998_col_head_BS_600519.SS" xfId="4943" xr:uid="{00000000-0005-0000-0000-0000D2110000}"/>
    <cellStyle name="H_1998_col_head_BS_China Foods (506.HK)" xfId="4944" xr:uid="{00000000-0005-0000-0000-0000D3110000}"/>
    <cellStyle name="H_1998_col_head_BS_COFCO (506.HK)" xfId="4945" xr:uid="{00000000-0005-0000-0000-0000D4110000}"/>
    <cellStyle name="H_1998_col_head_BS_COFCO (506.HK)_after spinoff" xfId="4946" xr:uid="{00000000-0005-0000-0000-0000D5110000}"/>
    <cellStyle name="H_1998_col_head_BS_COFCO NAV - scenario 060117" xfId="4947" xr:uid="{00000000-0005-0000-0000-0000D6110000}"/>
    <cellStyle name="H_1998_col_head_BS_COFCO_051010" xfId="4948" xr:uid="{00000000-0005-0000-0000-0000D7110000}"/>
    <cellStyle name="H_1998_col_head_BS_COFCO_backup" xfId="4949" xr:uid="{00000000-0005-0000-0000-0000D8110000}"/>
    <cellStyle name="H_1998_col_head_Cost of capital" xfId="4950" xr:uid="{00000000-0005-0000-0000-0000D9110000}"/>
    <cellStyle name="H_1998_col_head_Fu Sheng Rev and GM model" xfId="4951" xr:uid="{00000000-0005-0000-0000-0000DA110000}"/>
    <cellStyle name="H_1998_col_head_Fu Sheng Rev and GM model_Tsann Kuen Model" xfId="4952" xr:uid="{00000000-0005-0000-0000-0000DB110000}"/>
    <cellStyle name="H_1998_col_head_Fu Sheng Rev and GM model_TSRC Model" xfId="4953" xr:uid="{00000000-0005-0000-0000-0000DC110000}"/>
    <cellStyle name="H_1998_col_head_Giant Model MASTER" xfId="4954" xr:uid="{00000000-0005-0000-0000-0000DD110000}"/>
    <cellStyle name="H_1998_col_head_Giant Model MASTER_Tsann Kuen Model" xfId="4955" xr:uid="{00000000-0005-0000-0000-0000DE110000}"/>
    <cellStyle name="H_1998_col_head_Giant Model MASTER_TSRC Model" xfId="4956" xr:uid="{00000000-0005-0000-0000-0000DF110000}"/>
    <cellStyle name="H_1998_col_head_Tong yang model copy valuation" xfId="4957" xr:uid="{00000000-0005-0000-0000-0000E0110000}"/>
    <cellStyle name="H_1998_col_head_Tong yang model copy valuation_Fu Sheng Rev and GM model" xfId="4958" xr:uid="{00000000-0005-0000-0000-0000E1110000}"/>
    <cellStyle name="H_1998_col_head_Tong yang model copy valuation_Fu Sheng Rev and GM model_Tsann Kuen Model" xfId="4959" xr:uid="{00000000-0005-0000-0000-0000E2110000}"/>
    <cellStyle name="H_1998_col_head_Tong yang model copy valuation_Fu Sheng Rev and GM model_TSRC Model" xfId="4960" xr:uid="{00000000-0005-0000-0000-0000E3110000}"/>
    <cellStyle name="H_1998_col_head_TSRC Simple Model" xfId="4961" xr:uid="{00000000-0005-0000-0000-0000E4110000}"/>
    <cellStyle name="H_1998_col_head_TSRC Simple Model_TSRC Model" xfId="4962" xr:uid="{00000000-0005-0000-0000-0000E5110000}"/>
    <cellStyle name="H_1998_col_head_Two stage DDM" xfId="4963" xr:uid="{00000000-0005-0000-0000-0000E6110000}"/>
    <cellStyle name="H_1998_col_head_Two stage DDM_Fu Sheng Rev and GM model" xfId="4964" xr:uid="{00000000-0005-0000-0000-0000E7110000}"/>
    <cellStyle name="H_1998_col_head_Two stage DDM_Fu Sheng Rev and GM model_Tsann Kuen Model" xfId="4965" xr:uid="{00000000-0005-0000-0000-0000E8110000}"/>
    <cellStyle name="H_1998_col_head_Two stage DDM_Fu Sheng Rev and GM model_TSRC Model" xfId="4966" xr:uid="{00000000-0005-0000-0000-0000E9110000}"/>
    <cellStyle name="H_1998_col_head_Yifan template 2" xfId="4967" xr:uid="{00000000-0005-0000-0000-0000EA110000}"/>
    <cellStyle name="H_1998_col_head_Yifan template 2_200869 sz - historical" xfId="4968" xr:uid="{00000000-0005-0000-0000-0000EB110000}"/>
    <cellStyle name="H_1998_col_head_Yifan template 2_600519.SS" xfId="4969" xr:uid="{00000000-0005-0000-0000-0000EC110000}"/>
    <cellStyle name="H_1998_col_head_Yifan template 2_China Foods (506.HK)" xfId="4970" xr:uid="{00000000-0005-0000-0000-0000ED110000}"/>
    <cellStyle name="H_1998_col_head_Yifan template 2_COFCO (506.HK)" xfId="4971" xr:uid="{00000000-0005-0000-0000-0000EE110000}"/>
    <cellStyle name="H_1998_col_head_Yifan template 2_COFCO (506.HK)_after spinoff" xfId="4972" xr:uid="{00000000-0005-0000-0000-0000EF110000}"/>
    <cellStyle name="H_1998_col_head_Yifan template 2_COFCO NAV - scenario 060117" xfId="4973" xr:uid="{00000000-0005-0000-0000-0000F0110000}"/>
    <cellStyle name="H_1998_col_head_Yifan template 2_COFCO_051010" xfId="4974" xr:uid="{00000000-0005-0000-0000-0000F1110000}"/>
    <cellStyle name="H_1998_col_head_Yifan template 2_COFCO_backup" xfId="4975" xr:uid="{00000000-0005-0000-0000-0000F2110000}"/>
    <cellStyle name="H_1999_col_head" xfId="567" xr:uid="{00000000-0005-0000-0000-0000F3110000}"/>
    <cellStyle name="H1_1998 figures" xfId="568" xr:uid="{00000000-0005-0000-0000-0000F4110000}"/>
    <cellStyle name="hard no" xfId="4976" xr:uid="{00000000-0005-0000-0000-0000F5110000}"/>
    <cellStyle name="hard no." xfId="4977" xr:uid="{00000000-0005-0000-0000-0000F6110000}"/>
    <cellStyle name="Hard Percent" xfId="4978" xr:uid="{00000000-0005-0000-0000-0000F7110000}"/>
    <cellStyle name="hardno" xfId="4979" xr:uid="{00000000-0005-0000-0000-0000F8110000}"/>
    <cellStyle name="Head - Style2" xfId="4980" xr:uid="{00000000-0005-0000-0000-0000F9110000}"/>
    <cellStyle name="header" xfId="4981" xr:uid="{00000000-0005-0000-0000-0000FA110000}"/>
    <cellStyle name="Header Draft Stamp" xfId="4982" xr:uid="{00000000-0005-0000-0000-0000FB110000}"/>
    <cellStyle name="Header_ACCC" xfId="4983" xr:uid="{00000000-0005-0000-0000-0000FC110000}"/>
    <cellStyle name="Header1" xfId="4984" xr:uid="{00000000-0005-0000-0000-0000FD110000}"/>
    <cellStyle name="Header2" xfId="4985" xr:uid="{00000000-0005-0000-0000-0000FE110000}"/>
    <cellStyle name="Heading" xfId="569" xr:uid="{00000000-0005-0000-0000-0000FF110000}"/>
    <cellStyle name="Heading 1 2" xfId="4986" xr:uid="{00000000-0005-0000-0000-000000120000}"/>
    <cellStyle name="Heading 1 Above" xfId="4987" xr:uid="{00000000-0005-0000-0000-000001120000}"/>
    <cellStyle name="Heading 1+" xfId="4988" xr:uid="{00000000-0005-0000-0000-000002120000}"/>
    <cellStyle name="Heading 2 2" xfId="4989" xr:uid="{00000000-0005-0000-0000-000003120000}"/>
    <cellStyle name="Heading 2 Below" xfId="4990" xr:uid="{00000000-0005-0000-0000-000004120000}"/>
    <cellStyle name="Heading 2+" xfId="4991" xr:uid="{00000000-0005-0000-0000-000005120000}"/>
    <cellStyle name="Heading 3 2" xfId="4992" xr:uid="{00000000-0005-0000-0000-000006120000}"/>
    <cellStyle name="Heading 3+" xfId="4993" xr:uid="{00000000-0005-0000-0000-000007120000}"/>
    <cellStyle name="Heading1" xfId="570" xr:uid="{00000000-0005-0000-0000-000008120000}"/>
    <cellStyle name="Helv" xfId="4994" xr:uid="{00000000-0005-0000-0000-000009120000}"/>
    <cellStyle name="Hidden" xfId="4995" xr:uid="{00000000-0005-0000-0000-00000A120000}"/>
    <cellStyle name="HK$ [0]" xfId="4996" xr:uid="{00000000-0005-0000-0000-00000B120000}"/>
    <cellStyle name="Hyperlink" xfId="5305" builtinId="8"/>
    <cellStyle name="Hyperlink 2" xfId="5307" xr:uid="{00000000-0005-0000-0000-00000D120000}"/>
    <cellStyle name="Hyperlink_E-Ton_021808" xfId="10" xr:uid="{00000000-0005-0000-0000-00000E120000}"/>
    <cellStyle name="Hyperlink_E-Ton_022108" xfId="11" xr:uid="{00000000-0005-0000-0000-00000F120000}"/>
    <cellStyle name="Indent Bold" xfId="4997" xr:uid="{00000000-0005-0000-0000-000010120000}"/>
    <cellStyle name="Info_Main" xfId="12" xr:uid="{00000000-0005-0000-0000-000011120000}"/>
    <cellStyle name="Input [yellow]" xfId="4998" xr:uid="{00000000-0005-0000-0000-000012120000}"/>
    <cellStyle name="Input 0" xfId="4999" xr:uid="{00000000-0005-0000-0000-000013120000}"/>
    <cellStyle name="Input 2" xfId="5000" xr:uid="{00000000-0005-0000-0000-000014120000}"/>
    <cellStyle name="Input 3" xfId="5001" xr:uid="{00000000-0005-0000-0000-000015120000}"/>
    <cellStyle name="Input 4" xfId="5002" xr:uid="{00000000-0005-0000-0000-000016120000}"/>
    <cellStyle name="Input 5" xfId="5003" xr:uid="{00000000-0005-0000-0000-000017120000}"/>
    <cellStyle name="Input 6" xfId="5004" xr:uid="{00000000-0005-0000-0000-000018120000}"/>
    <cellStyle name="Input Cells" xfId="571" xr:uid="{00000000-0005-0000-0000-000019120000}"/>
    <cellStyle name="Input Currency" xfId="5005" xr:uid="{00000000-0005-0000-0000-00001A120000}"/>
    <cellStyle name="Input Currency 0" xfId="5006" xr:uid="{00000000-0005-0000-0000-00001B120000}"/>
    <cellStyle name="Input Currency 2" xfId="5007" xr:uid="{00000000-0005-0000-0000-00001C120000}"/>
    <cellStyle name="Input Currency_summary" xfId="5008" xr:uid="{00000000-0005-0000-0000-00001D120000}"/>
    <cellStyle name="Input Multiple" xfId="5009" xr:uid="{00000000-0005-0000-0000-00001E120000}"/>
    <cellStyle name="Input Normal" xfId="5010" xr:uid="{00000000-0005-0000-0000-00001F120000}"/>
    <cellStyle name="input percent" xfId="5011" xr:uid="{00000000-0005-0000-0000-000020120000}"/>
    <cellStyle name="Input Years" xfId="5012" xr:uid="{00000000-0005-0000-0000-000021120000}"/>
    <cellStyle name="Input%" xfId="5013" xr:uid="{00000000-0005-0000-0000-000022120000}"/>
    <cellStyle name="InputBlueFont" xfId="5014" xr:uid="{00000000-0005-0000-0000-000023120000}"/>
    <cellStyle name="InputCurrency" xfId="5015" xr:uid="{00000000-0005-0000-0000-000024120000}"/>
    <cellStyle name="InputCurrency2" xfId="5016" xr:uid="{00000000-0005-0000-0000-000025120000}"/>
    <cellStyle name="InputData" xfId="5017" xr:uid="{00000000-0005-0000-0000-000026120000}"/>
    <cellStyle name="InputDate" xfId="5018" xr:uid="{00000000-0005-0000-0000-000027120000}"/>
    <cellStyle name="InputDateDMth" xfId="5019" xr:uid="{00000000-0005-0000-0000-000028120000}"/>
    <cellStyle name="InputDateNorm" xfId="5020" xr:uid="{00000000-0005-0000-0000-000029120000}"/>
    <cellStyle name="InputDecimal" xfId="5021" xr:uid="{00000000-0005-0000-0000-00002A120000}"/>
    <cellStyle name="InputInfo" xfId="5022" xr:uid="{00000000-0005-0000-0000-00002B120000}"/>
    <cellStyle name="InputMultiple1" xfId="5023" xr:uid="{00000000-0005-0000-0000-00002C120000}"/>
    <cellStyle name="InputPercent" xfId="5024" xr:uid="{00000000-0005-0000-0000-00002D120000}"/>
    <cellStyle name="InputPercent1" xfId="5025" xr:uid="{00000000-0005-0000-0000-00002E120000}"/>
    <cellStyle name="InputUlineNumeric" xfId="5026" xr:uid="{00000000-0005-0000-0000-00002F120000}"/>
    <cellStyle name="InputValue" xfId="5027" xr:uid="{00000000-0005-0000-0000-000030120000}"/>
    <cellStyle name="Integer" xfId="5028" xr:uid="{00000000-0005-0000-0000-000031120000}"/>
    <cellStyle name="ITALICS" xfId="5029" xr:uid="{00000000-0005-0000-0000-000032120000}"/>
    <cellStyle name="Item" xfId="5030" xr:uid="{00000000-0005-0000-0000-000033120000}"/>
    <cellStyle name="Item 2" xfId="5031" xr:uid="{00000000-0005-0000-0000-000034120000}"/>
    <cellStyle name="Item Descriptions" xfId="572" xr:uid="{00000000-0005-0000-0000-000035120000}"/>
    <cellStyle name="ItemTypeClass" xfId="5032" xr:uid="{00000000-0005-0000-0000-000036120000}"/>
    <cellStyle name="Joe" xfId="5033" xr:uid="{00000000-0005-0000-0000-000037120000}"/>
    <cellStyle name="jon" xfId="5034" xr:uid="{00000000-0005-0000-0000-000038120000}"/>
    <cellStyle name="Label_Manual" xfId="5035" xr:uid="{00000000-0005-0000-0000-000039120000}"/>
    <cellStyle name="Line" xfId="573" xr:uid="{00000000-0005-0000-0000-00003A120000}"/>
    <cellStyle name="Link" xfId="5036" xr:uid="{00000000-0005-0000-0000-00003B120000}"/>
    <cellStyle name="Link Currency (0)" xfId="5037" xr:uid="{00000000-0005-0000-0000-00003C120000}"/>
    <cellStyle name="Link Currency (2)" xfId="5038" xr:uid="{00000000-0005-0000-0000-00003D120000}"/>
    <cellStyle name="Link Units (0)" xfId="5039" xr:uid="{00000000-0005-0000-0000-00003E120000}"/>
    <cellStyle name="Link Units (1)" xfId="5040" xr:uid="{00000000-0005-0000-0000-00003F120000}"/>
    <cellStyle name="Link Units (2)" xfId="5041" xr:uid="{00000000-0005-0000-0000-000040120000}"/>
    <cellStyle name="Locked" xfId="5042" xr:uid="{00000000-0005-0000-0000-000041120000}"/>
    <cellStyle name="Main Text" xfId="5043" xr:uid="{00000000-0005-0000-0000-000042120000}"/>
    <cellStyle name="Main Text + Line" xfId="5044" xr:uid="{00000000-0005-0000-0000-000043120000}"/>
    <cellStyle name="Main Text Bot%" xfId="5045" xr:uid="{00000000-0005-0000-0000-000044120000}"/>
    <cellStyle name="Main Text Bottom" xfId="5046" xr:uid="{00000000-0005-0000-0000-000045120000}"/>
    <cellStyle name="Main Text_Eni SA" xfId="5047" xr:uid="{00000000-0005-0000-0000-000046120000}"/>
    <cellStyle name="Mainhead" xfId="574" xr:uid="{00000000-0005-0000-0000-000047120000}"/>
    <cellStyle name="Merrill" xfId="575" xr:uid="{00000000-0005-0000-0000-000048120000}"/>
    <cellStyle name="MetricLabel" xfId="5048" xr:uid="{00000000-0005-0000-0000-000049120000}"/>
    <cellStyle name="MetricLabelBlue" xfId="5049" xr:uid="{00000000-0005-0000-0000-00004A120000}"/>
    <cellStyle name="MetricValue" xfId="5050" xr:uid="{00000000-0005-0000-0000-00004B120000}"/>
    <cellStyle name="Millares [0]_AUDIO" xfId="5051" xr:uid="{00000000-0005-0000-0000-00004C120000}"/>
    <cellStyle name="Millares_AIRTEL08" xfId="5052" xr:uid="{00000000-0005-0000-0000-00004D120000}"/>
    <cellStyle name="Milliers [0]_!!!GO" xfId="5053" xr:uid="{00000000-0005-0000-0000-00004E120000}"/>
    <cellStyle name="Milliers_!!!GO" xfId="5054" xr:uid="{00000000-0005-0000-0000-00004F120000}"/>
    <cellStyle name="Mix" xfId="576" xr:uid="{00000000-0005-0000-0000-000050120000}"/>
    <cellStyle name="mmm" xfId="5055" xr:uid="{00000000-0005-0000-0000-000051120000}"/>
    <cellStyle name="mmm-yy" xfId="5056" xr:uid="{00000000-0005-0000-0000-000052120000}"/>
    <cellStyle name="Moneda [0]_AUDIO" xfId="5057" xr:uid="{00000000-0005-0000-0000-000053120000}"/>
    <cellStyle name="Moneda_AIRTEL08" xfId="5058" xr:uid="{00000000-0005-0000-0000-000054120000}"/>
    <cellStyle name="Monetaire [0]_!!!GO" xfId="5059" xr:uid="{00000000-0005-0000-0000-000055120000}"/>
    <cellStyle name="Monétaire [0]_!!!GO" xfId="5060" xr:uid="{00000000-0005-0000-0000-000056120000}"/>
    <cellStyle name="Monetaire_!!!GO" xfId="5061" xr:uid="{00000000-0005-0000-0000-000057120000}"/>
    <cellStyle name="Monétaire_!!!GO" xfId="5062" xr:uid="{00000000-0005-0000-0000-000058120000}"/>
    <cellStyle name="Monitor" xfId="577" xr:uid="{00000000-0005-0000-0000-000059120000}"/>
    <cellStyle name="Multiple" xfId="578" xr:uid="{00000000-0005-0000-0000-00005A120000}"/>
    <cellStyle name="Multiple1" xfId="5063" xr:uid="{00000000-0005-0000-0000-00005B120000}"/>
    <cellStyle name="N/Y" xfId="5064" xr:uid="{00000000-0005-0000-0000-00005C120000}"/>
    <cellStyle name="no dec" xfId="5065" xr:uid="{00000000-0005-0000-0000-00005D120000}"/>
    <cellStyle name="No Decimal" xfId="5066" xr:uid="{00000000-0005-0000-0000-00005E120000}"/>
    <cellStyle name="Nodec" xfId="5067" xr:uid="{00000000-0005-0000-0000-00005F120000}"/>
    <cellStyle name="Normal" xfId="0" builtinId="0"/>
    <cellStyle name="Normal - Style1" xfId="579" xr:uid="{00000000-0005-0000-0000-000061120000}"/>
    <cellStyle name="Normal - Style1 2" xfId="641" xr:uid="{00000000-0005-0000-0000-000062120000}"/>
    <cellStyle name="Normal 10" xfId="637" xr:uid="{00000000-0005-0000-0000-000063120000}"/>
    <cellStyle name="Normal 11" xfId="5304" xr:uid="{00000000-0005-0000-0000-000064120000}"/>
    <cellStyle name="Normal 2" xfId="1" xr:uid="{00000000-0005-0000-0000-000065120000}"/>
    <cellStyle name="Normal 2 2" xfId="314" xr:uid="{00000000-0005-0000-0000-000066120000}"/>
    <cellStyle name="Normal 2 3" xfId="5068" xr:uid="{00000000-0005-0000-0000-000067120000}"/>
    <cellStyle name="Normal 2 3 2" xfId="5306" xr:uid="{00000000-0005-0000-0000-000068120000}"/>
    <cellStyle name="Normal 2 4" xfId="5069" xr:uid="{00000000-0005-0000-0000-000069120000}"/>
    <cellStyle name="Normal 3" xfId="13" xr:uid="{00000000-0005-0000-0000-00006A120000}"/>
    <cellStyle name="Normal 3 2" xfId="5070" xr:uid="{00000000-0005-0000-0000-00006B120000}"/>
    <cellStyle name="Normal 3 3" xfId="627" xr:uid="{00000000-0005-0000-0000-00006C120000}"/>
    <cellStyle name="Normal 4" xfId="14" xr:uid="{00000000-0005-0000-0000-00006D120000}"/>
    <cellStyle name="Normal 4 2" xfId="628" xr:uid="{00000000-0005-0000-0000-00006E120000}"/>
    <cellStyle name="Normal 45 14" xfId="5071" xr:uid="{00000000-0005-0000-0000-00006F120000}"/>
    <cellStyle name="Normal 5" xfId="15" xr:uid="{00000000-0005-0000-0000-000070120000}"/>
    <cellStyle name="Normal 6" xfId="633" xr:uid="{00000000-0005-0000-0000-000071120000}"/>
    <cellStyle name="Normal 6 2" xfId="639" xr:uid="{00000000-0005-0000-0000-000072120000}"/>
    <cellStyle name="Normal 7" xfId="634" xr:uid="{00000000-0005-0000-0000-000073120000}"/>
    <cellStyle name="Normal 8" xfId="635" xr:uid="{00000000-0005-0000-0000-000074120000}"/>
    <cellStyle name="Normal 9" xfId="636" xr:uid="{00000000-0005-0000-0000-000075120000}"/>
    <cellStyle name="Normal Bold" xfId="5072" xr:uid="{00000000-0005-0000-0000-000076120000}"/>
    <cellStyle name="Normal Cells" xfId="580" xr:uid="{00000000-0005-0000-0000-000077120000}"/>
    <cellStyle name="Normal Indent 1 sp" xfId="5073" xr:uid="{00000000-0005-0000-0000-000078120000}"/>
    <cellStyle name="Normal Indent 1 sp bold und" xfId="5074" xr:uid="{00000000-0005-0000-0000-000079120000}"/>
    <cellStyle name="Normal_CROCI template" xfId="638" xr:uid="{00000000-0005-0000-0000-00007A120000}"/>
    <cellStyle name="Normal_E-Ton_021808" xfId="16" xr:uid="{00000000-0005-0000-0000-00007B120000}"/>
    <cellStyle name="Normal_Standard Template_reduced" xfId="2" xr:uid="{00000000-0005-0000-0000-00007C120000}"/>
    <cellStyle name="Normal_Wasion 15" xfId="17" xr:uid="{00000000-0005-0000-0000-00007D120000}"/>
    <cellStyle name="Normal2" xfId="5075" xr:uid="{00000000-0005-0000-0000-00007E120000}"/>
    <cellStyle name="NormalGB" xfId="5076" xr:uid="{00000000-0005-0000-0000-00007F120000}"/>
    <cellStyle name="Normalny_SAQ_NEW" xfId="5077" xr:uid="{00000000-0005-0000-0000-000080120000}"/>
    <cellStyle name="Notes" xfId="5078" xr:uid="{00000000-0005-0000-0000-000081120000}"/>
    <cellStyle name="NPI" xfId="5079" xr:uid="{00000000-0005-0000-0000-000082120000}"/>
    <cellStyle name="num,nodecpts" xfId="5080" xr:uid="{00000000-0005-0000-0000-000083120000}"/>
    <cellStyle name="Number" xfId="581" xr:uid="{00000000-0005-0000-0000-000084120000}"/>
    <cellStyle name="Numbers" xfId="582" xr:uid="{00000000-0005-0000-0000-000085120000}"/>
    <cellStyle name="Numbers - Bold" xfId="583" xr:uid="{00000000-0005-0000-0000-000086120000}"/>
    <cellStyle name="Numbers - Bold - Italic" xfId="584" xr:uid="{00000000-0005-0000-0000-000087120000}"/>
    <cellStyle name="Numbers - Bold_Blend" xfId="585" xr:uid="{00000000-0005-0000-0000-000088120000}"/>
    <cellStyle name="Numbers - Large" xfId="586" xr:uid="{00000000-0005-0000-0000-000089120000}"/>
    <cellStyle name="Numbers_Comps" xfId="587" xr:uid="{00000000-0005-0000-0000-00008A120000}"/>
    <cellStyle name="numero input" xfId="5081" xr:uid="{00000000-0005-0000-0000-00008B120000}"/>
    <cellStyle name="numero normal" xfId="5082" xr:uid="{00000000-0005-0000-0000-00008C120000}"/>
    <cellStyle name="Œ…‹æØ‚è [0.00]_!!!GO" xfId="5083" xr:uid="{00000000-0005-0000-0000-00008D120000}"/>
    <cellStyle name="Œ…‹æØ‚è_!!!GO" xfId="5084" xr:uid="{00000000-0005-0000-0000-00008E120000}"/>
    <cellStyle name="Onedec" xfId="5085" xr:uid="{00000000-0005-0000-0000-00008F120000}"/>
    <cellStyle name="OSW_ColumnLabels" xfId="588" xr:uid="{00000000-0005-0000-0000-000090120000}"/>
    <cellStyle name="outh America" xfId="5086" xr:uid="{00000000-0005-0000-0000-000091120000}"/>
    <cellStyle name="Output 2" xfId="5087" xr:uid="{00000000-0005-0000-0000-000092120000}"/>
    <cellStyle name="Page" xfId="589" xr:uid="{00000000-0005-0000-0000-000093120000}"/>
    <cellStyle name="Page header" xfId="590" xr:uid="{00000000-0005-0000-0000-000094120000}"/>
    <cellStyle name="Page Number" xfId="5088" xr:uid="{00000000-0005-0000-0000-000095120000}"/>
    <cellStyle name="Palatino" xfId="5089" xr:uid="{00000000-0005-0000-0000-000096120000}"/>
    <cellStyle name="Pass" xfId="5090" xr:uid="{00000000-0005-0000-0000-000097120000}"/>
    <cellStyle name="pb_table_format_bottomonly" xfId="5091" xr:uid="{00000000-0005-0000-0000-000098120000}"/>
    <cellStyle name="pc1" xfId="5092" xr:uid="{00000000-0005-0000-0000-000099120000}"/>
    <cellStyle name="pcent" xfId="5093" xr:uid="{00000000-0005-0000-0000-00009A120000}"/>
    <cellStyle name="Pec (2dec,fs)" xfId="5094" xr:uid="{00000000-0005-0000-0000-00009B120000}"/>
    <cellStyle name="PER" xfId="5095" xr:uid="{00000000-0005-0000-0000-00009C120000}"/>
    <cellStyle name="per.style" xfId="5096" xr:uid="{00000000-0005-0000-0000-00009D120000}"/>
    <cellStyle name="Per_(GS) China Pharmaceutical Group model" xfId="5097" xr:uid="{00000000-0005-0000-0000-00009E120000}"/>
    <cellStyle name="Percent" xfId="625" builtinId="5"/>
    <cellStyle name="Percent [0]" xfId="5098" xr:uid="{00000000-0005-0000-0000-0000A0120000}"/>
    <cellStyle name="Percent [00]" xfId="5099" xr:uid="{00000000-0005-0000-0000-0000A1120000}"/>
    <cellStyle name="Percent [1]" xfId="5100" xr:uid="{00000000-0005-0000-0000-0000A2120000}"/>
    <cellStyle name="Percent [2]" xfId="5101" xr:uid="{00000000-0005-0000-0000-0000A3120000}"/>
    <cellStyle name="Percent 2" xfId="3" xr:uid="{00000000-0005-0000-0000-0000A4120000}"/>
    <cellStyle name="Percent 2 2" xfId="5102" xr:uid="{00000000-0005-0000-0000-0000A5120000}"/>
    <cellStyle name="Percent 2 3" xfId="5103" xr:uid="{00000000-0005-0000-0000-0000A6120000}"/>
    <cellStyle name="Percent 3" xfId="18" xr:uid="{00000000-0005-0000-0000-0000A7120000}"/>
    <cellStyle name="Percent 3 2" xfId="629" xr:uid="{00000000-0005-0000-0000-0000A8120000}"/>
    <cellStyle name="Percent 3 2 2" xfId="5104" xr:uid="{00000000-0005-0000-0000-0000A9120000}"/>
    <cellStyle name="Percent 4" xfId="19" xr:uid="{00000000-0005-0000-0000-0000AA120000}"/>
    <cellStyle name="Percent 4 2" xfId="630" xr:uid="{00000000-0005-0000-0000-0000AB120000}"/>
    <cellStyle name="Percent 5" xfId="645" xr:uid="{00000000-0005-0000-0000-0000AC120000}"/>
    <cellStyle name="Percent 6" xfId="643" xr:uid="{00000000-0005-0000-0000-0000AD120000}"/>
    <cellStyle name="Percent1" xfId="5105" xr:uid="{00000000-0005-0000-0000-0000AE120000}"/>
    <cellStyle name="Percentage" xfId="591" xr:uid="{00000000-0005-0000-0000-0000AF120000}"/>
    <cellStyle name="PercentChange" xfId="5106" xr:uid="{00000000-0005-0000-0000-0000B0120000}"/>
    <cellStyle name="PercentChange 2" xfId="5107" xr:uid="{00000000-0005-0000-0000-0000B1120000}"/>
    <cellStyle name="PercentInterest" xfId="5108" xr:uid="{00000000-0005-0000-0000-0000B2120000}"/>
    <cellStyle name="PerShare" xfId="5109" xr:uid="{00000000-0005-0000-0000-0000B3120000}"/>
    <cellStyle name="PETable[1]" xfId="5110" xr:uid="{00000000-0005-0000-0000-0000B4120000}"/>
    <cellStyle name="Porcentual_Macro2" xfId="5111" xr:uid="{00000000-0005-0000-0000-0000B5120000}"/>
    <cellStyle name="PrePop Currency (0)" xfId="5112" xr:uid="{00000000-0005-0000-0000-0000B6120000}"/>
    <cellStyle name="PrePop Currency (2)" xfId="5113" xr:uid="{00000000-0005-0000-0000-0000B7120000}"/>
    <cellStyle name="PrePop Units (0)" xfId="5114" xr:uid="{00000000-0005-0000-0000-0000B8120000}"/>
    <cellStyle name="PrePop Units (1)" xfId="5115" xr:uid="{00000000-0005-0000-0000-0000B9120000}"/>
    <cellStyle name="PrePop Units (2)" xfId="5116" xr:uid="{00000000-0005-0000-0000-0000BA120000}"/>
    <cellStyle name="Presentation" xfId="5117" xr:uid="{00000000-0005-0000-0000-0000BB120000}"/>
    <cellStyle name="Price" xfId="592" xr:uid="{00000000-0005-0000-0000-0000BC120000}"/>
    <cellStyle name="pricing" xfId="5118" xr:uid="{00000000-0005-0000-0000-0000BD120000}"/>
    <cellStyle name="prot" xfId="593" xr:uid="{00000000-0005-0000-0000-0000BE120000}"/>
    <cellStyle name="Protected" xfId="5119" xr:uid="{00000000-0005-0000-0000-0000BF120000}"/>
    <cellStyle name="ProtectedDates" xfId="5120" xr:uid="{00000000-0005-0000-0000-0000C0120000}"/>
    <cellStyle name="PSHeading" xfId="5121" xr:uid="{00000000-0005-0000-0000-0000C1120000}"/>
    <cellStyle name="Punto" xfId="594" xr:uid="{00000000-0005-0000-0000-0000C2120000}"/>
    <cellStyle name="QDF" xfId="5122" xr:uid="{00000000-0005-0000-0000-0000C3120000}"/>
    <cellStyle name="Quantity" xfId="5123" xr:uid="{00000000-0005-0000-0000-0000C4120000}"/>
    <cellStyle name="r" xfId="595" xr:uid="{00000000-0005-0000-0000-0000C5120000}"/>
    <cellStyle name="Ratio" xfId="5124" xr:uid="{00000000-0005-0000-0000-0000C6120000}"/>
    <cellStyle name="Ratios" xfId="5125" xr:uid="{00000000-0005-0000-0000-0000C7120000}"/>
    <cellStyle name="Ratios[1]" xfId="5126" xr:uid="{00000000-0005-0000-0000-0000C8120000}"/>
    <cellStyle name="RatioX" xfId="5127" xr:uid="{00000000-0005-0000-0000-0000C9120000}"/>
    <cellStyle name="RatioX 2" xfId="5128" xr:uid="{00000000-0005-0000-0000-0000CA120000}"/>
    <cellStyle name="Red" xfId="5129" xr:uid="{00000000-0005-0000-0000-0000CB120000}"/>
    <cellStyle name="Red 2" xfId="5130" xr:uid="{00000000-0005-0000-0000-0000CC120000}"/>
    <cellStyle name="Ref Numbers" xfId="5131" xr:uid="{00000000-0005-0000-0000-0000CD120000}"/>
    <cellStyle name="Result" xfId="5132" xr:uid="{00000000-0005-0000-0000-0000CE120000}"/>
    <cellStyle name="Reuters Cells" xfId="596" xr:uid="{00000000-0005-0000-0000-0000CF120000}"/>
    <cellStyle name="RMB [0]" xfId="5133" xr:uid="{00000000-0005-0000-0000-0000D0120000}"/>
    <cellStyle name="s" xfId="597" xr:uid="{00000000-0005-0000-0000-0000D1120000}"/>
    <cellStyle name="s_CDFH" xfId="5134" xr:uid="{00000000-0005-0000-0000-0000D2120000}"/>
    <cellStyle name="s_CDFH_Chinatrust" xfId="5135" xr:uid="{00000000-0005-0000-0000-0000D3120000}"/>
    <cellStyle name="s_CDFH_Fubon FHC" xfId="5136" xr:uid="{00000000-0005-0000-0000-0000D4120000}"/>
    <cellStyle name="s_CDFH_Taishin" xfId="5137" xr:uid="{00000000-0005-0000-0000-0000D5120000}"/>
    <cellStyle name="s_CDFH2" xfId="5138" xr:uid="{00000000-0005-0000-0000-0000D6120000}"/>
    <cellStyle name="s_CDFH2_Taishin" xfId="5139" xr:uid="{00000000-0005-0000-0000-0000D7120000}"/>
    <cellStyle name="Salomon Logo" xfId="5140" xr:uid="{00000000-0005-0000-0000-0000D8120000}"/>
    <cellStyle name="sample" xfId="5141" xr:uid="{00000000-0005-0000-0000-0000D9120000}"/>
    <cellStyle name="SAPBEXaggData" xfId="5142" xr:uid="{00000000-0005-0000-0000-0000DA120000}"/>
    <cellStyle name="SAPBEXaggDataEmph" xfId="5143" xr:uid="{00000000-0005-0000-0000-0000DB120000}"/>
    <cellStyle name="SAPBEXaggItem" xfId="5144" xr:uid="{00000000-0005-0000-0000-0000DC120000}"/>
    <cellStyle name="SAPBEXaggItemX" xfId="5145" xr:uid="{00000000-0005-0000-0000-0000DD120000}"/>
    <cellStyle name="SAPBEXchaText" xfId="5146" xr:uid="{00000000-0005-0000-0000-0000DE120000}"/>
    <cellStyle name="SAPBEXexcBad7" xfId="5147" xr:uid="{00000000-0005-0000-0000-0000DF120000}"/>
    <cellStyle name="SAPBEXexcBad8" xfId="5148" xr:uid="{00000000-0005-0000-0000-0000E0120000}"/>
    <cellStyle name="SAPBEXexcBad9" xfId="5149" xr:uid="{00000000-0005-0000-0000-0000E1120000}"/>
    <cellStyle name="SAPBEXexcCritical4" xfId="5150" xr:uid="{00000000-0005-0000-0000-0000E2120000}"/>
    <cellStyle name="SAPBEXexcCritical5" xfId="5151" xr:uid="{00000000-0005-0000-0000-0000E3120000}"/>
    <cellStyle name="SAPBEXexcCritical6" xfId="5152" xr:uid="{00000000-0005-0000-0000-0000E4120000}"/>
    <cellStyle name="SAPBEXexcGood1" xfId="5153" xr:uid="{00000000-0005-0000-0000-0000E5120000}"/>
    <cellStyle name="SAPBEXexcGood2" xfId="5154" xr:uid="{00000000-0005-0000-0000-0000E6120000}"/>
    <cellStyle name="SAPBEXexcGood3" xfId="5155" xr:uid="{00000000-0005-0000-0000-0000E7120000}"/>
    <cellStyle name="SAPBEXfilterDrill" xfId="5156" xr:uid="{00000000-0005-0000-0000-0000E8120000}"/>
    <cellStyle name="SAPBEXfilterItem" xfId="5157" xr:uid="{00000000-0005-0000-0000-0000E9120000}"/>
    <cellStyle name="SAPBEXfilterText" xfId="5158" xr:uid="{00000000-0005-0000-0000-0000EA120000}"/>
    <cellStyle name="SAPBEXformats" xfId="5159" xr:uid="{00000000-0005-0000-0000-0000EB120000}"/>
    <cellStyle name="SAPBEXheaderItem" xfId="5160" xr:uid="{00000000-0005-0000-0000-0000EC120000}"/>
    <cellStyle name="SAPBEXheaderText" xfId="5161" xr:uid="{00000000-0005-0000-0000-0000ED120000}"/>
    <cellStyle name="SAPBEXHLevel0" xfId="5162" xr:uid="{00000000-0005-0000-0000-0000EE120000}"/>
    <cellStyle name="SAPBEXHLevel0X" xfId="5163" xr:uid="{00000000-0005-0000-0000-0000EF120000}"/>
    <cellStyle name="SAPBEXHLevel1" xfId="5164" xr:uid="{00000000-0005-0000-0000-0000F0120000}"/>
    <cellStyle name="SAPBEXHLevel1X" xfId="5165" xr:uid="{00000000-0005-0000-0000-0000F1120000}"/>
    <cellStyle name="SAPBEXHLevel2" xfId="5166" xr:uid="{00000000-0005-0000-0000-0000F2120000}"/>
    <cellStyle name="SAPBEXHLevel2X" xfId="5167" xr:uid="{00000000-0005-0000-0000-0000F3120000}"/>
    <cellStyle name="SAPBEXHLevel3" xfId="5168" xr:uid="{00000000-0005-0000-0000-0000F4120000}"/>
    <cellStyle name="SAPBEXHLevel3X" xfId="5169" xr:uid="{00000000-0005-0000-0000-0000F5120000}"/>
    <cellStyle name="SAPBEXresData" xfId="5170" xr:uid="{00000000-0005-0000-0000-0000F6120000}"/>
    <cellStyle name="SAPBEXresDataEmph" xfId="5171" xr:uid="{00000000-0005-0000-0000-0000F7120000}"/>
    <cellStyle name="SAPBEXresItem" xfId="5172" xr:uid="{00000000-0005-0000-0000-0000F8120000}"/>
    <cellStyle name="SAPBEXresItemX" xfId="5173" xr:uid="{00000000-0005-0000-0000-0000F9120000}"/>
    <cellStyle name="SAPBEXstdData" xfId="5174" xr:uid="{00000000-0005-0000-0000-0000FA120000}"/>
    <cellStyle name="SAPBEXstdDataEmph" xfId="5175" xr:uid="{00000000-0005-0000-0000-0000FB120000}"/>
    <cellStyle name="SAPBEXstdItem" xfId="5176" xr:uid="{00000000-0005-0000-0000-0000FC120000}"/>
    <cellStyle name="SAPBEXstdItemX" xfId="5177" xr:uid="{00000000-0005-0000-0000-0000FD120000}"/>
    <cellStyle name="SAPBEXtitle" xfId="5178" xr:uid="{00000000-0005-0000-0000-0000FE120000}"/>
    <cellStyle name="SAPBEXundefined" xfId="5179" xr:uid="{00000000-0005-0000-0000-0000FF120000}"/>
    <cellStyle name="ScripFactor" xfId="5180" xr:uid="{00000000-0005-0000-0000-000000130000}"/>
    <cellStyle name="ScripFactor 2" xfId="5181" xr:uid="{00000000-0005-0000-0000-000001130000}"/>
    <cellStyle name="SectionHeading" xfId="5182" xr:uid="{00000000-0005-0000-0000-000002130000}"/>
    <cellStyle name="SG$ [0]" xfId="5183" xr:uid="{00000000-0005-0000-0000-000003130000}"/>
    <cellStyle name="shade" xfId="5184" xr:uid="{00000000-0005-0000-0000-000004130000}"/>
    <cellStyle name="ShadedCells_Database" xfId="598" xr:uid="{00000000-0005-0000-0000-000005130000}"/>
    <cellStyle name="Sheet Title" xfId="599" xr:uid="{00000000-0005-0000-0000-000006130000}"/>
    <cellStyle name="ShOut" xfId="600" xr:uid="{00000000-0005-0000-0000-000007130000}"/>
    <cellStyle name="sin nada" xfId="5185" xr:uid="{00000000-0005-0000-0000-000008130000}"/>
    <cellStyle name="Source Line" xfId="5186" xr:uid="{00000000-0005-0000-0000-000009130000}"/>
    <cellStyle name="STANDARD" xfId="5187" xr:uid="{00000000-0005-0000-0000-00000A130000}"/>
    <cellStyle name="STANDARD 2" xfId="5188" xr:uid="{00000000-0005-0000-0000-00000B130000}"/>
    <cellStyle name="Style 1" xfId="20" xr:uid="{00000000-0005-0000-0000-00000C130000}"/>
    <cellStyle name="Style 1 2" xfId="5189" xr:uid="{00000000-0005-0000-0000-00000D130000}"/>
    <cellStyle name="Style 10" xfId="21" xr:uid="{00000000-0005-0000-0000-00000E130000}"/>
    <cellStyle name="Style 100" xfId="22" xr:uid="{00000000-0005-0000-0000-00000F130000}"/>
    <cellStyle name="Style 101" xfId="23" xr:uid="{00000000-0005-0000-0000-000010130000}"/>
    <cellStyle name="Style 102" xfId="24" xr:uid="{00000000-0005-0000-0000-000011130000}"/>
    <cellStyle name="Style 103" xfId="25" xr:uid="{00000000-0005-0000-0000-000012130000}"/>
    <cellStyle name="Style 104" xfId="26" xr:uid="{00000000-0005-0000-0000-000013130000}"/>
    <cellStyle name="Style 105" xfId="27" xr:uid="{00000000-0005-0000-0000-000014130000}"/>
    <cellStyle name="Style 106" xfId="28" xr:uid="{00000000-0005-0000-0000-000015130000}"/>
    <cellStyle name="Style 107" xfId="29" xr:uid="{00000000-0005-0000-0000-000016130000}"/>
    <cellStyle name="Style 108" xfId="30" xr:uid="{00000000-0005-0000-0000-000017130000}"/>
    <cellStyle name="Style 109" xfId="31" xr:uid="{00000000-0005-0000-0000-000018130000}"/>
    <cellStyle name="Style 11" xfId="32" xr:uid="{00000000-0005-0000-0000-000019130000}"/>
    <cellStyle name="Style 110" xfId="33" xr:uid="{00000000-0005-0000-0000-00001A130000}"/>
    <cellStyle name="Style 111" xfId="34" xr:uid="{00000000-0005-0000-0000-00001B130000}"/>
    <cellStyle name="Style 112" xfId="35" xr:uid="{00000000-0005-0000-0000-00001C130000}"/>
    <cellStyle name="Style 113" xfId="36" xr:uid="{00000000-0005-0000-0000-00001D130000}"/>
    <cellStyle name="Style 114" xfId="37" xr:uid="{00000000-0005-0000-0000-00001E130000}"/>
    <cellStyle name="Style 115" xfId="38" xr:uid="{00000000-0005-0000-0000-00001F130000}"/>
    <cellStyle name="Style 116" xfId="39" xr:uid="{00000000-0005-0000-0000-000020130000}"/>
    <cellStyle name="Style 117" xfId="40" xr:uid="{00000000-0005-0000-0000-000021130000}"/>
    <cellStyle name="Style 118" xfId="41" xr:uid="{00000000-0005-0000-0000-000022130000}"/>
    <cellStyle name="Style 119" xfId="42" xr:uid="{00000000-0005-0000-0000-000023130000}"/>
    <cellStyle name="Style 12" xfId="43" xr:uid="{00000000-0005-0000-0000-000024130000}"/>
    <cellStyle name="Style 120" xfId="44" xr:uid="{00000000-0005-0000-0000-000025130000}"/>
    <cellStyle name="Style 121" xfId="45" xr:uid="{00000000-0005-0000-0000-000026130000}"/>
    <cellStyle name="Style 122" xfId="46" xr:uid="{00000000-0005-0000-0000-000027130000}"/>
    <cellStyle name="Style 123" xfId="47" xr:uid="{00000000-0005-0000-0000-000028130000}"/>
    <cellStyle name="Style 124" xfId="48" xr:uid="{00000000-0005-0000-0000-000029130000}"/>
    <cellStyle name="Style 125" xfId="49" xr:uid="{00000000-0005-0000-0000-00002A130000}"/>
    <cellStyle name="Style 126" xfId="50" xr:uid="{00000000-0005-0000-0000-00002B130000}"/>
    <cellStyle name="Style 127" xfId="51" xr:uid="{00000000-0005-0000-0000-00002C130000}"/>
    <cellStyle name="Style 128" xfId="52" xr:uid="{00000000-0005-0000-0000-00002D130000}"/>
    <cellStyle name="Style 129" xfId="53" xr:uid="{00000000-0005-0000-0000-00002E130000}"/>
    <cellStyle name="Style 13" xfId="54" xr:uid="{00000000-0005-0000-0000-00002F130000}"/>
    <cellStyle name="Style 130" xfId="55" xr:uid="{00000000-0005-0000-0000-000030130000}"/>
    <cellStyle name="Style 131" xfId="56" xr:uid="{00000000-0005-0000-0000-000031130000}"/>
    <cellStyle name="Style 132" xfId="57" xr:uid="{00000000-0005-0000-0000-000032130000}"/>
    <cellStyle name="Style 133" xfId="58" xr:uid="{00000000-0005-0000-0000-000033130000}"/>
    <cellStyle name="Style 134" xfId="59" xr:uid="{00000000-0005-0000-0000-000034130000}"/>
    <cellStyle name="Style 135" xfId="60" xr:uid="{00000000-0005-0000-0000-000035130000}"/>
    <cellStyle name="Style 136" xfId="61" xr:uid="{00000000-0005-0000-0000-000036130000}"/>
    <cellStyle name="Style 137" xfId="62" xr:uid="{00000000-0005-0000-0000-000037130000}"/>
    <cellStyle name="Style 138" xfId="63" xr:uid="{00000000-0005-0000-0000-000038130000}"/>
    <cellStyle name="Style 139" xfId="64" xr:uid="{00000000-0005-0000-0000-000039130000}"/>
    <cellStyle name="Style 14" xfId="65" xr:uid="{00000000-0005-0000-0000-00003A130000}"/>
    <cellStyle name="Style 140" xfId="66" xr:uid="{00000000-0005-0000-0000-00003B130000}"/>
    <cellStyle name="Style 141" xfId="67" xr:uid="{00000000-0005-0000-0000-00003C130000}"/>
    <cellStyle name="Style 142" xfId="68" xr:uid="{00000000-0005-0000-0000-00003D130000}"/>
    <cellStyle name="Style 143" xfId="69" xr:uid="{00000000-0005-0000-0000-00003E130000}"/>
    <cellStyle name="Style 144" xfId="70" xr:uid="{00000000-0005-0000-0000-00003F130000}"/>
    <cellStyle name="Style 145" xfId="71" xr:uid="{00000000-0005-0000-0000-000040130000}"/>
    <cellStyle name="Style 146" xfId="72" xr:uid="{00000000-0005-0000-0000-000041130000}"/>
    <cellStyle name="Style 147" xfId="73" xr:uid="{00000000-0005-0000-0000-000042130000}"/>
    <cellStyle name="Style 148" xfId="74" xr:uid="{00000000-0005-0000-0000-000043130000}"/>
    <cellStyle name="Style 149" xfId="75" xr:uid="{00000000-0005-0000-0000-000044130000}"/>
    <cellStyle name="Style 15" xfId="76" xr:uid="{00000000-0005-0000-0000-000045130000}"/>
    <cellStyle name="Style 150" xfId="77" xr:uid="{00000000-0005-0000-0000-000046130000}"/>
    <cellStyle name="Style 151" xfId="78" xr:uid="{00000000-0005-0000-0000-000047130000}"/>
    <cellStyle name="Style 152" xfId="79" xr:uid="{00000000-0005-0000-0000-000048130000}"/>
    <cellStyle name="Style 153" xfId="80" xr:uid="{00000000-0005-0000-0000-000049130000}"/>
    <cellStyle name="Style 154" xfId="81" xr:uid="{00000000-0005-0000-0000-00004A130000}"/>
    <cellStyle name="Style 155" xfId="82" xr:uid="{00000000-0005-0000-0000-00004B130000}"/>
    <cellStyle name="Style 156" xfId="83" xr:uid="{00000000-0005-0000-0000-00004C130000}"/>
    <cellStyle name="Style 157" xfId="84" xr:uid="{00000000-0005-0000-0000-00004D130000}"/>
    <cellStyle name="Style 158" xfId="85" xr:uid="{00000000-0005-0000-0000-00004E130000}"/>
    <cellStyle name="Style 159" xfId="86" xr:uid="{00000000-0005-0000-0000-00004F130000}"/>
    <cellStyle name="Style 16" xfId="87" xr:uid="{00000000-0005-0000-0000-000050130000}"/>
    <cellStyle name="Style 160" xfId="88" xr:uid="{00000000-0005-0000-0000-000051130000}"/>
    <cellStyle name="Style 161" xfId="89" xr:uid="{00000000-0005-0000-0000-000052130000}"/>
    <cellStyle name="Style 162" xfId="90" xr:uid="{00000000-0005-0000-0000-000053130000}"/>
    <cellStyle name="Style 163" xfId="91" xr:uid="{00000000-0005-0000-0000-000054130000}"/>
    <cellStyle name="Style 164" xfId="92" xr:uid="{00000000-0005-0000-0000-000055130000}"/>
    <cellStyle name="Style 165" xfId="93" xr:uid="{00000000-0005-0000-0000-000056130000}"/>
    <cellStyle name="Style 166" xfId="94" xr:uid="{00000000-0005-0000-0000-000057130000}"/>
    <cellStyle name="Style 167" xfId="95" xr:uid="{00000000-0005-0000-0000-000058130000}"/>
    <cellStyle name="Style 168" xfId="96" xr:uid="{00000000-0005-0000-0000-000059130000}"/>
    <cellStyle name="Style 169" xfId="97" xr:uid="{00000000-0005-0000-0000-00005A130000}"/>
    <cellStyle name="Style 17" xfId="98" xr:uid="{00000000-0005-0000-0000-00005B130000}"/>
    <cellStyle name="Style 170" xfId="99" xr:uid="{00000000-0005-0000-0000-00005C130000}"/>
    <cellStyle name="Style 171" xfId="100" xr:uid="{00000000-0005-0000-0000-00005D130000}"/>
    <cellStyle name="Style 172" xfId="101" xr:uid="{00000000-0005-0000-0000-00005E130000}"/>
    <cellStyle name="Style 173" xfId="102" xr:uid="{00000000-0005-0000-0000-00005F130000}"/>
    <cellStyle name="Style 174" xfId="103" xr:uid="{00000000-0005-0000-0000-000060130000}"/>
    <cellStyle name="Style 175" xfId="104" xr:uid="{00000000-0005-0000-0000-000061130000}"/>
    <cellStyle name="Style 176" xfId="105" xr:uid="{00000000-0005-0000-0000-000062130000}"/>
    <cellStyle name="Style 177" xfId="106" xr:uid="{00000000-0005-0000-0000-000063130000}"/>
    <cellStyle name="Style 178" xfId="107" xr:uid="{00000000-0005-0000-0000-000064130000}"/>
    <cellStyle name="Style 179" xfId="108" xr:uid="{00000000-0005-0000-0000-000065130000}"/>
    <cellStyle name="Style 18" xfId="109" xr:uid="{00000000-0005-0000-0000-000066130000}"/>
    <cellStyle name="Style 180" xfId="110" xr:uid="{00000000-0005-0000-0000-000067130000}"/>
    <cellStyle name="Style 181" xfId="111" xr:uid="{00000000-0005-0000-0000-000068130000}"/>
    <cellStyle name="Style 182" xfId="112" xr:uid="{00000000-0005-0000-0000-000069130000}"/>
    <cellStyle name="Style 183" xfId="113" xr:uid="{00000000-0005-0000-0000-00006A130000}"/>
    <cellStyle name="Style 184" xfId="114" xr:uid="{00000000-0005-0000-0000-00006B130000}"/>
    <cellStyle name="Style 185" xfId="115" xr:uid="{00000000-0005-0000-0000-00006C130000}"/>
    <cellStyle name="Style 186" xfId="116" xr:uid="{00000000-0005-0000-0000-00006D130000}"/>
    <cellStyle name="Style 187" xfId="117" xr:uid="{00000000-0005-0000-0000-00006E130000}"/>
    <cellStyle name="Style 188" xfId="118" xr:uid="{00000000-0005-0000-0000-00006F130000}"/>
    <cellStyle name="Style 189" xfId="119" xr:uid="{00000000-0005-0000-0000-000070130000}"/>
    <cellStyle name="Style 19" xfId="120" xr:uid="{00000000-0005-0000-0000-000071130000}"/>
    <cellStyle name="Style 190" xfId="121" xr:uid="{00000000-0005-0000-0000-000072130000}"/>
    <cellStyle name="Style 191" xfId="122" xr:uid="{00000000-0005-0000-0000-000073130000}"/>
    <cellStyle name="Style 192" xfId="123" xr:uid="{00000000-0005-0000-0000-000074130000}"/>
    <cellStyle name="Style 193" xfId="124" xr:uid="{00000000-0005-0000-0000-000075130000}"/>
    <cellStyle name="Style 194" xfId="125" xr:uid="{00000000-0005-0000-0000-000076130000}"/>
    <cellStyle name="Style 195" xfId="126" xr:uid="{00000000-0005-0000-0000-000077130000}"/>
    <cellStyle name="Style 196" xfId="127" xr:uid="{00000000-0005-0000-0000-000078130000}"/>
    <cellStyle name="Style 197" xfId="128" xr:uid="{00000000-0005-0000-0000-000079130000}"/>
    <cellStyle name="Style 198" xfId="129" xr:uid="{00000000-0005-0000-0000-00007A130000}"/>
    <cellStyle name="Style 199" xfId="130" xr:uid="{00000000-0005-0000-0000-00007B130000}"/>
    <cellStyle name="Style 2" xfId="131" xr:uid="{00000000-0005-0000-0000-00007C130000}"/>
    <cellStyle name="Style 20" xfId="132" xr:uid="{00000000-0005-0000-0000-00007D130000}"/>
    <cellStyle name="Style 200" xfId="133" xr:uid="{00000000-0005-0000-0000-00007E130000}"/>
    <cellStyle name="Style 201" xfId="134" xr:uid="{00000000-0005-0000-0000-00007F130000}"/>
    <cellStyle name="Style 202" xfId="135" xr:uid="{00000000-0005-0000-0000-000080130000}"/>
    <cellStyle name="Style 203" xfId="136" xr:uid="{00000000-0005-0000-0000-000081130000}"/>
    <cellStyle name="Style 204" xfId="137" xr:uid="{00000000-0005-0000-0000-000082130000}"/>
    <cellStyle name="Style 205" xfId="138" xr:uid="{00000000-0005-0000-0000-000083130000}"/>
    <cellStyle name="Style 206" xfId="139" xr:uid="{00000000-0005-0000-0000-000084130000}"/>
    <cellStyle name="Style 207" xfId="140" xr:uid="{00000000-0005-0000-0000-000085130000}"/>
    <cellStyle name="Style 208" xfId="141" xr:uid="{00000000-0005-0000-0000-000086130000}"/>
    <cellStyle name="Style 209" xfId="142" xr:uid="{00000000-0005-0000-0000-000087130000}"/>
    <cellStyle name="Style 21" xfId="143" xr:uid="{00000000-0005-0000-0000-000088130000}"/>
    <cellStyle name="Style 210" xfId="144" xr:uid="{00000000-0005-0000-0000-000089130000}"/>
    <cellStyle name="Style 211" xfId="145" xr:uid="{00000000-0005-0000-0000-00008A130000}"/>
    <cellStyle name="Style 212" xfId="146" xr:uid="{00000000-0005-0000-0000-00008B130000}"/>
    <cellStyle name="Style 213" xfId="147" xr:uid="{00000000-0005-0000-0000-00008C130000}"/>
    <cellStyle name="Style 214" xfId="148" xr:uid="{00000000-0005-0000-0000-00008D130000}"/>
    <cellStyle name="Style 215" xfId="149" xr:uid="{00000000-0005-0000-0000-00008E130000}"/>
    <cellStyle name="Style 216" xfId="150" xr:uid="{00000000-0005-0000-0000-00008F130000}"/>
    <cellStyle name="Style 217" xfId="151" xr:uid="{00000000-0005-0000-0000-000090130000}"/>
    <cellStyle name="Style 218" xfId="152" xr:uid="{00000000-0005-0000-0000-000091130000}"/>
    <cellStyle name="Style 219" xfId="153" xr:uid="{00000000-0005-0000-0000-000092130000}"/>
    <cellStyle name="Style 22" xfId="154" xr:uid="{00000000-0005-0000-0000-000093130000}"/>
    <cellStyle name="Style 220" xfId="155" xr:uid="{00000000-0005-0000-0000-000094130000}"/>
    <cellStyle name="Style 221" xfId="156" xr:uid="{00000000-0005-0000-0000-000095130000}"/>
    <cellStyle name="Style 222" xfId="157" xr:uid="{00000000-0005-0000-0000-000096130000}"/>
    <cellStyle name="Style 223" xfId="158" xr:uid="{00000000-0005-0000-0000-000097130000}"/>
    <cellStyle name="Style 224" xfId="159" xr:uid="{00000000-0005-0000-0000-000098130000}"/>
    <cellStyle name="Style 225" xfId="160" xr:uid="{00000000-0005-0000-0000-000099130000}"/>
    <cellStyle name="Style 226" xfId="161" xr:uid="{00000000-0005-0000-0000-00009A130000}"/>
    <cellStyle name="Style 227" xfId="162" xr:uid="{00000000-0005-0000-0000-00009B130000}"/>
    <cellStyle name="Style 228" xfId="163" xr:uid="{00000000-0005-0000-0000-00009C130000}"/>
    <cellStyle name="Style 229" xfId="164" xr:uid="{00000000-0005-0000-0000-00009D130000}"/>
    <cellStyle name="Style 23" xfId="165" xr:uid="{00000000-0005-0000-0000-00009E130000}"/>
    <cellStyle name="Style 230" xfId="166" xr:uid="{00000000-0005-0000-0000-00009F130000}"/>
    <cellStyle name="Style 231" xfId="167" xr:uid="{00000000-0005-0000-0000-0000A0130000}"/>
    <cellStyle name="Style 232" xfId="168" xr:uid="{00000000-0005-0000-0000-0000A1130000}"/>
    <cellStyle name="Style 233" xfId="169" xr:uid="{00000000-0005-0000-0000-0000A2130000}"/>
    <cellStyle name="Style 234" xfId="170" xr:uid="{00000000-0005-0000-0000-0000A3130000}"/>
    <cellStyle name="Style 235" xfId="171" xr:uid="{00000000-0005-0000-0000-0000A4130000}"/>
    <cellStyle name="Style 236" xfId="172" xr:uid="{00000000-0005-0000-0000-0000A5130000}"/>
    <cellStyle name="Style 237" xfId="173" xr:uid="{00000000-0005-0000-0000-0000A6130000}"/>
    <cellStyle name="Style 238" xfId="174" xr:uid="{00000000-0005-0000-0000-0000A7130000}"/>
    <cellStyle name="Style 239" xfId="175" xr:uid="{00000000-0005-0000-0000-0000A8130000}"/>
    <cellStyle name="Style 24" xfId="176" xr:uid="{00000000-0005-0000-0000-0000A9130000}"/>
    <cellStyle name="Style 240" xfId="177" xr:uid="{00000000-0005-0000-0000-0000AA130000}"/>
    <cellStyle name="Style 241" xfId="178" xr:uid="{00000000-0005-0000-0000-0000AB130000}"/>
    <cellStyle name="Style 242" xfId="179" xr:uid="{00000000-0005-0000-0000-0000AC130000}"/>
    <cellStyle name="Style 243" xfId="180" xr:uid="{00000000-0005-0000-0000-0000AD130000}"/>
    <cellStyle name="Style 244" xfId="181" xr:uid="{00000000-0005-0000-0000-0000AE130000}"/>
    <cellStyle name="Style 245" xfId="182" xr:uid="{00000000-0005-0000-0000-0000AF130000}"/>
    <cellStyle name="Style 246" xfId="183" xr:uid="{00000000-0005-0000-0000-0000B0130000}"/>
    <cellStyle name="Style 247" xfId="184" xr:uid="{00000000-0005-0000-0000-0000B1130000}"/>
    <cellStyle name="Style 248" xfId="185" xr:uid="{00000000-0005-0000-0000-0000B2130000}"/>
    <cellStyle name="Style 249" xfId="186" xr:uid="{00000000-0005-0000-0000-0000B3130000}"/>
    <cellStyle name="Style 25" xfId="187" xr:uid="{00000000-0005-0000-0000-0000B4130000}"/>
    <cellStyle name="Style 250" xfId="188" xr:uid="{00000000-0005-0000-0000-0000B5130000}"/>
    <cellStyle name="Style 251" xfId="189" xr:uid="{00000000-0005-0000-0000-0000B6130000}"/>
    <cellStyle name="Style 252" xfId="190" xr:uid="{00000000-0005-0000-0000-0000B7130000}"/>
    <cellStyle name="Style 253" xfId="191" xr:uid="{00000000-0005-0000-0000-0000B8130000}"/>
    <cellStyle name="Style 254" xfId="192" xr:uid="{00000000-0005-0000-0000-0000B9130000}"/>
    <cellStyle name="Style 255" xfId="193" xr:uid="{00000000-0005-0000-0000-0000BA130000}"/>
    <cellStyle name="Style 256" xfId="194" xr:uid="{00000000-0005-0000-0000-0000BB130000}"/>
    <cellStyle name="Style 26" xfId="195" xr:uid="{00000000-0005-0000-0000-0000BC130000}"/>
    <cellStyle name="Style 27" xfId="196" xr:uid="{00000000-0005-0000-0000-0000BD130000}"/>
    <cellStyle name="Style 28" xfId="197" xr:uid="{00000000-0005-0000-0000-0000BE130000}"/>
    <cellStyle name="Style 29" xfId="198" xr:uid="{00000000-0005-0000-0000-0000BF130000}"/>
    <cellStyle name="Style 3" xfId="199" xr:uid="{00000000-0005-0000-0000-0000C0130000}"/>
    <cellStyle name="Style 30" xfId="200" xr:uid="{00000000-0005-0000-0000-0000C1130000}"/>
    <cellStyle name="Style 31" xfId="201" xr:uid="{00000000-0005-0000-0000-0000C2130000}"/>
    <cellStyle name="Style 32" xfId="202" xr:uid="{00000000-0005-0000-0000-0000C3130000}"/>
    <cellStyle name="Style 33" xfId="203" xr:uid="{00000000-0005-0000-0000-0000C4130000}"/>
    <cellStyle name="Style 34" xfId="204" xr:uid="{00000000-0005-0000-0000-0000C5130000}"/>
    <cellStyle name="Style 35" xfId="205" xr:uid="{00000000-0005-0000-0000-0000C6130000}"/>
    <cellStyle name="Style 36" xfId="206" xr:uid="{00000000-0005-0000-0000-0000C7130000}"/>
    <cellStyle name="Style 37" xfId="207" xr:uid="{00000000-0005-0000-0000-0000C8130000}"/>
    <cellStyle name="Style 38" xfId="208" xr:uid="{00000000-0005-0000-0000-0000C9130000}"/>
    <cellStyle name="Style 39" xfId="209" xr:uid="{00000000-0005-0000-0000-0000CA130000}"/>
    <cellStyle name="Style 4" xfId="210" xr:uid="{00000000-0005-0000-0000-0000CB130000}"/>
    <cellStyle name="Style 40" xfId="211" xr:uid="{00000000-0005-0000-0000-0000CC130000}"/>
    <cellStyle name="Style 41" xfId="212" xr:uid="{00000000-0005-0000-0000-0000CD130000}"/>
    <cellStyle name="Style 42" xfId="213" xr:uid="{00000000-0005-0000-0000-0000CE130000}"/>
    <cellStyle name="Style 43" xfId="214" xr:uid="{00000000-0005-0000-0000-0000CF130000}"/>
    <cellStyle name="Style 44" xfId="215" xr:uid="{00000000-0005-0000-0000-0000D0130000}"/>
    <cellStyle name="Style 45" xfId="216" xr:uid="{00000000-0005-0000-0000-0000D1130000}"/>
    <cellStyle name="Style 46" xfId="217" xr:uid="{00000000-0005-0000-0000-0000D2130000}"/>
    <cellStyle name="Style 47" xfId="218" xr:uid="{00000000-0005-0000-0000-0000D3130000}"/>
    <cellStyle name="Style 48" xfId="219" xr:uid="{00000000-0005-0000-0000-0000D4130000}"/>
    <cellStyle name="Style 49" xfId="220" xr:uid="{00000000-0005-0000-0000-0000D5130000}"/>
    <cellStyle name="Style 5" xfId="221" xr:uid="{00000000-0005-0000-0000-0000D6130000}"/>
    <cellStyle name="Style 50" xfId="222" xr:uid="{00000000-0005-0000-0000-0000D7130000}"/>
    <cellStyle name="Style 51" xfId="223" xr:uid="{00000000-0005-0000-0000-0000D8130000}"/>
    <cellStyle name="Style 52" xfId="224" xr:uid="{00000000-0005-0000-0000-0000D9130000}"/>
    <cellStyle name="Style 53" xfId="225" xr:uid="{00000000-0005-0000-0000-0000DA130000}"/>
    <cellStyle name="Style 54" xfId="226" xr:uid="{00000000-0005-0000-0000-0000DB130000}"/>
    <cellStyle name="Style 55" xfId="227" xr:uid="{00000000-0005-0000-0000-0000DC130000}"/>
    <cellStyle name="Style 56" xfId="228" xr:uid="{00000000-0005-0000-0000-0000DD130000}"/>
    <cellStyle name="Style 57" xfId="229" xr:uid="{00000000-0005-0000-0000-0000DE130000}"/>
    <cellStyle name="Style 58" xfId="230" xr:uid="{00000000-0005-0000-0000-0000DF130000}"/>
    <cellStyle name="Style 59" xfId="231" xr:uid="{00000000-0005-0000-0000-0000E0130000}"/>
    <cellStyle name="Style 6" xfId="232" xr:uid="{00000000-0005-0000-0000-0000E1130000}"/>
    <cellStyle name="Style 60" xfId="233" xr:uid="{00000000-0005-0000-0000-0000E2130000}"/>
    <cellStyle name="Style 61" xfId="234" xr:uid="{00000000-0005-0000-0000-0000E3130000}"/>
    <cellStyle name="Style 62" xfId="235" xr:uid="{00000000-0005-0000-0000-0000E4130000}"/>
    <cellStyle name="Style 63" xfId="236" xr:uid="{00000000-0005-0000-0000-0000E5130000}"/>
    <cellStyle name="Style 64" xfId="237" xr:uid="{00000000-0005-0000-0000-0000E6130000}"/>
    <cellStyle name="Style 65" xfId="238" xr:uid="{00000000-0005-0000-0000-0000E7130000}"/>
    <cellStyle name="Style 66" xfId="239" xr:uid="{00000000-0005-0000-0000-0000E8130000}"/>
    <cellStyle name="Style 67" xfId="240" xr:uid="{00000000-0005-0000-0000-0000E9130000}"/>
    <cellStyle name="Style 68" xfId="241" xr:uid="{00000000-0005-0000-0000-0000EA130000}"/>
    <cellStyle name="Style 69" xfId="242" xr:uid="{00000000-0005-0000-0000-0000EB130000}"/>
    <cellStyle name="Style 7" xfId="243" xr:uid="{00000000-0005-0000-0000-0000EC130000}"/>
    <cellStyle name="Style 70" xfId="244" xr:uid="{00000000-0005-0000-0000-0000ED130000}"/>
    <cellStyle name="Style 71" xfId="245" xr:uid="{00000000-0005-0000-0000-0000EE130000}"/>
    <cellStyle name="Style 72" xfId="246" xr:uid="{00000000-0005-0000-0000-0000EF130000}"/>
    <cellStyle name="Style 73" xfId="247" xr:uid="{00000000-0005-0000-0000-0000F0130000}"/>
    <cellStyle name="Style 74" xfId="248" xr:uid="{00000000-0005-0000-0000-0000F1130000}"/>
    <cellStyle name="Style 75" xfId="249" xr:uid="{00000000-0005-0000-0000-0000F2130000}"/>
    <cellStyle name="Style 76" xfId="250" xr:uid="{00000000-0005-0000-0000-0000F3130000}"/>
    <cellStyle name="Style 77" xfId="251" xr:uid="{00000000-0005-0000-0000-0000F4130000}"/>
    <cellStyle name="Style 78" xfId="252" xr:uid="{00000000-0005-0000-0000-0000F5130000}"/>
    <cellStyle name="Style 79" xfId="253" xr:uid="{00000000-0005-0000-0000-0000F6130000}"/>
    <cellStyle name="Style 8" xfId="254" xr:uid="{00000000-0005-0000-0000-0000F7130000}"/>
    <cellStyle name="Style 80" xfId="255" xr:uid="{00000000-0005-0000-0000-0000F8130000}"/>
    <cellStyle name="Style 81" xfId="256" xr:uid="{00000000-0005-0000-0000-0000F9130000}"/>
    <cellStyle name="Style 82" xfId="257" xr:uid="{00000000-0005-0000-0000-0000FA130000}"/>
    <cellStyle name="Style 83" xfId="258" xr:uid="{00000000-0005-0000-0000-0000FB130000}"/>
    <cellStyle name="Style 84" xfId="259" xr:uid="{00000000-0005-0000-0000-0000FC130000}"/>
    <cellStyle name="Style 85" xfId="260" xr:uid="{00000000-0005-0000-0000-0000FD130000}"/>
    <cellStyle name="Style 86" xfId="261" xr:uid="{00000000-0005-0000-0000-0000FE130000}"/>
    <cellStyle name="Style 87" xfId="262" xr:uid="{00000000-0005-0000-0000-0000FF130000}"/>
    <cellStyle name="Style 88" xfId="263" xr:uid="{00000000-0005-0000-0000-000000140000}"/>
    <cellStyle name="Style 89" xfId="264" xr:uid="{00000000-0005-0000-0000-000001140000}"/>
    <cellStyle name="Style 9" xfId="265" xr:uid="{00000000-0005-0000-0000-000002140000}"/>
    <cellStyle name="Style 90" xfId="266" xr:uid="{00000000-0005-0000-0000-000003140000}"/>
    <cellStyle name="Style 91" xfId="267" xr:uid="{00000000-0005-0000-0000-000004140000}"/>
    <cellStyle name="Style 92" xfId="268" xr:uid="{00000000-0005-0000-0000-000005140000}"/>
    <cellStyle name="Style 93" xfId="269" xr:uid="{00000000-0005-0000-0000-000006140000}"/>
    <cellStyle name="Style 94" xfId="270" xr:uid="{00000000-0005-0000-0000-000007140000}"/>
    <cellStyle name="Style 95" xfId="271" xr:uid="{00000000-0005-0000-0000-000008140000}"/>
    <cellStyle name="Style 96" xfId="272" xr:uid="{00000000-0005-0000-0000-000009140000}"/>
    <cellStyle name="Style 97" xfId="273" xr:uid="{00000000-0005-0000-0000-00000A140000}"/>
    <cellStyle name="Style 98" xfId="274" xr:uid="{00000000-0005-0000-0000-00000B140000}"/>
    <cellStyle name="Style 99" xfId="275" xr:uid="{00000000-0005-0000-0000-00000C140000}"/>
    <cellStyle name="Style D green" xfId="601" xr:uid="{00000000-0005-0000-0000-00000D140000}"/>
    <cellStyle name="Style E" xfId="602" xr:uid="{00000000-0005-0000-0000-00000E140000}"/>
    <cellStyle name="Style H" xfId="603" xr:uid="{00000000-0005-0000-0000-00000F140000}"/>
    <cellStyle name="Sub - Style3" xfId="5190" xr:uid="{00000000-0005-0000-0000-000010140000}"/>
    <cellStyle name="Sub total" xfId="604" xr:uid="{00000000-0005-0000-0000-000011140000}"/>
    <cellStyle name="subheading" xfId="5191" xr:uid="{00000000-0005-0000-0000-000012140000}"/>
    <cellStyle name="SubTotal" xfId="5192" xr:uid="{00000000-0005-0000-0000-000013140000}"/>
    <cellStyle name="SubtotalData" xfId="5193" xr:uid="{00000000-0005-0000-0000-000014140000}"/>
    <cellStyle name="Sum" xfId="605" xr:uid="{00000000-0005-0000-0000-000015140000}"/>
    <cellStyle name="Swiss" xfId="606" xr:uid="{00000000-0005-0000-0000-000016140000}"/>
    <cellStyle name="Synopsis" xfId="5194" xr:uid="{00000000-0005-0000-0000-000017140000}"/>
    <cellStyle name="t" xfId="607" xr:uid="{00000000-0005-0000-0000-000018140000}"/>
    <cellStyle name="Table end" xfId="608" xr:uid="{00000000-0005-0000-0000-000019140000}"/>
    <cellStyle name="Table head" xfId="609" xr:uid="{00000000-0005-0000-0000-00001A140000}"/>
    <cellStyle name="Table Head Aligned" xfId="5195" xr:uid="{00000000-0005-0000-0000-00001B140000}"/>
    <cellStyle name="Table Head Blue" xfId="5196" xr:uid="{00000000-0005-0000-0000-00001C140000}"/>
    <cellStyle name="Table Head Green" xfId="5197" xr:uid="{00000000-0005-0000-0000-00001D140000}"/>
    <cellStyle name="Table Head_ACCC" xfId="5198" xr:uid="{00000000-0005-0000-0000-00001E140000}"/>
    <cellStyle name="Table Heading" xfId="5199" xr:uid="{00000000-0005-0000-0000-00001F140000}"/>
    <cellStyle name="Table Source" xfId="5200" xr:uid="{00000000-0005-0000-0000-000020140000}"/>
    <cellStyle name="Table Text" xfId="5201" xr:uid="{00000000-0005-0000-0000-000021140000}"/>
    <cellStyle name="table text bold" xfId="610" xr:uid="{00000000-0005-0000-0000-000022140000}"/>
    <cellStyle name="table text bold green" xfId="611" xr:uid="{00000000-0005-0000-0000-000023140000}"/>
    <cellStyle name="table text bold_BS" xfId="5202" xr:uid="{00000000-0005-0000-0000-000024140000}"/>
    <cellStyle name="table text light" xfId="612" xr:uid="{00000000-0005-0000-0000-000025140000}"/>
    <cellStyle name="Table Title" xfId="613" xr:uid="{00000000-0005-0000-0000-000026140000}"/>
    <cellStyle name="Table Units" xfId="614" xr:uid="{00000000-0005-0000-0000-000027140000}"/>
    <cellStyle name="TableBody" xfId="5203" xr:uid="{00000000-0005-0000-0000-000028140000}"/>
    <cellStyle name="TableBodyR" xfId="5204" xr:uid="{00000000-0005-0000-0000-000029140000}"/>
    <cellStyle name="TableColHeads" xfId="5205" xr:uid="{00000000-0005-0000-0000-00002A140000}"/>
    <cellStyle name="Text" xfId="5206" xr:uid="{00000000-0005-0000-0000-00002B140000}"/>
    <cellStyle name="Text _Titles" xfId="5207" xr:uid="{00000000-0005-0000-0000-00002C140000}"/>
    <cellStyle name="Text 1" xfId="5208" xr:uid="{00000000-0005-0000-0000-00002D140000}"/>
    <cellStyle name="Text 2" xfId="5209" xr:uid="{00000000-0005-0000-0000-00002E140000}"/>
    <cellStyle name="Text Head" xfId="5210" xr:uid="{00000000-0005-0000-0000-00002F140000}"/>
    <cellStyle name="Text Head 1" xfId="5211" xr:uid="{00000000-0005-0000-0000-000030140000}"/>
    <cellStyle name="Text Head 2" xfId="5212" xr:uid="{00000000-0005-0000-0000-000031140000}"/>
    <cellStyle name="Text Head_" xfId="5213" xr:uid="{00000000-0005-0000-0000-000032140000}"/>
    <cellStyle name="Text Indent 1" xfId="5214" xr:uid="{00000000-0005-0000-0000-000033140000}"/>
    <cellStyle name="Text Indent 2" xfId="5215" xr:uid="{00000000-0005-0000-0000-000034140000}"/>
    <cellStyle name="Text Indent A" xfId="5216" xr:uid="{00000000-0005-0000-0000-000035140000}"/>
    <cellStyle name="Text Indent B" xfId="5217" xr:uid="{00000000-0005-0000-0000-000036140000}"/>
    <cellStyle name="Text Indent C" xfId="5218" xr:uid="{00000000-0005-0000-0000-000037140000}"/>
    <cellStyle name="Text_2344 Fab4 &amp; 5" xfId="5219" xr:uid="{00000000-0005-0000-0000-000038140000}"/>
    <cellStyle name="textbold" xfId="5220" xr:uid="{00000000-0005-0000-0000-000039140000}"/>
    <cellStyle name="Text-fin statements" xfId="5221" xr:uid="{00000000-0005-0000-0000-00003A140000}"/>
    <cellStyle name="Thom's Models" xfId="5222" xr:uid="{00000000-0005-0000-0000-00003B140000}"/>
    <cellStyle name="Time" xfId="615" xr:uid="{00000000-0005-0000-0000-00003C140000}"/>
    <cellStyle name="Times" xfId="5223" xr:uid="{00000000-0005-0000-0000-00003D140000}"/>
    <cellStyle name="Title - PROJECT" xfId="616" xr:uid="{00000000-0005-0000-0000-00003E140000}"/>
    <cellStyle name="Title - Underline" xfId="617" xr:uid="{00000000-0005-0000-0000-00003F140000}"/>
    <cellStyle name="Title 2" xfId="5224" xr:uid="{00000000-0005-0000-0000-000040140000}"/>
    <cellStyle name="Title Line" xfId="5225" xr:uid="{00000000-0005-0000-0000-000041140000}"/>
    <cellStyle name="Title1" xfId="618" xr:uid="{00000000-0005-0000-0000-000042140000}"/>
    <cellStyle name="Title2" xfId="619" xr:uid="{00000000-0005-0000-0000-000043140000}"/>
    <cellStyle name="Titles" xfId="5226" xr:uid="{00000000-0005-0000-0000-000044140000}"/>
    <cellStyle name="Titles - Col. Headings" xfId="620" xr:uid="{00000000-0005-0000-0000-000045140000}"/>
    <cellStyle name="Titles - Other" xfId="621" xr:uid="{00000000-0005-0000-0000-000046140000}"/>
    <cellStyle name="Titulo fecha 2" xfId="5227" xr:uid="{00000000-0005-0000-0000-000047140000}"/>
    <cellStyle name="Titulos Fecha" xfId="5228" xr:uid="{00000000-0005-0000-0000-000048140000}"/>
    <cellStyle name="TOC 1" xfId="5229" xr:uid="{00000000-0005-0000-0000-000049140000}"/>
    <cellStyle name="TOC 2" xfId="5230" xr:uid="{00000000-0005-0000-0000-00004A140000}"/>
    <cellStyle name="Top Line" xfId="5231" xr:uid="{00000000-0005-0000-0000-00004B140000}"/>
    <cellStyle name="Top Row" xfId="5232" xr:uid="{00000000-0005-0000-0000-00004C140000}"/>
    <cellStyle name="Total 2" xfId="5233" xr:uid="{00000000-0005-0000-0000-00004D140000}"/>
    <cellStyle name="Total Currency" xfId="5234" xr:uid="{00000000-0005-0000-0000-00004E140000}"/>
    <cellStyle name="Total Normal" xfId="5235" xr:uid="{00000000-0005-0000-0000-00004F140000}"/>
    <cellStyle name="Total Row" xfId="5236" xr:uid="{00000000-0005-0000-0000-000050140000}"/>
    <cellStyle name="TotalCurrency" xfId="5237" xr:uid="{00000000-0005-0000-0000-000051140000}"/>
    <cellStyle name="Totals" xfId="5238" xr:uid="{00000000-0005-0000-0000-000052140000}"/>
    <cellStyle name="u" xfId="5239" xr:uid="{00000000-0005-0000-0000-000053140000}"/>
    <cellStyle name="u_AUO consolidated 2004_02" xfId="5240" xr:uid="{00000000-0005-0000-0000-000054140000}"/>
    <cellStyle name="u_AUO forecast (GQ)2005_03" xfId="5241" xr:uid="{00000000-0005-0000-0000-000055140000}"/>
    <cellStyle name="u_blank industrial template - new" xfId="5242" xr:uid="{00000000-0005-0000-0000-000056140000}"/>
    <cellStyle name="u_BS" xfId="5243" xr:uid="{00000000-0005-0000-0000-000057140000}"/>
    <cellStyle name="u_BS_200869 sz - historical" xfId="5244" xr:uid="{00000000-0005-0000-0000-000058140000}"/>
    <cellStyle name="u_BS_600519.SS" xfId="5245" xr:uid="{00000000-0005-0000-0000-000059140000}"/>
    <cellStyle name="u_BS_China Foods (506.HK)" xfId="5246" xr:uid="{00000000-0005-0000-0000-00005A140000}"/>
    <cellStyle name="u_BS_COFCO (506.HK)" xfId="5247" xr:uid="{00000000-0005-0000-0000-00005B140000}"/>
    <cellStyle name="u_BS_COFCO (506.HK)_after spinoff" xfId="5248" xr:uid="{00000000-0005-0000-0000-00005C140000}"/>
    <cellStyle name="u_BS_COFCO NAV - scenario 060117" xfId="5249" xr:uid="{00000000-0005-0000-0000-00005D140000}"/>
    <cellStyle name="u_BS_COFCO_051010" xfId="5250" xr:uid="{00000000-0005-0000-0000-00005E140000}"/>
    <cellStyle name="u_BS_COFCO_backup" xfId="5251" xr:uid="{00000000-0005-0000-0000-00005F140000}"/>
    <cellStyle name="u_Cheng Shin Model" xfId="5252" xr:uid="{00000000-0005-0000-0000-000060140000}"/>
    <cellStyle name="u_Cost of capital" xfId="5253" xr:uid="{00000000-0005-0000-0000-000061140000}"/>
    <cellStyle name="u_Novatek forecast 280404" xfId="5254" xr:uid="{00000000-0005-0000-0000-000062140000}"/>
    <cellStyle name="u_Yifan template 2" xfId="5255" xr:uid="{00000000-0005-0000-0000-000063140000}"/>
    <cellStyle name="u_Yifan template 2_200869 sz - historical" xfId="5256" xr:uid="{00000000-0005-0000-0000-000064140000}"/>
    <cellStyle name="u_Yifan template 2_600519.SS" xfId="5257" xr:uid="{00000000-0005-0000-0000-000065140000}"/>
    <cellStyle name="u_Yifan template 2_China Foods (506.HK)" xfId="5258" xr:uid="{00000000-0005-0000-0000-000066140000}"/>
    <cellStyle name="u_Yifan template 2_COFCO (506.HK)" xfId="5259" xr:uid="{00000000-0005-0000-0000-000067140000}"/>
    <cellStyle name="u_Yifan template 2_COFCO (506.HK)_after spinoff" xfId="5260" xr:uid="{00000000-0005-0000-0000-000068140000}"/>
    <cellStyle name="u_Yifan template 2_COFCO NAV - scenario 060117" xfId="5261" xr:uid="{00000000-0005-0000-0000-000069140000}"/>
    <cellStyle name="u_Yifan template 2_COFCO_051010" xfId="5262" xr:uid="{00000000-0005-0000-0000-00006A140000}"/>
    <cellStyle name="u_Yifan template 2_COFCO_backup" xfId="5263" xr:uid="{00000000-0005-0000-0000-00006B140000}"/>
    <cellStyle name="Underline_Double" xfId="5264" xr:uid="{00000000-0005-0000-0000-00006C140000}"/>
    <cellStyle name="UnLocked" xfId="5265" xr:uid="{00000000-0005-0000-0000-00006D140000}"/>
    <cellStyle name="unm" xfId="622" xr:uid="{00000000-0005-0000-0000-00006E140000}"/>
    <cellStyle name="UnProtectedCalc" xfId="5266" xr:uid="{00000000-0005-0000-0000-00006F140000}"/>
    <cellStyle name="Upload Only" xfId="5267" xr:uid="{00000000-0005-0000-0000-000070140000}"/>
    <cellStyle name="US$ [0]" xfId="5268" xr:uid="{00000000-0005-0000-0000-000071140000}"/>
    <cellStyle name="Use_1dp" xfId="5269" xr:uid="{00000000-0005-0000-0000-000072140000}"/>
    <cellStyle name="UseB_1dp" xfId="5270" xr:uid="{00000000-0005-0000-0000-000073140000}"/>
    <cellStyle name="WhiteCells" xfId="5271" xr:uid="{00000000-0005-0000-0000-000074140000}"/>
    <cellStyle name="Y/N" xfId="5272" xr:uid="{00000000-0005-0000-0000-000075140000}"/>
    <cellStyle name="Year" xfId="623" xr:uid="{00000000-0005-0000-0000-000076140000}"/>
    <cellStyle name="Year2" xfId="5273" xr:uid="{00000000-0005-0000-0000-000077140000}"/>
    <cellStyle name="YearEnd" xfId="5274" xr:uid="{00000000-0005-0000-0000-000078140000}"/>
    <cellStyle name="Years" xfId="624" xr:uid="{00000000-0005-0000-0000-000079140000}"/>
    <cellStyle name="yyyy" xfId="5275" xr:uid="{00000000-0005-0000-0000-00007A140000}"/>
    <cellStyle name="遽_laroux" xfId="5276" xr:uid="{00000000-0005-0000-0000-00007B140000}"/>
    <cellStyle name="표준_IR자료" xfId="5277" xr:uid="{00000000-0005-0000-0000-00007C140000}"/>
    <cellStyle name="一般_2388_110102_2nd" xfId="5278" xr:uid="{00000000-0005-0000-0000-00007D140000}"/>
    <cellStyle name="一般_Realtek Model-wip-Rob" xfId="276" xr:uid="{00000000-0005-0000-0000-00007E140000}"/>
    <cellStyle name="中文字型" xfId="5279" xr:uid="{00000000-0005-0000-0000-00007F140000}"/>
    <cellStyle name="代碼格式" xfId="5280" xr:uid="{00000000-0005-0000-0000-000080140000}"/>
    <cellStyle name="個位金額" xfId="5281" xr:uid="{00000000-0005-0000-0000-000081140000}"/>
    <cellStyle name="個位金額－貨幣" xfId="5282" xr:uid="{00000000-0005-0000-0000-000082140000}"/>
    <cellStyle name="千位分隔 16" xfId="277" xr:uid="{00000000-0005-0000-0000-000083140000}"/>
    <cellStyle name="千位分隔 17" xfId="278" xr:uid="{00000000-0005-0000-0000-000084140000}"/>
    <cellStyle name="千位分隔 18" xfId="279" xr:uid="{00000000-0005-0000-0000-000085140000}"/>
    <cellStyle name="千位分隔 19" xfId="280" xr:uid="{00000000-0005-0000-0000-000086140000}"/>
    <cellStyle name="千位分隔_2319 HK" xfId="5283" xr:uid="{00000000-0005-0000-0000-000087140000}"/>
    <cellStyle name="千元金額" xfId="5284" xr:uid="{00000000-0005-0000-0000-000088140000}"/>
    <cellStyle name="千元金額－貨幣" xfId="5285" xr:uid="{00000000-0005-0000-0000-000089140000}"/>
    <cellStyle name="千分位[0]_2839.xls 圖表 1" xfId="5286" xr:uid="{00000000-0005-0000-0000-00008A140000}"/>
    <cellStyle name="千分位_2839.xls 圖表 1" xfId="5287" xr:uid="{00000000-0005-0000-0000-00008B140000}"/>
    <cellStyle name="巍葆 [0]_laroux" xfId="5288" xr:uid="{00000000-0005-0000-0000-00008C140000}"/>
    <cellStyle name="巍葆_laroux" xfId="5289" xr:uid="{00000000-0005-0000-0000-00008D140000}"/>
    <cellStyle name="常规 10" xfId="281" xr:uid="{00000000-0005-0000-0000-00008E140000}"/>
    <cellStyle name="常规 11" xfId="282" xr:uid="{00000000-0005-0000-0000-00008F140000}"/>
    <cellStyle name="常规 12" xfId="283" xr:uid="{00000000-0005-0000-0000-000090140000}"/>
    <cellStyle name="常规 13" xfId="284" xr:uid="{00000000-0005-0000-0000-000091140000}"/>
    <cellStyle name="常规 14" xfId="285" xr:uid="{00000000-0005-0000-0000-000092140000}"/>
    <cellStyle name="常规 16" xfId="286" xr:uid="{00000000-0005-0000-0000-000093140000}"/>
    <cellStyle name="常规 17" xfId="287" xr:uid="{00000000-0005-0000-0000-000094140000}"/>
    <cellStyle name="常规 18" xfId="288" xr:uid="{00000000-0005-0000-0000-000095140000}"/>
    <cellStyle name="常规 2" xfId="289" xr:uid="{00000000-0005-0000-0000-000096140000}"/>
    <cellStyle name="常规 2 2" xfId="290" xr:uid="{00000000-0005-0000-0000-000097140000}"/>
    <cellStyle name="常规 2 3" xfId="291" xr:uid="{00000000-0005-0000-0000-000098140000}"/>
    <cellStyle name="常规 2 4" xfId="292" xr:uid="{00000000-0005-0000-0000-000099140000}"/>
    <cellStyle name="常规 2 5" xfId="293" xr:uid="{00000000-0005-0000-0000-00009A140000}"/>
    <cellStyle name="常规 2 6" xfId="294" xr:uid="{00000000-0005-0000-0000-00009B140000}"/>
    <cellStyle name="常规 2 6 2" xfId="295" xr:uid="{00000000-0005-0000-0000-00009C140000}"/>
    <cellStyle name="常规 2 7" xfId="296" xr:uid="{00000000-0005-0000-0000-00009D140000}"/>
    <cellStyle name="常规 3" xfId="297" xr:uid="{00000000-0005-0000-0000-00009E140000}"/>
    <cellStyle name="常规 7" xfId="298" xr:uid="{00000000-0005-0000-0000-00009F140000}"/>
    <cellStyle name="常规 8" xfId="299" xr:uid="{00000000-0005-0000-0000-0000A0140000}"/>
    <cellStyle name="常规 9" xfId="300" xr:uid="{00000000-0005-0000-0000-0000A1140000}"/>
    <cellStyle name="常规_000858_040621" xfId="5290" xr:uid="{00000000-0005-0000-0000-0000A2140000}"/>
    <cellStyle name="常规_国信证券盈利预测及估值模型新会计准则——黄山旅游（20081110）" xfId="301" xr:uid="{00000000-0005-0000-0000-0000A3140000}"/>
    <cellStyle name="年資料" xfId="5291" xr:uid="{00000000-0005-0000-0000-0000A4140000}"/>
    <cellStyle name="样式 1" xfId="302" xr:uid="{00000000-0005-0000-0000-0000A5140000}"/>
    <cellStyle name="样式 2" xfId="303" xr:uid="{00000000-0005-0000-0000-0000A6140000}"/>
    <cellStyle name="桁区切り_ADSL forecast" xfId="5292" xr:uid="{00000000-0005-0000-0000-0000A7140000}"/>
    <cellStyle name="標準_ADSL forecast" xfId="5293" xr:uid="{00000000-0005-0000-0000-0000A8140000}"/>
    <cellStyle name="標題" xfId="5294" xr:uid="{00000000-0005-0000-0000-0000A9140000}"/>
    <cellStyle name="百分比 12" xfId="304" xr:uid="{00000000-0005-0000-0000-0000AA140000}"/>
    <cellStyle name="百分比 13" xfId="305" xr:uid="{00000000-0005-0000-0000-0000AB140000}"/>
    <cellStyle name="百分比 2" xfId="306" xr:uid="{00000000-0005-0000-0000-0000AC140000}"/>
    <cellStyle name="百分比 2 2" xfId="307" xr:uid="{00000000-0005-0000-0000-0000AD140000}"/>
    <cellStyle name="百分比 2 3" xfId="308" xr:uid="{00000000-0005-0000-0000-0000AE140000}"/>
    <cellStyle name="百分比 3" xfId="309" xr:uid="{00000000-0005-0000-0000-0000AF140000}"/>
    <cellStyle name="百分比 4" xfId="310" xr:uid="{00000000-0005-0000-0000-0000B0140000}"/>
    <cellStyle name="百分比 5" xfId="311" xr:uid="{00000000-0005-0000-0000-0000B1140000}"/>
    <cellStyle name="百分比 7" xfId="312" xr:uid="{00000000-0005-0000-0000-0000B2140000}"/>
    <cellStyle name="百分比－貨幣" xfId="5295" xr:uid="{00000000-0005-0000-0000-0000B3140000}"/>
    <cellStyle name="英文字型" xfId="5296" xr:uid="{00000000-0005-0000-0000-0000B4140000}"/>
    <cellStyle name="貨幣 [0]_2839.xls 圖表 1" xfId="5297" xr:uid="{00000000-0005-0000-0000-0000B5140000}"/>
    <cellStyle name="貨幣[0]_laroux" xfId="5298" xr:uid="{00000000-0005-0000-0000-0000B6140000}"/>
    <cellStyle name="貨幣_2839.xls 圖表 1" xfId="5299" xr:uid="{00000000-0005-0000-0000-0000B7140000}"/>
    <cellStyle name="超連結" xfId="5300" xr:uid="{00000000-0005-0000-0000-0000B8140000}"/>
    <cellStyle name="隨後的超連結" xfId="5301" xr:uid="{00000000-0005-0000-0000-0000B9140000}"/>
    <cellStyle name="鱔 [0]_laroux" xfId="5302" xr:uid="{00000000-0005-0000-0000-0000BA140000}"/>
    <cellStyle name="鱔_laroux" xfId="5303" xr:uid="{00000000-0005-0000-0000-0000BB140000}"/>
  </cellStyles>
  <dxfs count="5"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1" defaultTableStyle="TableStyleMedium2" defaultPivotStyle="PivotStyleLight16">
    <tableStyle name="Invisible" pivot="0" table="0" count="0" xr9:uid="{748E1608-3FE2-4F99-9C96-776C302AEEF5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5E76AA"/>
      <rgbColor rgb="00CFD6E6"/>
      <rgbColor rgb="009EADCC"/>
      <rgbColor rgb="00EFF1F6"/>
      <rgbColor rgb="00BFC8DD"/>
      <rgbColor rgb="008E9FC4"/>
      <rgbColor rgb="00DFE4EE"/>
      <rgbColor rgb="00AEBAD5"/>
      <rgbColor rgb="00000000"/>
      <rgbColor rgb="00AAAAAA"/>
      <rgbColor rgb="00444444"/>
      <rgbColor rgb="00CCCCCC"/>
      <rgbColor rgb="00888888"/>
      <rgbColor rgb="00666666"/>
      <rgbColor rgb="00EEEEEE"/>
      <rgbColor rgb="00222222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09A75C"/>
      <color rgb="FF0ABA66"/>
      <color rgb="FFACD4F1"/>
      <color rgb="FFFCD4C4"/>
      <color rgb="FF81D5B3"/>
      <color rgb="FF00355F"/>
      <color rgb="FFFFFFCC"/>
      <color rgb="FF87C346"/>
      <color rgb="FF0785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querytool.functions">
      <tp t="e">
        <v>#N/A</v>
        <stp/>
        <stp>Keyword</stp>
        <stp>68fbadc8-4bd3-44b2-8293-3141aa923abd</stp>
        <stp>605499.SS</stp>
        <stp>COMPANY_NAME</stp>
        <stp/>
        <stp/>
        <stp/>
        <stp>ENG</stp>
        <stp>TEAM ANALYSIS</stp>
        <tr r="A12" s="6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188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Relationship Id="rId27" Type="http://schemas.openxmlformats.org/officeDocument/2006/relationships/volatileDependencies" Target="volatileDependencies.xml"/></Relationships>
</file>

<file path=xl/activeX/activeX1.xml><?xml version="1.0" encoding="utf-8"?>
<ax:ocx xmlns:ax="http://schemas.microsoft.com/office/2006/activeX" xmlns:r="http://schemas.openxmlformats.org/officeDocument/2006/relationships" ax:classid="{59DC45F5-F19A-11D2-A98A-0004AC83E4DD}" ax:persistence="persistPropertyBag">
  <ax:ocxPr ax:name="_ExtentX" ax:value="1720"/>
  <ax:ocxPr ax:name="_ExtentY" ax:value="450"/>
  <ax:ocxPr ax:name="RequestType" ax:value="1"/>
  <ax:ocxPr ax:name="Format" ax:value="RCHED"/>
  <ax:ocxPr ax:name="NumRows" ax:value="3"/>
  <ax:ocxPr ax:name="NumCols" ax:value="3"/>
  <ax:ocxPr ax:name="AutoRefresh" ax:value="0"/>
  <ax:ocxPr ax:name="LastRefreshed" ax:value="1/26/2018 3:30:33 PM"/>
  <ax:ocxPr ax:name="MSChart" ax:value="0"/>
  <ax:ocxPr ax:name="SeriesCode" ax:value="CN:FHT"/>
  <ax:ocxPr ax:name="DataTypes" ax:value="X~U$,X(WC05301)"/>
  <ax:ocxPr ax:name="DateLiteral1" ax:value=" "/>
  <ax:ocxPr ax:name="Font">
    <ax:font ax:persistence="persistPropertyBag">
      <ax:ocxPr ax:name="Name" ax:value="MS Sans Serif"/>
      <ax:ocxPr ax:name="Size" ax:value="8.2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Origin" ax:value="A1"/>
  <ax:ocxPr ax:name="TriggerAt" ax:value=""/>
  <ax:ocxPr ax:name="CodesSection" ax:value=""/>
  <ax:ocxPr ax:name="DataTypesSection" ax:value=""/>
  <ax:ocxPr ax:name="WriteILXSection" ax:value="0"/>
  <ax:ocxPr ax:name="AcceptILXSection" ax:value="0"/>
  <ax:ocxPr ax:name="CellReferenceForm" ax:value="1"/>
</ax:ocx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903105861767273E-2"/>
          <c:y val="0.15722543352601157"/>
          <c:w val="0.87154133858267713"/>
          <c:h val="0.5728136179509353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ACD4F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Segment!#REF!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Segment!#REF!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Segment!#REF!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F1D-43E1-9DC7-7624D800DBCE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Segment!#REF!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Segment!#REF!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Segment!#REF!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F1D-43E1-9DC7-7624D800DBC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950612496"/>
        <c:axId val="950610576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rgbClr val="00355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355F"/>
              </a:solidFill>
              <a:ln w="9525">
                <a:solidFill>
                  <a:srgbClr val="00355F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Segment!#REF!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Segment!#REF!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Segment!#REF!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F1D-43E1-9DC7-7624D800DBC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9986527"/>
        <c:axId val="859974527"/>
      </c:lineChart>
      <c:catAx>
        <c:axId val="95061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610576"/>
        <c:crosses val="autoZero"/>
        <c:auto val="1"/>
        <c:lblAlgn val="ctr"/>
        <c:lblOffset val="100"/>
        <c:noMultiLvlLbl val="0"/>
      </c:catAx>
      <c:valAx>
        <c:axId val="950610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50612496"/>
        <c:crosses val="autoZero"/>
        <c:crossBetween val="between"/>
      </c:valAx>
      <c:valAx>
        <c:axId val="859974527"/>
        <c:scaling>
          <c:orientation val="minMax"/>
          <c:max val="0.60000000000000009"/>
          <c:min val="-0.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9986527"/>
        <c:crosses val="max"/>
        <c:crossBetween val="between"/>
      </c:valAx>
      <c:catAx>
        <c:axId val="8599865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99745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altLang="zh-CN" sz="1000" baseline="0"/>
              <a:t>R</a:t>
            </a:r>
            <a:r>
              <a:rPr lang="en-US" altLang="zh-CN" sz="1000"/>
              <a:t>evenue by segment (Rmb mn)</a:t>
            </a:r>
            <a:endParaRPr lang="en-US" sz="1000"/>
          </a:p>
        </c:rich>
      </c:tx>
      <c:layout>
        <c:manualLayout>
          <c:xMode val="edge"/>
          <c:yMode val="edge"/>
          <c:x val="1.0996929036606073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Quarterly!$AH$124</c:f>
              <c:strCache>
                <c:ptCount val="1"/>
              </c:strCache>
            </c:strRef>
          </c:tx>
          <c:spPr>
            <a:solidFill>
              <a:srgbClr val="ACD4F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Quarterly!$AI$124:$AN$124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Quarterly!$AI$123:$AN$123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854-42F2-BB8C-FE693CEA971D}"/>
            </c:ext>
          </c:extLst>
        </c:ser>
        <c:ser>
          <c:idx val="1"/>
          <c:order val="1"/>
          <c:tx>
            <c:strRef>
              <c:f>Quarterly!$AH$125</c:f>
              <c:strCache>
                <c:ptCount val="1"/>
              </c:strCache>
            </c:strRef>
          </c:tx>
          <c:spPr>
            <a:solidFill>
              <a:srgbClr val="00355F"/>
            </a:solidFill>
            <a:ln>
              <a:noFill/>
            </a:ln>
            <a:effectLst/>
          </c:spPr>
          <c:invertIfNegative val="0"/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854-42F2-BB8C-FE693CEA971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854-42F2-BB8C-FE693CEA971D}"/>
                </c:ext>
              </c:extLst>
            </c:dLbl>
            <c:spPr>
              <a:solidFill>
                <a:srgbClr val="00355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Quarterly!$AI$125:$AN$125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Quarterly!$AI$123:$AN$123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F854-42F2-BB8C-FE693CEA971D}"/>
            </c:ext>
          </c:extLst>
        </c:ser>
        <c:ser>
          <c:idx val="2"/>
          <c:order val="2"/>
          <c:tx>
            <c:strRef>
              <c:f>Quarterly!$AH$126</c:f>
              <c:strCache>
                <c:ptCount val="1"/>
              </c:strCache>
            </c:strRef>
          </c:tx>
          <c:spPr>
            <a:solidFill>
              <a:srgbClr val="87C34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Quarterly!$AI$126:$AN$126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Quarterly!$AI$123:$AN$123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F854-42F2-BB8C-FE693CEA97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886857135"/>
        <c:axId val="886857615"/>
      </c:barChart>
      <c:catAx>
        <c:axId val="88685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86857615"/>
        <c:crosses val="autoZero"/>
        <c:auto val="1"/>
        <c:lblAlgn val="ctr"/>
        <c:lblOffset val="100"/>
        <c:noMultiLvlLbl val="0"/>
      </c:catAx>
      <c:valAx>
        <c:axId val="88685761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8685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1968446550866178E-2"/>
          <c:y val="0.9249169173463736"/>
          <c:w val="0.7006409222247868"/>
          <c:h val="6.67169945057677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903804109502001E-2"/>
          <c:y val="0.1129410978000104"/>
          <c:w val="0.71578023350405928"/>
          <c:h val="0.703301249335906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Quarterly!$AH$124</c:f>
              <c:strCache>
                <c:ptCount val="1"/>
              </c:strCache>
            </c:strRef>
          </c:tx>
          <c:spPr>
            <a:solidFill>
              <a:srgbClr val="ACD4F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Quarterly!$AP$124:$AQ$124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Quarterly!$AP$123:$AQ$123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0A0-4BDE-9D3B-A5006F6590A1}"/>
            </c:ext>
          </c:extLst>
        </c:ser>
        <c:ser>
          <c:idx val="1"/>
          <c:order val="1"/>
          <c:tx>
            <c:strRef>
              <c:f>Quarterly!$AH$125</c:f>
              <c:strCache>
                <c:ptCount val="1"/>
              </c:strCache>
            </c:strRef>
          </c:tx>
          <c:spPr>
            <a:solidFill>
              <a:srgbClr val="00355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Quarterly!$AP$125:$AQ$125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Quarterly!$AP$123:$AQ$123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A0A0-4BDE-9D3B-A5006F6590A1}"/>
            </c:ext>
          </c:extLst>
        </c:ser>
        <c:ser>
          <c:idx val="2"/>
          <c:order val="2"/>
          <c:tx>
            <c:strRef>
              <c:f>Quarterly!$AH$126</c:f>
              <c:strCache>
                <c:ptCount val="1"/>
              </c:strCache>
            </c:strRef>
          </c:tx>
          <c:spPr>
            <a:solidFill>
              <a:srgbClr val="87C34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Quarterly!$AP$126:$AQ$126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Quarterly!$AP$123:$AQ$123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A0A0-4BDE-9D3B-A5006F6590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886857135"/>
        <c:axId val="886857615"/>
      </c:barChart>
      <c:catAx>
        <c:axId val="88685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86857615"/>
        <c:crosses val="autoZero"/>
        <c:auto val="1"/>
        <c:lblAlgn val="ctr"/>
        <c:lblOffset val="100"/>
        <c:noMultiLvlLbl val="0"/>
      </c:catAx>
      <c:valAx>
        <c:axId val="886857615"/>
        <c:scaling>
          <c:orientation val="minMax"/>
          <c:max val="9000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88685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53125236187741"/>
          <c:y val="0.11294120437022186"/>
          <c:w val="0.8253698862910771"/>
          <c:h val="0.703301249335906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Quarterly!$AH$124</c:f>
              <c:strCache>
                <c:ptCount val="1"/>
              </c:strCache>
            </c:strRef>
          </c:tx>
          <c:spPr>
            <a:solidFill>
              <a:srgbClr val="ACD4F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Quarterly!$AS$124:$AV$124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Quarterly!$AS$123:$AV$123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0A0-4BDE-9D3B-A5006F6590A1}"/>
            </c:ext>
          </c:extLst>
        </c:ser>
        <c:ser>
          <c:idx val="1"/>
          <c:order val="1"/>
          <c:tx>
            <c:strRef>
              <c:f>Quarterly!$AH$125</c:f>
              <c:strCache>
                <c:ptCount val="1"/>
              </c:strCache>
            </c:strRef>
          </c:tx>
          <c:spPr>
            <a:solidFill>
              <a:srgbClr val="00355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Quarterly!$AS$125:$AV$125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Quarterly!$AS$123:$AV$123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A0A0-4BDE-9D3B-A5006F6590A1}"/>
            </c:ext>
          </c:extLst>
        </c:ser>
        <c:ser>
          <c:idx val="2"/>
          <c:order val="2"/>
          <c:tx>
            <c:strRef>
              <c:f>Quarterly!$AH$126</c:f>
              <c:strCache>
                <c:ptCount val="1"/>
              </c:strCache>
            </c:strRef>
          </c:tx>
          <c:spPr>
            <a:solidFill>
              <a:srgbClr val="87C34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Quarterly!$AS$126:$AV$126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Quarterly!$AS$123:$AV$123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A0A0-4BDE-9D3B-A5006F6590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886857135"/>
        <c:axId val="886857615"/>
      </c:barChart>
      <c:catAx>
        <c:axId val="88685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86857615"/>
        <c:crosses val="autoZero"/>
        <c:auto val="1"/>
        <c:lblAlgn val="ctr"/>
        <c:lblOffset val="100"/>
        <c:noMultiLvlLbl val="0"/>
      </c:catAx>
      <c:valAx>
        <c:axId val="88685761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8685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Breakdown!$C$22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Breakdown!$D$21:$N$21</c:f>
              <c:strCache>
                <c:ptCount val="6"/>
                <c:pt idx="0">
                  <c:v>2023</c:v>
                </c:pt>
                <c:pt idx="1">
                  <c:v>2024E</c:v>
                </c:pt>
                <c:pt idx="2">
                  <c:v>2025E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</c:strCache>
            </c:strRef>
          </c:cat>
          <c:val>
            <c:numRef>
              <c:f>Breakdown!$D$22:$N$22</c:f>
              <c:numCache>
                <c:formatCode>_(* #,##0_);_(* \(#,##0\);_(* "-"??_);_(@_)</c:formatCode>
                <c:ptCount val="6"/>
                <c:pt idx="0">
                  <c:v>832.70118037513589</c:v>
                </c:pt>
                <c:pt idx="1">
                  <c:v>901.24384799387565</c:v>
                </c:pt>
                <c:pt idx="2">
                  <c:v>896.22222318644492</c:v>
                </c:pt>
                <c:pt idx="3">
                  <c:v>900.31702816067991</c:v>
                </c:pt>
                <c:pt idx="4">
                  <c:v>912.96577712537737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0-4D9A-B8F2-B38CFC816481}"/>
            </c:ext>
          </c:extLst>
        </c:ser>
        <c:ser>
          <c:idx val="2"/>
          <c:order val="2"/>
          <c:tx>
            <c:strRef>
              <c:f>Breakdown!$C$24</c:f>
              <c:strCache>
                <c:ptCount val="1"/>
                <c:pt idx="0">
                  <c:v>Raw material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Breakdown!$D$21:$N$21</c:f>
              <c:strCache>
                <c:ptCount val="6"/>
                <c:pt idx="0">
                  <c:v>2023</c:v>
                </c:pt>
                <c:pt idx="1">
                  <c:v>2024E</c:v>
                </c:pt>
                <c:pt idx="2">
                  <c:v>2025E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</c:strCache>
            </c:strRef>
          </c:cat>
          <c:val>
            <c:numRef>
              <c:f>Breakdown!$D$24:$N$24</c:f>
              <c:numCache>
                <c:formatCode>_(* #,##0_);_(* \(#,##0\);_(* "-"??_);_(@_)</c:formatCode>
                <c:ptCount val="6"/>
                <c:pt idx="0">
                  <c:v>1840.6755145247832</c:v>
                </c:pt>
                <c:pt idx="1">
                  <c:v>1660.4676925441265</c:v>
                </c:pt>
                <c:pt idx="2">
                  <c:v>1610.6536617678032</c:v>
                </c:pt>
                <c:pt idx="3">
                  <c:v>1594.5471251501249</c:v>
                </c:pt>
                <c:pt idx="4">
                  <c:v>1578.6016538986237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B0-4D9A-B8F2-B38CFC816481}"/>
            </c:ext>
          </c:extLst>
        </c:ser>
        <c:ser>
          <c:idx val="3"/>
          <c:order val="3"/>
          <c:tx>
            <c:strRef>
              <c:f>Breakdown!$C$25</c:f>
              <c:strCache>
                <c:ptCount val="1"/>
                <c:pt idx="0">
                  <c:v>Manufacturing and other COGS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Breakdown!$D$21:$N$21</c:f>
              <c:strCache>
                <c:ptCount val="6"/>
                <c:pt idx="0">
                  <c:v>2023</c:v>
                </c:pt>
                <c:pt idx="1">
                  <c:v>2024E</c:v>
                </c:pt>
                <c:pt idx="2">
                  <c:v>2025E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</c:strCache>
            </c:strRef>
          </c:cat>
          <c:val>
            <c:numRef>
              <c:f>Breakdown!$D$25:$N$25</c:f>
              <c:numCache>
                <c:formatCode>_(* #,##0_);_(* \(#,##0\);_(* "-"??_);_(@_)</c:formatCode>
                <c:ptCount val="6"/>
                <c:pt idx="0">
                  <c:v>403.39690590731857</c:v>
                </c:pt>
                <c:pt idx="1">
                  <c:v>412.7176224976804</c:v>
                </c:pt>
                <c:pt idx="2">
                  <c:v>296.0714721931713</c:v>
                </c:pt>
                <c:pt idx="3">
                  <c:v>234.46080386897415</c:v>
                </c:pt>
                <c:pt idx="4">
                  <c:v>218.64520708391842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B0-4D9A-B8F2-B38CFC816481}"/>
            </c:ext>
          </c:extLst>
        </c:ser>
        <c:ser>
          <c:idx val="4"/>
          <c:order val="4"/>
          <c:tx>
            <c:strRef>
              <c:f>Breakdown!$C$26</c:f>
              <c:strCache>
                <c:ptCount val="1"/>
                <c:pt idx="0">
                  <c:v>A&amp;P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Breakdown!$D$21:$N$21</c:f>
              <c:strCache>
                <c:ptCount val="6"/>
                <c:pt idx="0">
                  <c:v>2023</c:v>
                </c:pt>
                <c:pt idx="1">
                  <c:v>2024E</c:v>
                </c:pt>
                <c:pt idx="2">
                  <c:v>2025E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</c:strCache>
            </c:strRef>
          </c:cat>
          <c:val>
            <c:numRef>
              <c:f>Breakdown!$D$26:$N$26</c:f>
              <c:numCache>
                <c:formatCode>_(* #,##0_);_(* \(#,##0\);_(* "-"??_);_(@_)</c:formatCode>
                <c:ptCount val="6"/>
                <c:pt idx="0">
                  <c:v>302.28174629202306</c:v>
                </c:pt>
                <c:pt idx="1">
                  <c:v>315.85735572353099</c:v>
                </c:pt>
                <c:pt idx="2">
                  <c:v>274.76097883268926</c:v>
                </c:pt>
                <c:pt idx="3">
                  <c:v>256.13844731487006</c:v>
                </c:pt>
                <c:pt idx="4">
                  <c:v>248.23978257979604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B0-4D9A-B8F2-B38CFC816481}"/>
            </c:ext>
          </c:extLst>
        </c:ser>
        <c:ser>
          <c:idx val="5"/>
          <c:order val="5"/>
          <c:tx>
            <c:strRef>
              <c:f>Breakdown!$C$27</c:f>
              <c:strCache>
                <c:ptCount val="1"/>
                <c:pt idx="0">
                  <c:v>Sales staff cost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Breakdown!$D$21:$N$21</c:f>
              <c:strCache>
                <c:ptCount val="6"/>
                <c:pt idx="0">
                  <c:v>2023</c:v>
                </c:pt>
                <c:pt idx="1">
                  <c:v>2024E</c:v>
                </c:pt>
                <c:pt idx="2">
                  <c:v>2025E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</c:strCache>
            </c:strRef>
          </c:cat>
          <c:val>
            <c:numRef>
              <c:f>Breakdown!$D$27:$N$27</c:f>
              <c:numCache>
                <c:formatCode>_(* #,##0_);_(* \(#,##0\);_(* "-"??_);_(@_)</c:formatCode>
                <c:ptCount val="6"/>
                <c:pt idx="0">
                  <c:v>312.91200376528923</c:v>
                </c:pt>
                <c:pt idx="1">
                  <c:v>264.55867254454415</c:v>
                </c:pt>
                <c:pt idx="2">
                  <c:v>238.57040510153394</c:v>
                </c:pt>
                <c:pt idx="3">
                  <c:v>231.61351660591114</c:v>
                </c:pt>
                <c:pt idx="4">
                  <c:v>225.66205247368123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B0-4D9A-B8F2-B38CFC816481}"/>
            </c:ext>
          </c:extLst>
        </c:ser>
        <c:ser>
          <c:idx val="6"/>
          <c:order val="6"/>
          <c:tx>
            <c:strRef>
              <c:f>Breakdown!$C$28</c:f>
              <c:strCache>
                <c:ptCount val="1"/>
                <c:pt idx="0">
                  <c:v>Other Selling exp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Breakdown!$D$21:$N$21</c:f>
              <c:strCache>
                <c:ptCount val="6"/>
                <c:pt idx="0">
                  <c:v>2023</c:v>
                </c:pt>
                <c:pt idx="1">
                  <c:v>2024E</c:v>
                </c:pt>
                <c:pt idx="2">
                  <c:v>2025E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</c:strCache>
            </c:strRef>
          </c:cat>
          <c:val>
            <c:numRef>
              <c:f>Breakdown!$D$28:$N$28</c:f>
              <c:numCache>
                <c:formatCode>_(* #,##0_);_(* \(#,##0\);_(* "-"??_);_(@_)</c:formatCode>
                <c:ptCount val="6"/>
                <c:pt idx="0">
                  <c:v>69.289280440550698</c:v>
                </c:pt>
                <c:pt idx="1">
                  <c:v>55.440112513067788</c:v>
                </c:pt>
                <c:pt idx="2">
                  <c:v>42.429237001609138</c:v>
                </c:pt>
                <c:pt idx="3">
                  <c:v>40.756444407236572</c:v>
                </c:pt>
                <c:pt idx="4">
                  <c:v>40.297215155272731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B0-4D9A-B8F2-B38CFC816481}"/>
            </c:ext>
          </c:extLst>
        </c:ser>
        <c:ser>
          <c:idx val="7"/>
          <c:order val="7"/>
          <c:tx>
            <c:strRef>
              <c:f>Breakdown!$C$29</c:f>
              <c:strCache>
                <c:ptCount val="1"/>
                <c:pt idx="0">
                  <c:v>Admin exp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Breakdown!$D$21:$N$21</c:f>
              <c:strCache>
                <c:ptCount val="6"/>
                <c:pt idx="0">
                  <c:v>2023</c:v>
                </c:pt>
                <c:pt idx="1">
                  <c:v>2024E</c:v>
                </c:pt>
                <c:pt idx="2">
                  <c:v>2025E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</c:strCache>
            </c:strRef>
          </c:cat>
          <c:val>
            <c:numRef>
              <c:f>Breakdown!$D$29:$N$29</c:f>
              <c:numCache>
                <c:formatCode>_(* #,##0_);_(* \(#,##0\);_(* "-"??_);_(@_)</c:formatCode>
                <c:ptCount val="6"/>
                <c:pt idx="0">
                  <c:v>148.04436640555573</c:v>
                </c:pt>
                <c:pt idx="1">
                  <c:v>115.81322554931971</c:v>
                </c:pt>
                <c:pt idx="2">
                  <c:v>100.47929076077423</c:v>
                </c:pt>
                <c:pt idx="3">
                  <c:v>94.400845600676547</c:v>
                </c:pt>
                <c:pt idx="4">
                  <c:v>89.661273022701366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B0-4D9A-B8F2-B38CFC816481}"/>
            </c:ext>
          </c:extLst>
        </c:ser>
        <c:ser>
          <c:idx val="8"/>
          <c:order val="8"/>
          <c:tx>
            <c:strRef>
              <c:f>Breakdown!$C$30</c:f>
              <c:strCache>
                <c:ptCount val="1"/>
                <c:pt idx="0">
                  <c:v>Sales tax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Breakdown!$D$21:$N$21</c:f>
              <c:strCache>
                <c:ptCount val="6"/>
                <c:pt idx="0">
                  <c:v>2023</c:v>
                </c:pt>
                <c:pt idx="1">
                  <c:v>2024E</c:v>
                </c:pt>
                <c:pt idx="2">
                  <c:v>2025E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</c:strCache>
            </c:strRef>
          </c:cat>
          <c:val>
            <c:numRef>
              <c:f>Breakdown!$D$30:$N$30</c:f>
              <c:numCache>
                <c:formatCode>_(* #,##0_);_(* \(#,##0\);_(* "-"??_);_(@_)</c:formatCode>
                <c:ptCount val="6"/>
                <c:pt idx="0">
                  <c:v>42.353673887029416</c:v>
                </c:pt>
                <c:pt idx="1">
                  <c:v>37.897118874760224</c:v>
                </c:pt>
                <c:pt idx="2">
                  <c:v>34.918079899882272</c:v>
                </c:pt>
                <c:pt idx="3">
                  <c:v>34.09771562164282</c:v>
                </c:pt>
                <c:pt idx="4">
                  <c:v>33.713514578928084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7B0-4D9A-B8F2-B38CFC816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92785839"/>
        <c:axId val="1592782959"/>
      </c:barChart>
      <c:lineChart>
        <c:grouping val="standard"/>
        <c:varyColors val="0"/>
        <c:ser>
          <c:idx val="1"/>
          <c:order val="1"/>
          <c:tx>
            <c:strRef>
              <c:f>Breakdown!$C$23</c:f>
              <c:strCache>
                <c:ptCount val="1"/>
                <c:pt idx="0">
                  <c:v>ASP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Breakdown!$D$21:$N$21</c:f>
              <c:strCache>
                <c:ptCount val="6"/>
                <c:pt idx="0">
                  <c:v>2023</c:v>
                </c:pt>
                <c:pt idx="1">
                  <c:v>2024E</c:v>
                </c:pt>
                <c:pt idx="2">
                  <c:v>2025E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</c:strCache>
            </c:strRef>
          </c:cat>
          <c:val>
            <c:numRef>
              <c:f>Breakdown!$D$23:$N$23</c:f>
              <c:numCache>
                <c:formatCode>_(* #,##0_);_(* \(#,##0\);_(* "-"??_);_(@_)</c:formatCode>
                <c:ptCount val="6"/>
                <c:pt idx="0">
                  <c:v>3941.9666945464201</c:v>
                </c:pt>
                <c:pt idx="1">
                  <c:v>3756.4086102628535</c:v>
                </c:pt>
                <c:pt idx="2">
                  <c:v>3461.122636346955</c:v>
                </c:pt>
                <c:pt idx="3">
                  <c:v>3379.8071292627706</c:v>
                </c:pt>
                <c:pt idx="4">
                  <c:v>3341.7246536609964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B0-4D9A-B8F2-B38CFC816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785839"/>
        <c:axId val="1592782959"/>
      </c:lineChart>
      <c:catAx>
        <c:axId val="159278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782959"/>
        <c:crosses val="autoZero"/>
        <c:auto val="1"/>
        <c:lblAlgn val="ctr"/>
        <c:lblOffset val="100"/>
        <c:noMultiLvlLbl val="0"/>
      </c:catAx>
      <c:valAx>
        <c:axId val="159278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78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465054823582932E-3"/>
          <c:y val="0.12642992745709594"/>
          <c:w val="0.96543809312709705"/>
          <c:h val="0.68599684024732488"/>
        </c:manualLayout>
      </c:layout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19-42FF-A563-8E4E2D03AF3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919-42FF-A563-8E4E2D03AF3F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19-42FF-A563-8E4E2D03AF3F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919-42FF-A563-8E4E2D03AF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Breakdown!$U$3:$U$8</c:f>
              <c:strCache>
                <c:ptCount val="6"/>
                <c:pt idx="0">
                  <c:v>2023 Sales</c:v>
                </c:pt>
                <c:pt idx="1">
                  <c:v>Energy drinks POS</c:v>
                </c:pt>
                <c:pt idx="2">
                  <c:v>Energy drinks sales/POS</c:v>
                </c:pt>
                <c:pt idx="3">
                  <c:v>Non-energy drinks POS</c:v>
                </c:pt>
                <c:pt idx="4">
                  <c:v>Non-energy drinks sales/POS</c:v>
                </c:pt>
                <c:pt idx="5">
                  <c:v>2028E Sales</c:v>
                </c:pt>
              </c:strCache>
            </c:strRef>
          </c:cat>
          <c:val>
            <c:numRef>
              <c:f>Breakdown!$V$3:$V$8</c:f>
              <c:numCache>
                <c:formatCode>_(* #,##0_);_(* \(#,##0\);_(* "-"??_);_(@_)</c:formatCode>
                <c:ptCount val="6"/>
                <c:pt idx="0">
                  <c:v>11262.79408329</c:v>
                </c:pt>
                <c:pt idx="1">
                  <c:v>11262.79408329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9-42FF-A563-8E4E2D03AF3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Breakdown!$U$3:$U$8</c:f>
              <c:strCache>
                <c:ptCount val="6"/>
                <c:pt idx="0">
                  <c:v>2023 Sales</c:v>
                </c:pt>
                <c:pt idx="1">
                  <c:v>Energy drinks POS</c:v>
                </c:pt>
                <c:pt idx="2">
                  <c:v>Energy drinks sales/POS</c:v>
                </c:pt>
                <c:pt idx="3">
                  <c:v>Non-energy drinks POS</c:v>
                </c:pt>
                <c:pt idx="4">
                  <c:v>Non-energy drinks sales/POS</c:v>
                </c:pt>
                <c:pt idx="5">
                  <c:v>2028E Sales</c:v>
                </c:pt>
              </c:strCache>
            </c:strRef>
          </c:cat>
          <c:val>
            <c:numRef>
              <c:f>Breakdown!$W$3:$W$8</c:f>
              <c:numCache>
                <c:formatCode>_(* #,##0_);_(* \(#,##0\);_(* "-"??_);_(@_)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19-42FF-A563-8E4E2D03A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89399456"/>
        <c:axId val="1789391776"/>
      </c:barChart>
      <c:catAx>
        <c:axId val="178939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89391776"/>
        <c:crosses val="autoZero"/>
        <c:auto val="1"/>
        <c:lblAlgn val="ctr"/>
        <c:lblOffset val="100"/>
        <c:noMultiLvlLbl val="0"/>
      </c:catAx>
      <c:valAx>
        <c:axId val="1789391776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8939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465054823582932E-3"/>
          <c:y val="0.12642992745709594"/>
          <c:w val="0.96543809312709705"/>
          <c:h val="0.62787867608621506"/>
        </c:manualLayout>
      </c:layout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48E-4AA5-BA48-10DF8DDBEAD1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8E-4AA5-BA48-10DF8DDBEAD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48E-4AA5-BA48-10DF8DDBEAD1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8E-4AA5-BA48-10DF8DDBEAD1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8E-4AA5-BA48-10DF8DDBEAD1}"/>
                </c:ext>
              </c:extLst>
            </c:dLbl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48E-4AA5-BA48-10DF8DDBEA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Breakdown!$Q$22:$Q$31</c:f>
              <c:strCache>
                <c:ptCount val="10"/>
                <c:pt idx="0">
                  <c:v>2023 EBIT</c:v>
                </c:pt>
                <c:pt idx="1">
                  <c:v>ASP</c:v>
                </c:pt>
                <c:pt idx="2">
                  <c:v>Raw material</c:v>
                </c:pt>
                <c:pt idx="3">
                  <c:v>Manufac. &amp; other COGS</c:v>
                </c:pt>
                <c:pt idx="4">
                  <c:v>A&amp;P</c:v>
                </c:pt>
                <c:pt idx="5">
                  <c:v>Sales staff cost</c:v>
                </c:pt>
                <c:pt idx="6">
                  <c:v>Other Selling exp</c:v>
                </c:pt>
                <c:pt idx="7">
                  <c:v>Admin exp</c:v>
                </c:pt>
                <c:pt idx="8">
                  <c:v>Sales tax</c:v>
                </c:pt>
                <c:pt idx="9">
                  <c:v>2028E EBIT</c:v>
                </c:pt>
              </c:strCache>
            </c:strRef>
          </c:cat>
          <c:val>
            <c:numRef>
              <c:f>Breakdown!$R$22:$R$31</c:f>
              <c:numCache>
                <c:formatCode>_(* #,##0_);_(* \(#,##0\);_(* "-"??_);_(@_)</c:formatCode>
                <c:ptCount val="10"/>
                <c:pt idx="0">
                  <c:v>832.70118037513589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8E-4AA5-BA48-10DF8DDBEAD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CD4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48E-4AA5-BA48-10DF8DDBEAD1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-</a:t>
                    </a:r>
                    <a:fld id="{80F69290-1160-4686-AB6C-3C793D270A61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848E-4AA5-BA48-10DF8DDBEA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Breakdown!$Q$22:$Q$31</c:f>
              <c:strCache>
                <c:ptCount val="10"/>
                <c:pt idx="0">
                  <c:v>2023 EBIT</c:v>
                </c:pt>
                <c:pt idx="1">
                  <c:v>ASP</c:v>
                </c:pt>
                <c:pt idx="2">
                  <c:v>Raw material</c:v>
                </c:pt>
                <c:pt idx="3">
                  <c:v>Manufac. &amp; other COGS</c:v>
                </c:pt>
                <c:pt idx="4">
                  <c:v>A&amp;P</c:v>
                </c:pt>
                <c:pt idx="5">
                  <c:v>Sales staff cost</c:v>
                </c:pt>
                <c:pt idx="6">
                  <c:v>Other Selling exp</c:v>
                </c:pt>
                <c:pt idx="7">
                  <c:v>Admin exp</c:v>
                </c:pt>
                <c:pt idx="8">
                  <c:v>Sales tax</c:v>
                </c:pt>
                <c:pt idx="9">
                  <c:v>2028E EBIT</c:v>
                </c:pt>
              </c:strCache>
            </c:strRef>
          </c:cat>
          <c:val>
            <c:numRef>
              <c:f>Breakdown!$S$22:$S$31</c:f>
              <c:numCache>
                <c:formatCode>_(* #,##0_);_(* \(#,##0\);_(* "-"??_);_(@_)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8E-4AA5-BA48-10DF8DDBE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89399456"/>
        <c:axId val="1789391776"/>
      </c:barChart>
      <c:catAx>
        <c:axId val="178939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89391776"/>
        <c:crosses val="autoZero"/>
        <c:auto val="1"/>
        <c:lblAlgn val="ctr"/>
        <c:lblOffset val="100"/>
        <c:noMultiLvlLbl val="0"/>
      </c:catAx>
      <c:valAx>
        <c:axId val="1789391776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8939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69466316710411"/>
          <c:y val="0.17129629629629628"/>
          <c:w val="0.86874978127734037"/>
          <c:h val="0.62532626130067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Breakdown!$D$122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Breakdown!$C$123:$C$125</c:f>
              <c:strCache>
                <c:ptCount val="3"/>
                <c:pt idx="0">
                  <c:v>Eastroc  </c:v>
                </c:pt>
                <c:pt idx="1">
                  <c:v>Nongfu</c:v>
                </c:pt>
                <c:pt idx="2">
                  <c:v>CR Beverage</c:v>
                </c:pt>
              </c:strCache>
            </c:strRef>
          </c:cat>
          <c:val>
            <c:numRef>
              <c:f>Breakdown!$D$123:$D$125</c:f>
            </c:numRef>
          </c:val>
          <c:extLst>
            <c:ext xmlns:c16="http://schemas.microsoft.com/office/drawing/2014/chart" uri="{C3380CC4-5D6E-409C-BE32-E72D297353CC}">
              <c16:uniqueId val="{00000000-7B21-4672-BF68-465637DCCAA5}"/>
            </c:ext>
          </c:extLst>
        </c:ser>
        <c:ser>
          <c:idx val="1"/>
          <c:order val="1"/>
          <c:tx>
            <c:strRef>
              <c:f>Breakdown!$E$122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Breakdown!$C$123:$C$125</c:f>
              <c:strCache>
                <c:ptCount val="3"/>
                <c:pt idx="0">
                  <c:v>Eastroc  </c:v>
                </c:pt>
                <c:pt idx="1">
                  <c:v>Nongfu</c:v>
                </c:pt>
                <c:pt idx="2">
                  <c:v>CR Beverage</c:v>
                </c:pt>
              </c:strCache>
            </c:strRef>
          </c:cat>
          <c:val>
            <c:numRef>
              <c:f>Breakdown!$E$123:$E$125</c:f>
            </c:numRef>
          </c:val>
          <c:extLst>
            <c:ext xmlns:c16="http://schemas.microsoft.com/office/drawing/2014/chart" uri="{C3380CC4-5D6E-409C-BE32-E72D297353CC}">
              <c16:uniqueId val="{00000001-7B21-4672-BF68-465637DCCAA5}"/>
            </c:ext>
          </c:extLst>
        </c:ser>
        <c:ser>
          <c:idx val="2"/>
          <c:order val="2"/>
          <c:tx>
            <c:strRef>
              <c:f>Breakdown!$F$122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Breakdown!$C$123:$C$125</c:f>
              <c:strCache>
                <c:ptCount val="3"/>
                <c:pt idx="0">
                  <c:v>Eastroc  </c:v>
                </c:pt>
                <c:pt idx="1">
                  <c:v>Nongfu</c:v>
                </c:pt>
                <c:pt idx="2">
                  <c:v>CR Beverage</c:v>
                </c:pt>
              </c:strCache>
            </c:strRef>
          </c:cat>
          <c:val>
            <c:numRef>
              <c:f>Breakdown!$F$123:$F$125</c:f>
            </c:numRef>
          </c:val>
          <c:extLst>
            <c:ext xmlns:c16="http://schemas.microsoft.com/office/drawing/2014/chart" uri="{C3380CC4-5D6E-409C-BE32-E72D297353CC}">
              <c16:uniqueId val="{00000002-7B21-4672-BF68-465637DCCAA5}"/>
            </c:ext>
          </c:extLst>
        </c:ser>
        <c:ser>
          <c:idx val="3"/>
          <c:order val="3"/>
          <c:tx>
            <c:strRef>
              <c:f>Breakdown!$G$122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Breakdown!$C$123:$C$125</c:f>
              <c:strCache>
                <c:ptCount val="3"/>
                <c:pt idx="0">
                  <c:v>Eastroc  </c:v>
                </c:pt>
                <c:pt idx="1">
                  <c:v>Nongfu</c:v>
                </c:pt>
                <c:pt idx="2">
                  <c:v>CR Beverage</c:v>
                </c:pt>
              </c:strCache>
            </c:strRef>
          </c:cat>
          <c:val>
            <c:numRef>
              <c:f>Breakdown!$G$123:$G$125</c:f>
            </c:numRef>
          </c:val>
          <c:extLst>
            <c:ext xmlns:c16="http://schemas.microsoft.com/office/drawing/2014/chart" uri="{C3380CC4-5D6E-409C-BE32-E72D297353CC}">
              <c16:uniqueId val="{00000003-7B21-4672-BF68-465637DCCAA5}"/>
            </c:ext>
          </c:extLst>
        </c:ser>
        <c:ser>
          <c:idx val="4"/>
          <c:order val="4"/>
          <c:tx>
            <c:strRef>
              <c:f>Breakdown!$H$122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Breakdown!$C$123:$C$125</c:f>
              <c:strCache>
                <c:ptCount val="3"/>
                <c:pt idx="0">
                  <c:v>Eastroc  </c:v>
                </c:pt>
                <c:pt idx="1">
                  <c:v>Nongfu</c:v>
                </c:pt>
                <c:pt idx="2">
                  <c:v>CR Beverage</c:v>
                </c:pt>
              </c:strCache>
            </c:strRef>
          </c:cat>
          <c:val>
            <c:numRef>
              <c:f>Breakdown!$H$123:$H$125</c:f>
            </c:numRef>
          </c:val>
          <c:extLst>
            <c:ext xmlns:c16="http://schemas.microsoft.com/office/drawing/2014/chart" uri="{C3380CC4-5D6E-409C-BE32-E72D297353CC}">
              <c16:uniqueId val="{00000004-7B21-4672-BF68-465637DCCAA5}"/>
            </c:ext>
          </c:extLst>
        </c:ser>
        <c:ser>
          <c:idx val="5"/>
          <c:order val="5"/>
          <c:tx>
            <c:strRef>
              <c:f>Breakdown!$I$122</c:f>
              <c:strCache>
                <c:ptCount val="1"/>
                <c:pt idx="0">
                  <c:v>2018-23 avg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Breakdown!$C$123:$C$125</c:f>
              <c:strCache>
                <c:ptCount val="3"/>
                <c:pt idx="0">
                  <c:v>Eastroc  </c:v>
                </c:pt>
                <c:pt idx="1">
                  <c:v>Nongfu</c:v>
                </c:pt>
                <c:pt idx="2">
                  <c:v>CR Beverage</c:v>
                </c:pt>
              </c:strCache>
            </c:strRef>
          </c:cat>
          <c:val>
            <c:numRef>
              <c:f>Breakdown!$I$123:$I$125</c:f>
              <c:numCache>
                <c:formatCode>_(* #,##0.0\x_);_(* \(#,##0.0\x\);_(* "-"??_);_(@_)</c:formatCode>
                <c:ptCount val="3"/>
                <c:pt idx="0">
                  <c:v>7.447651981313844</c:v>
                </c:pt>
                <c:pt idx="1">
                  <c:v>5.7295911818575735</c:v>
                </c:pt>
                <c:pt idx="2">
                  <c:v>3.7458141157528049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21-4672-BF68-465637DCCAA5}"/>
            </c:ext>
          </c:extLst>
        </c:ser>
        <c:ser>
          <c:idx val="6"/>
          <c:order val="6"/>
          <c:tx>
            <c:strRef>
              <c:f>Breakdown!$J$122</c:f>
              <c:strCache>
                <c:ptCount val="1"/>
                <c:pt idx="0">
                  <c:v>2024E-26E avg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Breakdown!$C$123:$C$125</c:f>
              <c:strCache>
                <c:ptCount val="3"/>
                <c:pt idx="0">
                  <c:v>Eastroc  </c:v>
                </c:pt>
                <c:pt idx="1">
                  <c:v>Nongfu</c:v>
                </c:pt>
                <c:pt idx="2">
                  <c:v>CR Beverage</c:v>
                </c:pt>
              </c:strCache>
            </c:strRef>
          </c:cat>
          <c:val>
            <c:numRef>
              <c:f>Breakdown!$J$123:$J$125</c:f>
              <c:numCache>
                <c:formatCode>_(* #,##0.0\x_);_(* \(#,##0.0\x\);_(* "-"??_);_(@_)</c:formatCode>
                <c:ptCount val="3"/>
                <c:pt idx="0">
                  <c:v>7.0116864501948051</c:v>
                </c:pt>
                <c:pt idx="1">
                  <c:v>8.7014623000322295</c:v>
                </c:pt>
                <c:pt idx="2">
                  <c:v>3.0073953122052135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21-4672-BF68-465637DCCA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-27"/>
        <c:axId val="201777584"/>
        <c:axId val="201772304"/>
      </c:barChart>
      <c:catAx>
        <c:axId val="20177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1772304"/>
        <c:crosses val="autoZero"/>
        <c:auto val="1"/>
        <c:lblAlgn val="ctr"/>
        <c:lblOffset val="100"/>
        <c:noMultiLvlLbl val="0"/>
      </c:catAx>
      <c:valAx>
        <c:axId val="201772304"/>
        <c:scaling>
          <c:orientation val="minMax"/>
        </c:scaling>
        <c:delete val="0"/>
        <c:axPos val="l"/>
        <c:numFmt formatCode="_(* #,##0.0\x_);_(* \(#,##0.0\x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177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Guozhicha (Fruity</a:t>
            </a:r>
            <a:r>
              <a:rPr lang="en-US" baseline="0"/>
              <a:t> Tea)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264216972878389E-2"/>
          <c:y val="0.33379629629629631"/>
          <c:w val="0.83747156605424322"/>
          <c:h val="0.562596967045785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Breakdown!$C$143</c:f>
              <c:strCache>
                <c:ptCount val="1"/>
                <c:pt idx="0">
                  <c:v>Monthly sales (Rmb mn)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Breakdown!$D$142:$K$142</c:f>
              <c:strCache>
                <c:ptCount val="3"/>
                <c:pt idx="0">
                  <c:v>Feb</c:v>
                </c:pt>
                <c:pt idx="1">
                  <c:v>Mar-25</c:v>
                </c:pt>
                <c:pt idx="2">
                  <c:v>May-25</c:v>
                </c:pt>
              </c:strCache>
            </c:strRef>
          </c:cat>
          <c:val>
            <c:numRef>
              <c:f>Breakdown!$D$143:$K$143</c:f>
              <c:numCache>
                <c:formatCode>_(* #,##0_);_(* \(#,##0\);_(* "-"??_);_(@_)</c:formatCode>
                <c:ptCount val="3"/>
                <c:pt idx="0">
                  <c:v>30.434782608695656</c:v>
                </c:pt>
                <c:pt idx="1">
                  <c:v>70</c:v>
                </c:pt>
                <c:pt idx="2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B-488B-907B-EC00B9268337}"/>
            </c:ext>
          </c:extLst>
        </c:ser>
        <c:ser>
          <c:idx val="2"/>
          <c:order val="2"/>
          <c:tx>
            <c:strRef>
              <c:f>Breakdown!$C$145</c:f>
              <c:strCache>
                <c:ptCount val="1"/>
                <c:pt idx="0">
                  <c:v>Monthly sales per POS (Rmb)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Breakdown!$D$142:$K$142</c:f>
              <c:strCache>
                <c:ptCount val="3"/>
                <c:pt idx="0">
                  <c:v>Feb</c:v>
                </c:pt>
                <c:pt idx="1">
                  <c:v>Mar-25</c:v>
                </c:pt>
                <c:pt idx="2">
                  <c:v>May-25</c:v>
                </c:pt>
              </c:strCache>
            </c:strRef>
          </c:cat>
          <c:val>
            <c:numRef>
              <c:f>Breakdown!$D$145:$K$145</c:f>
              <c:numCache>
                <c:formatCode>_(* #,##0_);_(* \(#,##0\);_(* "-"??_);_(@_)</c:formatCode>
                <c:ptCount val="3"/>
                <c:pt idx="1">
                  <c:v>87.5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5B-488B-907B-EC00B92683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90752080"/>
        <c:axId val="290741040"/>
      </c:barChart>
      <c:lineChart>
        <c:grouping val="standard"/>
        <c:varyColors val="0"/>
        <c:ser>
          <c:idx val="1"/>
          <c:order val="1"/>
          <c:tx>
            <c:strRef>
              <c:f>Breakdown!$C$144</c:f>
              <c:strCache>
                <c:ptCount val="1"/>
                <c:pt idx="0">
                  <c:v>POS coverage ('000; RHS)</c:v>
                </c:pt>
              </c:strCache>
            </c:strRef>
          </c:tx>
          <c:spPr>
            <a:ln w="28575" cap="rnd">
              <a:solidFill>
                <a:schemeClr val="accent5">
                  <a:lumMod val="1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5">
                    <a:lumMod val="1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Breakdown!$D$142:$K$142</c:f>
              <c:strCache>
                <c:ptCount val="3"/>
                <c:pt idx="0">
                  <c:v>Feb</c:v>
                </c:pt>
                <c:pt idx="1">
                  <c:v>Mar-25</c:v>
                </c:pt>
                <c:pt idx="2">
                  <c:v>May-25</c:v>
                </c:pt>
              </c:strCache>
            </c:strRef>
          </c:cat>
          <c:val>
            <c:numRef>
              <c:f>Breakdown!$D$144:$K$144</c:f>
              <c:numCache>
                <c:formatCode>_(* #,##0_);_(* \(#,##0\);_(* "-"??_);_(@_)</c:formatCode>
                <c:ptCount val="3"/>
                <c:pt idx="1">
                  <c:v>800</c:v>
                </c:pt>
                <c:pt idx="2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5B-488B-907B-EC00B92683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90762160"/>
        <c:axId val="290738640"/>
      </c:lineChart>
      <c:catAx>
        <c:axId val="290752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741040"/>
        <c:crosses val="autoZero"/>
        <c:auto val="1"/>
        <c:lblAlgn val="ctr"/>
        <c:lblOffset val="100"/>
        <c:noMultiLvlLbl val="0"/>
      </c:catAx>
      <c:valAx>
        <c:axId val="290741040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752080"/>
        <c:crosses val="autoZero"/>
        <c:crossBetween val="between"/>
      </c:valAx>
      <c:valAx>
        <c:axId val="290738640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0762160"/>
        <c:crosses val="max"/>
        <c:crossBetween val="between"/>
      </c:valAx>
      <c:catAx>
        <c:axId val="290762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0738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8.8509268810329E-2"/>
          <c:y val="0.1628067280267389"/>
          <c:w val="0.81581362602765461"/>
          <c:h val="0.131416622500077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paperSize="0"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923441714605093E-2"/>
          <c:y val="0.12210793328423893"/>
          <c:w val="0.96543809312709705"/>
          <c:h val="0.68599684024732488"/>
        </c:manualLayout>
      </c:layout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E9E-411E-9836-E2E93B23A115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E9E-411E-9836-E2E93B23A11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E9E-411E-9836-E2E93B23A11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E9E-411E-9836-E2E93B23A115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9E-411E-9836-E2E93B23A115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9E-411E-9836-E2E93B23A115}"/>
                </c:ext>
              </c:extLst>
            </c:dLbl>
            <c:dLbl>
              <c:idx val="8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E9E-411E-9836-E2E93B23A115}"/>
                </c:ext>
              </c:extLst>
            </c:dLbl>
            <c:dLbl>
              <c:idx val="9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9E-411E-9836-E2E93B23A1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Breakdown!$Q$34:$Q$42</c:f>
              <c:strCache>
                <c:ptCount val="9"/>
                <c:pt idx="0">
                  <c:v>2024 EBIT margin</c:v>
                </c:pt>
                <c:pt idx="1">
                  <c:v>Raw material</c:v>
                </c:pt>
                <c:pt idx="2">
                  <c:v>Manufac. &amp; other COGS</c:v>
                </c:pt>
                <c:pt idx="3">
                  <c:v>A&amp;P</c:v>
                </c:pt>
                <c:pt idx="4">
                  <c:v>Sales staff cost</c:v>
                </c:pt>
                <c:pt idx="5">
                  <c:v>Other Selling exp</c:v>
                </c:pt>
                <c:pt idx="6">
                  <c:v>Admin exp</c:v>
                </c:pt>
                <c:pt idx="7">
                  <c:v>Sales tax</c:v>
                </c:pt>
                <c:pt idx="8">
                  <c:v>2028E EBIT margin</c:v>
                </c:pt>
              </c:strCache>
            </c:strRef>
          </c:cat>
          <c:val>
            <c:numRef>
              <c:f>Breakdown!$R$34:$R$42</c:f>
              <c:numCache>
                <c:formatCode>0.0%</c:formatCode>
                <c:ptCount val="9"/>
                <c:pt idx="0">
                  <c:v>0.23992167559503369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9E-411E-9836-E2E93B23A11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CD4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E9E-411E-9836-E2E93B23A11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E9E-411E-9836-E2E93B23A115}"/>
              </c:ext>
            </c:extLst>
          </c:dPt>
          <c:dLbls>
            <c:dLbl>
              <c:idx val="1"/>
              <c:layout>
                <c:manualLayout>
                  <c:x val="0"/>
                  <c:y val="-4.43973162328708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-</a:t>
                    </a:r>
                    <a:fld id="{80F69290-1160-4686-AB6C-3C793D270A61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AE9E-411E-9836-E2E93B23A11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5C91A02-D112-49FE-A4BD-CB364227F97C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AE9E-411E-9836-E2E93B23A1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Breakdown!$Q$34:$Q$42</c:f>
              <c:strCache>
                <c:ptCount val="9"/>
                <c:pt idx="0">
                  <c:v>2024 EBIT margin</c:v>
                </c:pt>
                <c:pt idx="1">
                  <c:v>Raw material</c:v>
                </c:pt>
                <c:pt idx="2">
                  <c:v>Manufac. &amp; other COGS</c:v>
                </c:pt>
                <c:pt idx="3">
                  <c:v>A&amp;P</c:v>
                </c:pt>
                <c:pt idx="4">
                  <c:v>Sales staff cost</c:v>
                </c:pt>
                <c:pt idx="5">
                  <c:v>Other Selling exp</c:v>
                </c:pt>
                <c:pt idx="6">
                  <c:v>Admin exp</c:v>
                </c:pt>
                <c:pt idx="7">
                  <c:v>Sales tax</c:v>
                </c:pt>
                <c:pt idx="8">
                  <c:v>2028E EBIT margin</c:v>
                </c:pt>
              </c:strCache>
            </c:strRef>
          </c:cat>
          <c:val>
            <c:numRef>
              <c:f>Breakdown!$S$34:$S$42</c:f>
              <c:numCache>
                <c:formatCode>0.0%</c:formatCode>
                <c:ptCount val="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E9E-411E-9836-E2E93B23A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89399456"/>
        <c:axId val="1789391776"/>
      </c:barChart>
      <c:catAx>
        <c:axId val="178939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89391776"/>
        <c:crosses val="autoZero"/>
        <c:auto val="1"/>
        <c:lblAlgn val="ctr"/>
        <c:lblOffset val="100"/>
        <c:noMultiLvlLbl val="0"/>
      </c:catAx>
      <c:valAx>
        <c:axId val="1789391776"/>
        <c:scaling>
          <c:orientation val="minMax"/>
          <c:min val="0.1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8939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Eastroc's production capacity by factory (2023)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185203412073493E-2"/>
          <c:y val="0.17726315789473684"/>
          <c:w val="0.8267962598425197"/>
          <c:h val="0.5026837961044343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'Capacity projects'!$E$59</c:f>
              <c:strCache>
                <c:ptCount val="1"/>
                <c:pt idx="0">
                  <c:v>Designed capacity (k ton)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'Capacity projects'!$B$60:$B$67</c:f>
              <c:strCache>
                <c:ptCount val="8"/>
                <c:pt idx="0">
                  <c:v>South China</c:v>
                </c:pt>
                <c:pt idx="1">
                  <c:v>Dongguan</c:v>
                </c:pt>
                <c:pt idx="2">
                  <c:v>Zhejiang</c:v>
                </c:pt>
                <c:pt idx="3">
                  <c:v>Chongqing</c:v>
                </c:pt>
                <c:pt idx="4">
                  <c:v>Anhui</c:v>
                </c:pt>
                <c:pt idx="5">
                  <c:v>Guangzhou</c:v>
                </c:pt>
                <c:pt idx="6">
                  <c:v>Nanning</c:v>
                </c:pt>
                <c:pt idx="7">
                  <c:v>Haifeng</c:v>
                </c:pt>
              </c:strCache>
            </c:strRef>
          </c:cat>
          <c:val>
            <c:numRef>
              <c:f>'Capacity projects'!$E$60:$E$67</c:f>
              <c:numCache>
                <c:formatCode>_(* #,##0_);_(* \(#,##0\);_(* "-"??_);_(@_)</c:formatCode>
                <c:ptCount val="8"/>
                <c:pt idx="0">
                  <c:v>610.4</c:v>
                </c:pt>
                <c:pt idx="1">
                  <c:v>461.4</c:v>
                </c:pt>
                <c:pt idx="2">
                  <c:v>42.4</c:v>
                </c:pt>
                <c:pt idx="3">
                  <c:v>402.4</c:v>
                </c:pt>
                <c:pt idx="4">
                  <c:v>646.5</c:v>
                </c:pt>
                <c:pt idx="5">
                  <c:v>457.5</c:v>
                </c:pt>
                <c:pt idx="6">
                  <c:v>492.5</c:v>
                </c:pt>
                <c:pt idx="7">
                  <c:v>238.8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7-4D18-8C56-A1AB7D878544}"/>
            </c:ext>
          </c:extLst>
        </c:ser>
        <c:ser>
          <c:idx val="0"/>
          <c:order val="1"/>
          <c:tx>
            <c:strRef>
              <c:f>'Capacity projects'!$D$59</c:f>
              <c:strCache>
                <c:ptCount val="1"/>
                <c:pt idx="0">
                  <c:v>Actual production (k ton)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'Capacity projects'!$B$60:$B$67</c:f>
              <c:strCache>
                <c:ptCount val="8"/>
                <c:pt idx="0">
                  <c:v>South China</c:v>
                </c:pt>
                <c:pt idx="1">
                  <c:v>Dongguan</c:v>
                </c:pt>
                <c:pt idx="2">
                  <c:v>Zhejiang</c:v>
                </c:pt>
                <c:pt idx="3">
                  <c:v>Chongqing</c:v>
                </c:pt>
                <c:pt idx="4">
                  <c:v>Anhui</c:v>
                </c:pt>
                <c:pt idx="5">
                  <c:v>Guangzhou</c:v>
                </c:pt>
                <c:pt idx="6">
                  <c:v>Nanning</c:v>
                </c:pt>
                <c:pt idx="7">
                  <c:v>Haifeng</c:v>
                </c:pt>
              </c:strCache>
            </c:strRef>
          </c:cat>
          <c:val>
            <c:numRef>
              <c:f>'Capacity projects'!$D$60:$D$67</c:f>
              <c:numCache>
                <c:formatCode>_(* #,##0_);_(* \(#,##0\);_(* "-"??_);_(@_)</c:formatCode>
                <c:ptCount val="8"/>
                <c:pt idx="0">
                  <c:v>599.9</c:v>
                </c:pt>
                <c:pt idx="1">
                  <c:v>452.8</c:v>
                </c:pt>
                <c:pt idx="2">
                  <c:v>39.9</c:v>
                </c:pt>
                <c:pt idx="3">
                  <c:v>373.6</c:v>
                </c:pt>
                <c:pt idx="4">
                  <c:v>589.4</c:v>
                </c:pt>
                <c:pt idx="5">
                  <c:v>332</c:v>
                </c:pt>
                <c:pt idx="6">
                  <c:v>348.7</c:v>
                </c:pt>
                <c:pt idx="7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17-4D18-8C56-A1AB7D878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26077888"/>
        <c:axId val="1257912016"/>
      </c:barChart>
      <c:lineChart>
        <c:grouping val="standard"/>
        <c:varyColors val="0"/>
        <c:ser>
          <c:idx val="2"/>
          <c:order val="2"/>
          <c:tx>
            <c:strRef>
              <c:f>'Capacity projects'!$F$59</c:f>
              <c:strCache>
                <c:ptCount val="1"/>
                <c:pt idx="0">
                  <c:v>Utilization %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dLbls>
            <c:spPr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'Capacity projects'!$B$60:$B$67</c:f>
              <c:strCache>
                <c:ptCount val="8"/>
                <c:pt idx="0">
                  <c:v>South China</c:v>
                </c:pt>
                <c:pt idx="1">
                  <c:v>Dongguan</c:v>
                </c:pt>
                <c:pt idx="2">
                  <c:v>Zhejiang</c:v>
                </c:pt>
                <c:pt idx="3">
                  <c:v>Chongqing</c:v>
                </c:pt>
                <c:pt idx="4">
                  <c:v>Anhui</c:v>
                </c:pt>
                <c:pt idx="5">
                  <c:v>Guangzhou</c:v>
                </c:pt>
                <c:pt idx="6">
                  <c:v>Nanning</c:v>
                </c:pt>
                <c:pt idx="7">
                  <c:v>Haifeng</c:v>
                </c:pt>
              </c:strCache>
            </c:strRef>
          </c:cat>
          <c:val>
            <c:numRef>
              <c:f>'Capacity projects'!$F$60:$F$67</c:f>
              <c:numCache>
                <c:formatCode>0%</c:formatCode>
                <c:ptCount val="8"/>
                <c:pt idx="0">
                  <c:v>0.98279816513761464</c:v>
                </c:pt>
                <c:pt idx="1">
                  <c:v>0.98136107498916347</c:v>
                </c:pt>
                <c:pt idx="2">
                  <c:v>0.94103773584905659</c:v>
                </c:pt>
                <c:pt idx="3">
                  <c:v>0.92842942345924462</c:v>
                </c:pt>
                <c:pt idx="4">
                  <c:v>0.91167826759474091</c:v>
                </c:pt>
                <c:pt idx="5">
                  <c:v>0.72568306010928962</c:v>
                </c:pt>
                <c:pt idx="6">
                  <c:v>0.70802030456852794</c:v>
                </c:pt>
                <c:pt idx="7">
                  <c:v>0.6532663316582914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17-4D18-8C56-A1AB7D878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220336"/>
        <c:axId val="1257888016"/>
      </c:lineChart>
      <c:catAx>
        <c:axId val="102607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7912016"/>
        <c:crosses val="autoZero"/>
        <c:auto val="1"/>
        <c:lblAlgn val="ctr"/>
        <c:lblOffset val="100"/>
        <c:noMultiLvlLbl val="0"/>
      </c:catAx>
      <c:valAx>
        <c:axId val="1257912016"/>
        <c:scaling>
          <c:orientation val="minMax"/>
          <c:max val="80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6077888"/>
        <c:crosses val="autoZero"/>
        <c:crossBetween val="between"/>
      </c:valAx>
      <c:valAx>
        <c:axId val="1257888016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6220336"/>
        <c:crosses val="max"/>
        <c:crossBetween val="between"/>
        <c:majorUnit val="0.2"/>
      </c:valAx>
      <c:catAx>
        <c:axId val="10262203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788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paperSize="0" orientation="portrait"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Capex!$B$9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ACD4F1"/>
            </a:solidFill>
            <a:ln>
              <a:solidFill>
                <a:schemeClr val="accent1">
                  <a:shade val="15000"/>
                </a:schemeClr>
              </a:solidFill>
            </a:ln>
            <a:effectLst/>
          </c:spPr>
          <c:invertIfNegative val="0"/>
          <c:dLbls>
            <c:dLbl>
              <c:idx val="10"/>
              <c:layout>
                <c:manualLayout>
                  <c:x val="-9.5671867175727539E-17"/>
                  <c:y val="0.3406566945763247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25-4CE3-91C5-1D643A83ACA8}"/>
                </c:ext>
              </c:extLst>
            </c:dLbl>
            <c:dLbl>
              <c:idx val="11"/>
              <c:layout>
                <c:manualLayout>
                  <c:x val="-2.6092628832353904E-3"/>
                  <c:y val="0.3108125950993189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25-4CE3-91C5-1D643A83AC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Capex!$D$2:$O$2</c:f>
              <c:strCache>
                <c:ptCount val="12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2025E</c:v>
                </c:pt>
                <c:pt idx="9">
                  <c:v>2026E</c:v>
                </c:pt>
                <c:pt idx="10">
                  <c:v>2027E</c:v>
                </c:pt>
                <c:pt idx="11">
                  <c:v>2028E</c:v>
                </c:pt>
              </c:strCache>
            </c:strRef>
          </c:cat>
          <c:val>
            <c:numRef>
              <c:f>Capex!$D$3:$O$3</c:f>
              <c:numCache>
                <c:formatCode>_(* #,##0_);_(* \(#,##0\);_(* "-"??_);_(@_)</c:formatCode>
                <c:ptCount val="12"/>
                <c:pt idx="0">
                  <c:v>335.43150000000003</c:v>
                </c:pt>
                <c:pt idx="1">
                  <c:v>391.88838167</c:v>
                </c:pt>
                <c:pt idx="2">
                  <c:v>508.26795851999998</c:v>
                </c:pt>
                <c:pt idx="3">
                  <c:v>645.36882228000002</c:v>
                </c:pt>
                <c:pt idx="4">
                  <c:v>486.69091358999992</c:v>
                </c:pt>
                <c:pt idx="5">
                  <c:v>910.78762461000008</c:v>
                </c:pt>
                <c:pt idx="6">
                  <c:v>916.4096260299998</c:v>
                </c:pt>
                <c:pt idx="7">
                  <c:v>1536.8228245900002</c:v>
                </c:pt>
                <c:pt idx="8">
                  <c:v>2474.0484699470439</c:v>
                </c:pt>
                <c:pt idx="9">
                  <c:v>2968.5836865615061</c:v>
                </c:pt>
                <c:pt idx="10">
                  <c:v>3451.6171074109066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5-4CE3-91C5-1D643A83A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27"/>
        <c:axId val="1947448400"/>
        <c:axId val="1947451760"/>
      </c:barChart>
      <c:lineChart>
        <c:grouping val="standard"/>
        <c:varyColors val="0"/>
        <c:ser>
          <c:idx val="1"/>
          <c:order val="1"/>
          <c:tx>
            <c:strRef>
              <c:f>Capex!$B$8</c:f>
              <c:strCache>
                <c:ptCount val="1"/>
                <c:pt idx="0">
                  <c:v>% of sales</c:v>
                </c:pt>
              </c:strCache>
            </c:strRef>
          </c:tx>
          <c:spPr>
            <a:ln w="28575" cap="rnd">
              <a:solidFill>
                <a:srgbClr val="00355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Capex!$D$2:$O$2</c:f>
              <c:strCache>
                <c:ptCount val="12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2025E</c:v>
                </c:pt>
                <c:pt idx="9">
                  <c:v>2026E</c:v>
                </c:pt>
                <c:pt idx="10">
                  <c:v>2027E</c:v>
                </c:pt>
                <c:pt idx="11">
                  <c:v>2028E</c:v>
                </c:pt>
              </c:strCache>
            </c:strRef>
          </c:cat>
          <c:val>
            <c:numRef>
              <c:f>Capex!$D$9:$O$9</c:f>
              <c:numCache>
                <c:formatCode>0.0%</c:formatCode>
                <c:ptCount val="12"/>
                <c:pt idx="0">
                  <c:v>0.11795154496387168</c:v>
                </c:pt>
                <c:pt idx="1">
                  <c:v>0.12901522211391925</c:v>
                </c:pt>
                <c:pt idx="2">
                  <c:v>0.1207652052213543</c:v>
                </c:pt>
                <c:pt idx="3">
                  <c:v>0.13015397427485792</c:v>
                </c:pt>
                <c:pt idx="4">
                  <c:v>6.9748251030297442E-2</c:v>
                </c:pt>
                <c:pt idx="5">
                  <c:v>0.10708358505242281</c:v>
                </c:pt>
                <c:pt idx="6">
                  <c:v>8.1366099677665879E-2</c:v>
                </c:pt>
                <c:pt idx="7">
                  <c:v>9.7028676147282306E-2</c:v>
                </c:pt>
                <c:pt idx="8">
                  <c:v>0.11785723217114173</c:v>
                </c:pt>
                <c:pt idx="9">
                  <c:v>0.11685723217114173</c:v>
                </c:pt>
                <c:pt idx="10">
                  <c:v>0.11585723217114173</c:v>
                </c:pt>
                <c:pt idx="11">
                  <c:v>3.4857232171141721E-2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5-4CE3-91C5-1D643A83A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573744"/>
        <c:axId val="211573264"/>
      </c:lineChart>
      <c:catAx>
        <c:axId val="194744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7451760"/>
        <c:crosses val="autoZero"/>
        <c:auto val="1"/>
        <c:lblAlgn val="ctr"/>
        <c:lblOffset val="100"/>
        <c:noMultiLvlLbl val="0"/>
      </c:catAx>
      <c:valAx>
        <c:axId val="1947451760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7448400"/>
        <c:crosses val="autoZero"/>
        <c:crossBetween val="between"/>
      </c:valAx>
      <c:valAx>
        <c:axId val="21157326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1573744"/>
        <c:crosses val="max"/>
        <c:crossBetween val="between"/>
      </c:valAx>
      <c:catAx>
        <c:axId val="211573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573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Eastroc 2026E sales contribution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05599300087489"/>
          <c:y val="0.16712962962962963"/>
          <c:w val="0.86038845144356957"/>
          <c:h val="0.731018518518518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waterfall!$B$2</c:f>
              <c:strCache>
                <c:ptCount val="1"/>
                <c:pt idx="0">
                  <c:v>Special Drinks</c:v>
                </c:pt>
              </c:strCache>
            </c:strRef>
          </c:tx>
          <c:spPr>
            <a:solidFill>
              <a:srgbClr val="ACD4F1"/>
            </a:solidFill>
            <a:ln>
              <a:noFill/>
            </a:ln>
            <a:effectLst/>
          </c:spPr>
          <c:invertIfNegative val="0"/>
          <c:val>
            <c:numRef>
              <c:f>waterfall!$C$2:$H$2</c:f>
              <c:numCache>
                <c:formatCode>General</c:formatCode>
                <c:ptCount val="6"/>
                <c:pt idx="0" formatCode="#,##0_);\(#,##0\)">
                  <c:v>10336.009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A-4A79-AE84-7E988FFC372C}"/>
            </c:ext>
          </c:extLst>
        </c:ser>
        <c:ser>
          <c:idx val="1"/>
          <c:order val="1"/>
          <c:tx>
            <c:strRef>
              <c:f>waterfall!$B$3</c:f>
              <c:strCache>
                <c:ptCount val="1"/>
                <c:pt idx="0">
                  <c:v>Bushuila</c:v>
                </c:pt>
              </c:strCache>
            </c:strRef>
          </c:tx>
          <c:spPr>
            <a:solidFill>
              <a:schemeClr val="accent2">
                <a:lumMod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A7A-4A79-AE84-7E988FFC372C}"/>
              </c:ext>
            </c:extLst>
          </c:dPt>
          <c:val>
            <c:numRef>
              <c:f>waterfall!$C$3:$H$3</c:f>
              <c:numCache>
                <c:formatCode>General</c:formatCode>
                <c:ptCount val="6"/>
                <c:pt idx="0" formatCode="#,##0_);\(#,##0\)">
                  <c:v>393.04205623208981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7A-4A79-AE84-7E988FFC372C}"/>
            </c:ext>
          </c:extLst>
        </c:ser>
        <c:ser>
          <c:idx val="2"/>
          <c:order val="2"/>
          <c:tx>
            <c:strRef>
              <c:f>waterfall!$B$4</c:f>
              <c:strCache>
                <c:ptCount val="1"/>
                <c:pt idx="0">
                  <c:v>Daka</c:v>
                </c:pt>
              </c:strCache>
            </c:strRef>
          </c:tx>
          <c:spPr>
            <a:solidFill>
              <a:srgbClr val="078549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7854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A7A-4A79-AE84-7E988FFC372C}"/>
              </c:ext>
            </c:extLst>
          </c:dPt>
          <c:val>
            <c:numRef>
              <c:f>waterfall!$C$4:$H$4</c:f>
              <c:numCache>
                <c:formatCode>General</c:formatCode>
                <c:ptCount val="6"/>
                <c:pt idx="0" formatCode="#,##0_);\(#,##0\)">
                  <c:v>182.48672142402921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7A-4A79-AE84-7E988FFC372C}"/>
            </c:ext>
          </c:extLst>
        </c:ser>
        <c:ser>
          <c:idx val="3"/>
          <c:order val="3"/>
          <c:tx>
            <c:strRef>
              <c:f>waterfall!$B$5</c:f>
              <c:strCache>
                <c:ptCount val="1"/>
                <c:pt idx="0">
                  <c:v>Other drinks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A7A-4A79-AE84-7E988FFC372C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A7A-4A79-AE84-7E988FFC372C}"/>
              </c:ext>
            </c:extLst>
          </c:dPt>
          <c:val>
            <c:numRef>
              <c:f>waterfall!$C$5:$H$5</c:f>
              <c:numCache>
                <c:formatCode>#,##0_);\(#,##0\)</c:formatCode>
                <c:ptCount val="6"/>
                <c:pt idx="0">
                  <c:v>351.25630563388125</c:v>
                </c:pt>
                <c:pt idx="1">
                  <c:v>11262.79408329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A7A-4A79-AE84-7E988FFC372C}"/>
            </c:ext>
          </c:extLst>
        </c:ser>
        <c:ser>
          <c:idx val="4"/>
          <c:order val="4"/>
          <c:tx>
            <c:strRef>
              <c:f>waterfall!$B$6</c:f>
              <c:strCache>
                <c:ptCount val="1"/>
                <c:pt idx="0">
                  <c:v>+Special Drinks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ACD4F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6A7A-4A79-AE84-7E988FFC372C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A7A-4A79-AE84-7E988FFC372C}"/>
              </c:ext>
            </c:extLst>
          </c:dPt>
          <c:val>
            <c:numRef>
              <c:f>waterfall!$C$6:$H$6</c:f>
              <c:numCache>
                <c:formatCode>#,##0_);\(#,##0\)</c:formatCode>
                <c:ptCount val="6"/>
                <c:pt idx="1">
                  <c:v>8309.5364339526004</c:v>
                </c:pt>
                <c:pt idx="2">
                  <c:v>19572.330517242601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A7A-4A79-AE84-7E988FFC372C}"/>
            </c:ext>
          </c:extLst>
        </c:ser>
        <c:ser>
          <c:idx val="5"/>
          <c:order val="5"/>
          <c:tx>
            <c:strRef>
              <c:f>waterfall!$B$7</c:f>
              <c:strCache>
                <c:ptCount val="1"/>
                <c:pt idx="0">
                  <c:v>+Bushuila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A7A-4A79-AE84-7E988FFC372C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A7A-4A79-AE84-7E988FFC372C}"/>
              </c:ext>
            </c:extLst>
          </c:dPt>
          <c:val>
            <c:numRef>
              <c:f>waterfall!$C$7:$H$7</c:f>
              <c:numCache>
                <c:formatCode>General</c:formatCode>
                <c:ptCount val="6"/>
                <c:pt idx="2" formatCode="#,##0_);\(#,##0\)">
                  <c:v>4100.3722304259336</c:v>
                </c:pt>
                <c:pt idx="3" formatCode="#,##0_);\(#,##0\)">
                  <c:v>23672.702747668533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A7A-4A79-AE84-7E988FFC372C}"/>
            </c:ext>
          </c:extLst>
        </c:ser>
        <c:ser>
          <c:idx val="6"/>
          <c:order val="6"/>
          <c:tx>
            <c:strRef>
              <c:f>waterfall!$B$8</c:f>
              <c:strCache>
                <c:ptCount val="1"/>
                <c:pt idx="0">
                  <c:v>+Daka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07854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A7A-4A79-AE84-7E988FFC372C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A7A-4A79-AE84-7E988FFC372C}"/>
              </c:ext>
            </c:extLst>
          </c:dPt>
          <c:val>
            <c:numRef>
              <c:f>waterfall!$C$8:$H$8</c:f>
              <c:numCache>
                <c:formatCode>General</c:formatCode>
                <c:ptCount val="6"/>
                <c:pt idx="3" formatCode="#,##0_);\(#,##0\)">
                  <c:v>367.51327857597079</c:v>
                </c:pt>
                <c:pt idx="4" formatCode="#,##0_);\(#,##0\)">
                  <c:v>24040.216026244503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A7A-4A79-AE84-7E988FFC372C}"/>
            </c:ext>
          </c:extLst>
        </c:ser>
        <c:ser>
          <c:idx val="7"/>
          <c:order val="7"/>
          <c:tx>
            <c:strRef>
              <c:f>waterfall!$B$9</c:f>
              <c:strCache>
                <c:ptCount val="1"/>
                <c:pt idx="0">
                  <c:v>+Other drinks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6A7A-4A79-AE84-7E988FFC372C}"/>
              </c:ext>
            </c:extLst>
          </c:dPt>
          <c:val>
            <c:numRef>
              <c:f>waterfall!$C$9:$H$9</c:f>
              <c:numCache>
                <c:formatCode>General</c:formatCode>
                <c:ptCount val="6"/>
                <c:pt idx="4" formatCode="#,##0_);\(#,##0\)">
                  <c:v>1363.2924379462763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A7A-4A79-AE84-7E988FFC372C}"/>
            </c:ext>
          </c:extLst>
        </c:ser>
        <c:ser>
          <c:idx val="8"/>
          <c:order val="8"/>
          <c:tx>
            <c:strRef>
              <c:f>waterfall!$B$10</c:f>
              <c:strCache>
                <c:ptCount val="1"/>
              </c:strCache>
            </c:strRef>
          </c:tx>
          <c:spPr>
            <a:solidFill>
              <a:srgbClr val="1E72B0"/>
            </a:solidFill>
            <a:ln>
              <a:noFill/>
            </a:ln>
            <a:effectLst/>
          </c:spPr>
          <c:invertIfNegative val="0"/>
          <c:val>
            <c:numRef>
              <c:f>waterfall!$C$10:$H$10</c:f>
              <c:numCache>
                <c:formatCode>General</c:formatCode>
                <c:ptCount val="6"/>
                <c:pt idx="5" formatCode="#,##0_);\(#,##0\)">
                  <c:v>25403.508464190778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A7A-4A79-AE84-7E988FFC3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336049071"/>
        <c:axId val="935228975"/>
      </c:barChart>
      <c:catAx>
        <c:axId val="13360490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35228975"/>
        <c:crosses val="autoZero"/>
        <c:auto val="1"/>
        <c:lblAlgn val="ctr"/>
        <c:lblOffset val="100"/>
        <c:noMultiLvlLbl val="0"/>
      </c:catAx>
      <c:valAx>
        <c:axId val="93522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604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Eastroc 2026E GP contribution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05599300087489"/>
          <c:y val="0.16712962962962963"/>
          <c:w val="0.86038845144356957"/>
          <c:h val="0.731018518518518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waterfall!$B$2</c:f>
              <c:strCache>
                <c:ptCount val="1"/>
                <c:pt idx="0">
                  <c:v>Special Drinks</c:v>
                </c:pt>
              </c:strCache>
            </c:strRef>
          </c:tx>
          <c:spPr>
            <a:solidFill>
              <a:srgbClr val="ACD4F1"/>
            </a:solidFill>
            <a:ln>
              <a:noFill/>
            </a:ln>
            <a:effectLst/>
          </c:spPr>
          <c:invertIfNegative val="0"/>
          <c:val>
            <c:numRef>
              <c:f>waterfall!$K$2:$P$2</c:f>
              <c:numCache>
                <c:formatCode>#,##0_);\(#,##0\)</c:formatCode>
                <c:ptCount val="6"/>
                <c:pt idx="0">
                  <c:v>4684.7677205190002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8-4525-B5F5-6421C37ECC1B}"/>
            </c:ext>
          </c:extLst>
        </c:ser>
        <c:ser>
          <c:idx val="1"/>
          <c:order val="1"/>
          <c:tx>
            <c:strRef>
              <c:f>waterfall!$B$3</c:f>
              <c:strCache>
                <c:ptCount val="1"/>
                <c:pt idx="0">
                  <c:v>Bushuila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val>
            <c:numRef>
              <c:f>waterfall!$K$3:$P$3</c:f>
              <c:numCache>
                <c:formatCode>#,##0_);\(#,##0\)</c:formatCode>
                <c:ptCount val="6"/>
                <c:pt idx="0">
                  <c:v>74.677990684097068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C8-4525-B5F5-6421C37ECC1B}"/>
            </c:ext>
          </c:extLst>
        </c:ser>
        <c:ser>
          <c:idx val="2"/>
          <c:order val="2"/>
          <c:tx>
            <c:strRef>
              <c:f>waterfall!$B$4</c:f>
              <c:strCache>
                <c:ptCount val="1"/>
                <c:pt idx="0">
                  <c:v>Daka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waterfall!$K$4:$P$4</c:f>
              <c:numCache>
                <c:formatCode>#,##0_);\(#,##0\)</c:formatCode>
                <c:ptCount val="6"/>
                <c:pt idx="0">
                  <c:v>34.672477070565549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C8-4525-B5F5-6421C37ECC1B}"/>
            </c:ext>
          </c:extLst>
        </c:ser>
        <c:ser>
          <c:idx val="3"/>
          <c:order val="3"/>
          <c:tx>
            <c:strRef>
              <c:f>waterfall!$B$5</c:f>
              <c:strCache>
                <c:ptCount val="1"/>
                <c:pt idx="0">
                  <c:v>Other drinks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6C8-4525-B5F5-6421C37ECC1B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6C8-4525-B5F5-6421C37ECC1B}"/>
              </c:ext>
            </c:extLst>
          </c:dPt>
          <c:val>
            <c:numRef>
              <c:f>waterfall!$K$5:$P$5</c:f>
              <c:numCache>
                <c:formatCode>#,##0_);\(#,##0\)</c:formatCode>
                <c:ptCount val="6"/>
                <c:pt idx="0">
                  <c:v>57.022134906337584</c:v>
                </c:pt>
                <c:pt idx="1">
                  <c:v>4851.1403231800014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6C8-4525-B5F5-6421C37ECC1B}"/>
            </c:ext>
          </c:extLst>
        </c:ser>
        <c:ser>
          <c:idx val="4"/>
          <c:order val="4"/>
          <c:tx>
            <c:strRef>
              <c:f>waterfall!$B$6</c:f>
              <c:strCache>
                <c:ptCount val="1"/>
                <c:pt idx="0">
                  <c:v>+Special Drinks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ACD4F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6C8-4525-B5F5-6421C37ECC1B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6C8-4525-B5F5-6421C37ECC1B}"/>
              </c:ext>
            </c:extLst>
          </c:dPt>
          <c:val>
            <c:numRef>
              <c:f>waterfall!$K$6:$P$6</c:f>
              <c:numCache>
                <c:formatCode>#,##0_);\(#,##0\)</c:formatCode>
                <c:ptCount val="6"/>
                <c:pt idx="1">
                  <c:v>5028.310900512889</c:v>
                </c:pt>
                <c:pt idx="2">
                  <c:v>9879.4512236928895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C8-4525-B5F5-6421C37ECC1B}"/>
            </c:ext>
          </c:extLst>
        </c:ser>
        <c:ser>
          <c:idx val="5"/>
          <c:order val="5"/>
          <c:tx>
            <c:strRef>
              <c:f>waterfall!$B$7</c:f>
              <c:strCache>
                <c:ptCount val="1"/>
                <c:pt idx="0">
                  <c:v>+Bushuila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36C8-4525-B5F5-6421C37ECC1B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6C8-4525-B5F5-6421C37ECC1B}"/>
              </c:ext>
            </c:extLst>
          </c:dPt>
          <c:val>
            <c:numRef>
              <c:f>waterfall!$K$7:$P$7</c:f>
              <c:numCache>
                <c:formatCode>#,##0_);\(#,##0\)</c:formatCode>
                <c:ptCount val="6"/>
                <c:pt idx="2">
                  <c:v>1453.0828667796309</c:v>
                </c:pt>
                <c:pt idx="3">
                  <c:v>11332.53409047252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6C8-4525-B5F5-6421C37ECC1B}"/>
            </c:ext>
          </c:extLst>
        </c:ser>
        <c:ser>
          <c:idx val="6"/>
          <c:order val="6"/>
          <c:tx>
            <c:strRef>
              <c:f>waterfall!$B$8</c:f>
              <c:strCache>
                <c:ptCount val="1"/>
                <c:pt idx="0">
                  <c:v>+Daka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07854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6C8-4525-B5F5-6421C37ECC1B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6C8-4525-B5F5-6421C37ECC1B}"/>
              </c:ext>
            </c:extLst>
          </c:dPt>
          <c:val>
            <c:numRef>
              <c:f>waterfall!$K$8:$P$8</c:f>
              <c:numCache>
                <c:formatCode>#,##0_);\(#,##0\)</c:formatCode>
                <c:ptCount val="6"/>
                <c:pt idx="3">
                  <c:v>119.32752292943448</c:v>
                </c:pt>
                <c:pt idx="4">
                  <c:v>11451.861613401954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6C8-4525-B5F5-6421C37ECC1B}"/>
            </c:ext>
          </c:extLst>
        </c:ser>
        <c:ser>
          <c:idx val="7"/>
          <c:order val="7"/>
          <c:tx>
            <c:strRef>
              <c:f>waterfall!$B$9</c:f>
              <c:strCache>
                <c:ptCount val="1"/>
                <c:pt idx="0">
                  <c:v>+Other drinks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36C8-4525-B5F5-6421C37ECC1B}"/>
              </c:ext>
            </c:extLst>
          </c:dPt>
          <c:val>
            <c:numRef>
              <c:f>waterfall!$K$9:$P$9</c:f>
              <c:numCache>
                <c:formatCode>#,##0_);\(#,##0\)</c:formatCode>
                <c:ptCount val="6"/>
                <c:pt idx="4">
                  <c:v>204.34807636330243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6C8-4525-B5F5-6421C37ECC1B}"/>
            </c:ext>
          </c:extLst>
        </c:ser>
        <c:ser>
          <c:idx val="8"/>
          <c:order val="8"/>
          <c:tx>
            <c:strRef>
              <c:f>waterfall!$B$10</c:f>
              <c:strCache>
                <c:ptCount val="1"/>
              </c:strCache>
            </c:strRef>
          </c:tx>
          <c:spPr>
            <a:solidFill>
              <a:srgbClr val="1E72B0"/>
            </a:solidFill>
            <a:ln>
              <a:noFill/>
            </a:ln>
            <a:effectLst/>
          </c:spPr>
          <c:invertIfNegative val="0"/>
          <c:val>
            <c:numRef>
              <c:f>waterfall!$K$10:$P$10</c:f>
              <c:numCache>
                <c:formatCode>General</c:formatCode>
                <c:ptCount val="6"/>
                <c:pt idx="5" formatCode="#,##0_);\(#,##0\)">
                  <c:v>11656.209689765255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6C8-4525-B5F5-6421C37EC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336049071"/>
        <c:axId val="935228975"/>
      </c:barChart>
      <c:catAx>
        <c:axId val="13360490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35228975"/>
        <c:crosses val="autoZero"/>
        <c:auto val="1"/>
        <c:lblAlgn val="ctr"/>
        <c:lblOffset val="100"/>
        <c:noMultiLvlLbl val="0"/>
      </c:catAx>
      <c:valAx>
        <c:axId val="93522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lgDash"/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604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Eastroc sales breakdown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02269236893333"/>
          <c:y val="0.15248152059134107"/>
          <c:w val="0.64946998063598205"/>
          <c:h val="0.75467793030623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financial'!$A$5</c:f>
              <c:strCache>
                <c:ptCount val="1"/>
                <c:pt idx="0">
                  <c:v> Energy drinks </c:v>
                </c:pt>
              </c:strCache>
            </c:strRef>
          </c:tx>
          <c:spPr>
            <a:solidFill>
              <a:srgbClr val="00355F"/>
            </a:solidFill>
            <a:ln>
              <a:noFill/>
            </a:ln>
            <a:effectLst/>
          </c:spPr>
          <c:invertIfNegative val="0"/>
          <c:cat>
            <c:strRef>
              <c:f>'Summary financial'!$B$3:$J$3</c:f>
            </c:strRef>
          </c:cat>
          <c:val>
            <c:numRef>
              <c:f>'Summary financial'!$B$5:$J$5</c:f>
            </c:numRef>
          </c:val>
          <c:extLst>
            <c:ext xmlns:c16="http://schemas.microsoft.com/office/drawing/2014/chart" uri="{C3380CC4-5D6E-409C-BE32-E72D297353CC}">
              <c16:uniqueId val="{00000000-9C8D-4168-9D0C-3B5964373E0F}"/>
            </c:ext>
          </c:extLst>
        </c:ser>
        <c:ser>
          <c:idx val="1"/>
          <c:order val="1"/>
          <c:tx>
            <c:strRef>
              <c:f>'Summary financial'!$A$6</c:f>
              <c:strCache>
                <c:ptCount val="1"/>
                <c:pt idx="0">
                  <c:v> Other beverage </c:v>
                </c:pt>
              </c:strCache>
            </c:strRef>
          </c:tx>
          <c:spPr>
            <a:solidFill>
              <a:srgbClr val="ACD4F1"/>
            </a:solidFill>
            <a:ln>
              <a:noFill/>
            </a:ln>
            <a:effectLst/>
          </c:spPr>
          <c:invertIfNegative val="0"/>
          <c:cat>
            <c:strRef>
              <c:f>'Summary financial'!$B$3:$J$3</c:f>
            </c:strRef>
          </c:cat>
          <c:val>
            <c:numRef>
              <c:f>'Summary financial'!$B$6:$J$6</c:f>
            </c:numRef>
          </c:val>
          <c:extLst>
            <c:ext xmlns:c16="http://schemas.microsoft.com/office/drawing/2014/chart" uri="{C3380CC4-5D6E-409C-BE32-E72D297353CC}">
              <c16:uniqueId val="{00000001-9C8D-4168-9D0C-3B5964373E0F}"/>
            </c:ext>
          </c:extLst>
        </c:ser>
        <c:ser>
          <c:idx val="2"/>
          <c:order val="2"/>
          <c:tx>
            <c:strRef>
              <c:f>'Summary financial'!$A$7</c:f>
              <c:strCache>
                <c:ptCount val="1"/>
                <c:pt idx="0">
                  <c:v> Bushuila 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cat>
            <c:strRef>
              <c:f>'Summary financial'!$B$3:$J$3</c:f>
            </c:strRef>
          </c:cat>
          <c:val>
            <c:numRef>
              <c:f>'Summary financial'!$B$7:$J$7</c:f>
            </c:numRef>
          </c:val>
          <c:extLst>
            <c:ext xmlns:c16="http://schemas.microsoft.com/office/drawing/2014/chart" uri="{C3380CC4-5D6E-409C-BE32-E72D297353CC}">
              <c16:uniqueId val="{00000002-9C8D-4168-9D0C-3B5964373E0F}"/>
            </c:ext>
          </c:extLst>
        </c:ser>
        <c:ser>
          <c:idx val="3"/>
          <c:order val="3"/>
          <c:tx>
            <c:strRef>
              <c:f>'Summary financial'!$A$8</c:f>
              <c:strCache>
                <c:ptCount val="1"/>
                <c:pt idx="0">
                  <c:v> Others </c:v>
                </c:pt>
              </c:strCache>
            </c:strRef>
          </c:tx>
          <c:spPr>
            <a:solidFill>
              <a:srgbClr val="7399C6"/>
            </a:solidFill>
            <a:ln>
              <a:noFill/>
            </a:ln>
            <a:effectLst/>
          </c:spPr>
          <c:invertIfNegative val="0"/>
          <c:cat>
            <c:strRef>
              <c:f>'Summary financial'!$B$3:$J$3</c:f>
            </c:strRef>
          </c:cat>
          <c:val>
            <c:numRef>
              <c:f>'Summary financial'!$B$8:$J$8</c:f>
            </c:numRef>
          </c:val>
          <c:extLst>
            <c:ext xmlns:c16="http://schemas.microsoft.com/office/drawing/2014/chart" uri="{C3380CC4-5D6E-409C-BE32-E72D297353CC}">
              <c16:uniqueId val="{00000003-9C8D-4168-9D0C-3B5964373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4291423"/>
        <c:axId val="804280607"/>
      </c:barChart>
      <c:lineChart>
        <c:grouping val="standard"/>
        <c:varyColors val="0"/>
        <c:ser>
          <c:idx val="4"/>
          <c:order val="4"/>
          <c:tx>
            <c:strRef>
              <c:f>'Summary financial'!$A$9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financial'!$B$3:$J$3</c:f>
            </c:strRef>
          </c:cat>
          <c:val>
            <c:numRef>
              <c:f>'Summary financial'!$B$9:$J$9</c:f>
            </c:numRef>
          </c:val>
          <c:smooth val="0"/>
          <c:extLst>
            <c:ext xmlns:c16="http://schemas.microsoft.com/office/drawing/2014/chart" uri="{C3380CC4-5D6E-409C-BE32-E72D297353CC}">
              <c16:uniqueId val="{00000004-9C8D-4168-9D0C-3B5964373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291423"/>
        <c:axId val="804280607"/>
      </c:lineChart>
      <c:catAx>
        <c:axId val="80429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04280607"/>
        <c:crosses val="autoZero"/>
        <c:auto val="1"/>
        <c:lblAlgn val="ctr"/>
        <c:lblOffset val="100"/>
        <c:noMultiLvlLbl val="0"/>
      </c:catAx>
      <c:valAx>
        <c:axId val="80428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04291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15767035969829"/>
          <c:y val="0.17227799650043746"/>
          <c:w val="0.21017571433707774"/>
          <c:h val="0.756184383202099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Eastroc major business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Segment!$B$382</c:f>
              <c:strCache>
                <c:ptCount val="1"/>
                <c:pt idx="0">
                  <c:v>Guangdong</c:v>
                </c:pt>
              </c:strCache>
            </c:strRef>
          </c:tx>
          <c:spPr>
            <a:solidFill>
              <a:srgbClr val="00355F"/>
            </a:solidFill>
            <a:ln>
              <a:noFill/>
            </a:ln>
            <a:effectLst/>
          </c:spPr>
          <c:invertIfNegative val="0"/>
          <c:cat>
            <c:strRef>
              <c:f>Segment!$G$380:$U$380</c:f>
              <c:strCache>
                <c:ptCount val="1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 2,022 </c:v>
                </c:pt>
                <c:pt idx="5">
                  <c:v> 2,023 </c:v>
                </c:pt>
                <c:pt idx="6">
                  <c:v> 2,024 </c:v>
                </c:pt>
                <c:pt idx="7">
                  <c:v> 2025E </c:v>
                </c:pt>
                <c:pt idx="8">
                  <c:v> 2026E </c:v>
                </c:pt>
                <c:pt idx="9">
                  <c:v> 2027E </c:v>
                </c:pt>
                <c:pt idx="13">
                  <c:v> -   </c:v>
                </c:pt>
                <c:pt idx="14">
                  <c:v>收入地理分布</c:v>
                </c:pt>
              </c:strCache>
            </c:strRef>
          </c:cat>
          <c:val>
            <c:numRef>
              <c:f>Segment!$G$382:$J$382</c:f>
              <c:numCache>
                <c:formatCode>_(* #,##0_);_(* \(#,##0\);_(* "-"??_);_(@_)</c:formatCode>
                <c:ptCount val="4"/>
                <c:pt idx="0">
                  <c:v>1845.8327999999999</c:v>
                </c:pt>
                <c:pt idx="1">
                  <c:v>2519.9427999999998</c:v>
                </c:pt>
                <c:pt idx="2">
                  <c:v>2751.1878999999999</c:v>
                </c:pt>
                <c:pt idx="3">
                  <c:v>3199.0690237399999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E-450D-ABDF-2BDC11FC7982}"/>
            </c:ext>
          </c:extLst>
        </c:ser>
        <c:ser>
          <c:idx val="2"/>
          <c:order val="2"/>
          <c:tx>
            <c:strRef>
              <c:f>Segment!$B$383</c:f>
              <c:strCache>
                <c:ptCount val="1"/>
                <c:pt idx="0">
                  <c:v>Central China</c:v>
                </c:pt>
              </c:strCache>
            </c:strRef>
          </c:tx>
          <c:spPr>
            <a:solidFill>
              <a:srgbClr val="ACD4F1"/>
            </a:solidFill>
            <a:ln>
              <a:noFill/>
            </a:ln>
            <a:effectLst/>
          </c:spPr>
          <c:invertIfNegative val="0"/>
          <c:cat>
            <c:strRef>
              <c:f>Segment!$G$380:$U$380</c:f>
              <c:strCache>
                <c:ptCount val="1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 2,022 </c:v>
                </c:pt>
                <c:pt idx="5">
                  <c:v> 2,023 </c:v>
                </c:pt>
                <c:pt idx="6">
                  <c:v> 2,024 </c:v>
                </c:pt>
                <c:pt idx="7">
                  <c:v> 2025E </c:v>
                </c:pt>
                <c:pt idx="8">
                  <c:v> 2026E </c:v>
                </c:pt>
                <c:pt idx="9">
                  <c:v> 2027E </c:v>
                </c:pt>
                <c:pt idx="13">
                  <c:v> -   </c:v>
                </c:pt>
                <c:pt idx="14">
                  <c:v>收入地理分布</c:v>
                </c:pt>
              </c:strCache>
            </c:strRef>
          </c:cat>
          <c:val>
            <c:numRef>
              <c:f>Segment!$G$383:$J$383</c:f>
              <c:numCache>
                <c:formatCode>_(* #,##0_);_(* \(#,##0\);_(* "-"??_);_(@_)</c:formatCode>
                <c:ptCount val="4"/>
                <c:pt idx="0">
                  <c:v>285.36349999999999</c:v>
                </c:pt>
                <c:pt idx="1">
                  <c:v>463.18800000000005</c:v>
                </c:pt>
                <c:pt idx="2">
                  <c:v>558.30499999999995</c:v>
                </c:pt>
                <c:pt idx="3">
                  <c:v>753.13380594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0E-450D-ABDF-2BDC11FC7982}"/>
            </c:ext>
          </c:extLst>
        </c:ser>
        <c:ser>
          <c:idx val="3"/>
          <c:order val="3"/>
          <c:tx>
            <c:strRef>
              <c:f>Segment!$B$384</c:f>
              <c:strCache>
                <c:ptCount val="1"/>
                <c:pt idx="0">
                  <c:v>Guangxi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cat>
            <c:strRef>
              <c:f>Segment!$G$380:$U$380</c:f>
              <c:strCache>
                <c:ptCount val="1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 2,022 </c:v>
                </c:pt>
                <c:pt idx="5">
                  <c:v> 2,023 </c:v>
                </c:pt>
                <c:pt idx="6">
                  <c:v> 2,024 </c:v>
                </c:pt>
                <c:pt idx="7">
                  <c:v> 2025E </c:v>
                </c:pt>
                <c:pt idx="8">
                  <c:v> 2026E </c:v>
                </c:pt>
                <c:pt idx="9">
                  <c:v> 2027E </c:v>
                </c:pt>
                <c:pt idx="13">
                  <c:v> -   </c:v>
                </c:pt>
                <c:pt idx="14">
                  <c:v>收入地理分布</c:v>
                </c:pt>
              </c:strCache>
            </c:strRef>
          </c:cat>
          <c:val>
            <c:numRef>
              <c:f>Segment!$G$384:$J$384</c:f>
              <c:numCache>
                <c:formatCode>_(* #,##0_);_(* \(#,##0\);_(* "-"??_);_(@_)</c:formatCode>
                <c:ptCount val="4"/>
                <c:pt idx="0">
                  <c:v>328.8904</c:v>
                </c:pt>
                <c:pt idx="1">
                  <c:v>413.67140000000001</c:v>
                </c:pt>
                <c:pt idx="2">
                  <c:v>520.73829999999998</c:v>
                </c:pt>
                <c:pt idx="3">
                  <c:v>705.65474259999996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0E-450D-ABDF-2BDC11FC7982}"/>
            </c:ext>
          </c:extLst>
        </c:ser>
        <c:ser>
          <c:idx val="4"/>
          <c:order val="4"/>
          <c:tx>
            <c:strRef>
              <c:f>Segment!$B$385</c:f>
              <c:strCache>
                <c:ptCount val="1"/>
                <c:pt idx="0">
                  <c:v>East China</c:v>
                </c:pt>
              </c:strCache>
            </c:strRef>
          </c:tx>
          <c:spPr>
            <a:solidFill>
              <a:srgbClr val="7399C6"/>
            </a:solidFill>
            <a:ln>
              <a:noFill/>
            </a:ln>
            <a:effectLst/>
          </c:spPr>
          <c:invertIfNegative val="0"/>
          <c:cat>
            <c:strRef>
              <c:f>Segment!$G$380:$U$380</c:f>
              <c:strCache>
                <c:ptCount val="1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 2,022 </c:v>
                </c:pt>
                <c:pt idx="5">
                  <c:v> 2,023 </c:v>
                </c:pt>
                <c:pt idx="6">
                  <c:v> 2,024 </c:v>
                </c:pt>
                <c:pt idx="7">
                  <c:v> 2025E </c:v>
                </c:pt>
                <c:pt idx="8">
                  <c:v> 2026E </c:v>
                </c:pt>
                <c:pt idx="9">
                  <c:v> 2027E </c:v>
                </c:pt>
                <c:pt idx="13">
                  <c:v> -   </c:v>
                </c:pt>
                <c:pt idx="14">
                  <c:v>收入地理分布</c:v>
                </c:pt>
              </c:strCache>
            </c:strRef>
          </c:cat>
          <c:val>
            <c:numRef>
              <c:f>Segment!$G$385:$J$385</c:f>
              <c:numCache>
                <c:formatCode>_(* #,##0_);_(* \(#,##0\);_(* "-"??_);_(@_)</c:formatCode>
                <c:ptCount val="4"/>
                <c:pt idx="0">
                  <c:v>266.33819999999997</c:v>
                </c:pt>
                <c:pt idx="1">
                  <c:v>394.10599999999999</c:v>
                </c:pt>
                <c:pt idx="2">
                  <c:v>499.22910000000002</c:v>
                </c:pt>
                <c:pt idx="3">
                  <c:v>771.66290557000002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0E-450D-ABDF-2BDC11FC7982}"/>
            </c:ext>
          </c:extLst>
        </c:ser>
        <c:ser>
          <c:idx val="5"/>
          <c:order val="5"/>
          <c:tx>
            <c:strRef>
              <c:f>Segment!$B$386</c:f>
              <c:strCache>
                <c:ptCount val="1"/>
                <c:pt idx="0">
                  <c:v>Southwest</c:v>
                </c:pt>
              </c:strCache>
            </c:strRef>
          </c:tx>
          <c:spPr>
            <a:solidFill>
              <a:srgbClr val="078549"/>
            </a:solidFill>
            <a:ln>
              <a:noFill/>
            </a:ln>
            <a:effectLst/>
          </c:spPr>
          <c:invertIfNegative val="0"/>
          <c:cat>
            <c:strRef>
              <c:f>Segment!$G$380:$U$380</c:f>
              <c:strCache>
                <c:ptCount val="1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 2,022 </c:v>
                </c:pt>
                <c:pt idx="5">
                  <c:v> 2,023 </c:v>
                </c:pt>
                <c:pt idx="6">
                  <c:v> 2,024 </c:v>
                </c:pt>
                <c:pt idx="7">
                  <c:v> 2025E </c:v>
                </c:pt>
                <c:pt idx="8">
                  <c:v> 2026E </c:v>
                </c:pt>
                <c:pt idx="9">
                  <c:v> 2027E </c:v>
                </c:pt>
                <c:pt idx="13">
                  <c:v> -   </c:v>
                </c:pt>
                <c:pt idx="14">
                  <c:v>收入地理分布</c:v>
                </c:pt>
              </c:strCache>
            </c:strRef>
          </c:cat>
          <c:val>
            <c:numRef>
              <c:f>Segment!$G$386:$J$386</c:f>
              <c:numCache>
                <c:formatCode>_(* #,##0_);_(* \(#,##0\);_(* "-"??_);_(@_)</c:formatCode>
                <c:ptCount val="4"/>
                <c:pt idx="0">
                  <c:v>108.35780000000001</c:v>
                </c:pt>
                <c:pt idx="1">
                  <c:v>191.3493</c:v>
                </c:pt>
                <c:pt idx="2">
                  <c:v>294.20330000000001</c:v>
                </c:pt>
                <c:pt idx="3">
                  <c:v>431.73761000000002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0E-450D-ABDF-2BDC11FC7982}"/>
            </c:ext>
          </c:extLst>
        </c:ser>
        <c:ser>
          <c:idx val="6"/>
          <c:order val="6"/>
          <c:tx>
            <c:strRef>
              <c:f>Segment!$B$387</c:f>
              <c:strCache>
                <c:ptCount val="1"/>
                <c:pt idx="0">
                  <c:v>North China</c:v>
                </c:pt>
              </c:strCache>
            </c:strRef>
          </c:tx>
          <c:spPr>
            <a:solidFill>
              <a:srgbClr val="87C346"/>
            </a:solidFill>
            <a:ln>
              <a:noFill/>
            </a:ln>
            <a:effectLst/>
          </c:spPr>
          <c:invertIfNegative val="0"/>
          <c:cat>
            <c:strRef>
              <c:f>Segment!$G$380:$U$380</c:f>
              <c:strCache>
                <c:ptCount val="1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 2,022 </c:v>
                </c:pt>
                <c:pt idx="5">
                  <c:v> 2,023 </c:v>
                </c:pt>
                <c:pt idx="6">
                  <c:v> 2,024 </c:v>
                </c:pt>
                <c:pt idx="7">
                  <c:v> 2025E </c:v>
                </c:pt>
                <c:pt idx="8">
                  <c:v> 2026E </c:v>
                </c:pt>
                <c:pt idx="9">
                  <c:v> 2027E </c:v>
                </c:pt>
                <c:pt idx="13">
                  <c:v> -   </c:v>
                </c:pt>
                <c:pt idx="14">
                  <c:v>收入地理分布</c:v>
                </c:pt>
              </c:strCache>
            </c:strRef>
          </c:cat>
          <c:val>
            <c:numRef>
              <c:f>Segment!$G$387:$J$387</c:f>
              <c:numCache>
                <c:formatCode>_(* #,##0_);_(* \(#,##0\);_(* "-"??_);_(@_)</c:formatCode>
                <c:ptCount val="4"/>
                <c:pt idx="0">
                  <c:v>116.3562</c:v>
                </c:pt>
                <c:pt idx="1">
                  <c:v>144.38679999999999</c:v>
                </c:pt>
                <c:pt idx="2">
                  <c:v>213.1361</c:v>
                </c:pt>
                <c:pt idx="3">
                  <c:v>339.46167019000001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0E-450D-ABDF-2BDC11FC7982}"/>
            </c:ext>
          </c:extLst>
        </c:ser>
        <c:ser>
          <c:idx val="7"/>
          <c:order val="7"/>
          <c:tx>
            <c:strRef>
              <c:f>Segment!$B$388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Segment!$G$380:$U$380</c:f>
              <c:strCache>
                <c:ptCount val="1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 2,022 </c:v>
                </c:pt>
                <c:pt idx="5">
                  <c:v> 2,023 </c:v>
                </c:pt>
                <c:pt idx="6">
                  <c:v> 2,024 </c:v>
                </c:pt>
                <c:pt idx="7">
                  <c:v> 2025E </c:v>
                </c:pt>
                <c:pt idx="8">
                  <c:v> 2026E </c:v>
                </c:pt>
                <c:pt idx="9">
                  <c:v> 2027E </c:v>
                </c:pt>
                <c:pt idx="13">
                  <c:v> -   </c:v>
                </c:pt>
                <c:pt idx="14">
                  <c:v>收入地理分布</c:v>
                </c:pt>
              </c:strCache>
            </c:strRef>
          </c:cat>
          <c:val>
            <c:numRef>
              <c:f>Segment!$G$388:$J$388</c:f>
              <c:numCache>
                <c:formatCode>_(* #,##0_);_(* \(#,##0\);_(* "-"??_);_(@_)</c:formatCode>
                <c:ptCount val="4"/>
                <c:pt idx="0">
                  <c:v>25.719200000000001</c:v>
                </c:pt>
                <c:pt idx="1">
                  <c:v>23.705100000000002</c:v>
                </c:pt>
                <c:pt idx="2">
                  <c:v>42.161799999999999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0E-450D-ABDF-2BDC11FC7982}"/>
            </c:ext>
          </c:extLst>
        </c:ser>
        <c:ser>
          <c:idx val="8"/>
          <c:order val="8"/>
          <c:tx>
            <c:strRef>
              <c:f>Segment!$B$389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rgbClr val="000000"/>
            </a:solidFill>
            <a:ln>
              <a:noFill/>
            </a:ln>
            <a:effectLst/>
          </c:spPr>
          <c:invertIfNegative val="0"/>
          <c:cat>
            <c:strRef>
              <c:f>Segment!$G$380:$U$380</c:f>
              <c:strCache>
                <c:ptCount val="1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 2,022 </c:v>
                </c:pt>
                <c:pt idx="5">
                  <c:v> 2,023 </c:v>
                </c:pt>
                <c:pt idx="6">
                  <c:v> 2,024 </c:v>
                </c:pt>
                <c:pt idx="7">
                  <c:v> 2025E </c:v>
                </c:pt>
                <c:pt idx="8">
                  <c:v> 2026E </c:v>
                </c:pt>
                <c:pt idx="9">
                  <c:v> 2027E </c:v>
                </c:pt>
                <c:pt idx="13">
                  <c:v> -   </c:v>
                </c:pt>
                <c:pt idx="14">
                  <c:v>收入地理分布</c:v>
                </c:pt>
              </c:strCache>
            </c:strRef>
          </c:cat>
          <c:val>
            <c:numRef>
              <c:f>Segment!$G$389:$J$389</c:f>
              <c:numCache>
                <c:formatCode>_(* #,##0_);_(* \(#,##0\);_(* "-"??_);_(@_)</c:formatCode>
                <c:ptCount val="4"/>
                <c:pt idx="0">
                  <c:v>44.319899999999997</c:v>
                </c:pt>
                <c:pt idx="1">
                  <c:v>41.457799999999999</c:v>
                </c:pt>
                <c:pt idx="2">
                  <c:v>56.701700000000002</c:v>
                </c:pt>
                <c:pt idx="3">
                  <c:v>106.83578068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0E-450D-ABDF-2BDC11FC7982}"/>
            </c:ext>
          </c:extLst>
        </c:ser>
        <c:ser>
          <c:idx val="9"/>
          <c:order val="9"/>
          <c:tx>
            <c:strRef>
              <c:f>Segment!$B$390</c:f>
              <c:strCache>
                <c:ptCount val="1"/>
                <c:pt idx="0">
                  <c:v>DTC</c:v>
                </c:pt>
              </c:strCache>
            </c:strRef>
          </c:tx>
          <c:spPr>
            <a:solidFill>
              <a:srgbClr val="1E72B0"/>
            </a:solidFill>
            <a:ln>
              <a:noFill/>
            </a:ln>
            <a:effectLst/>
          </c:spPr>
          <c:invertIfNegative val="0"/>
          <c:cat>
            <c:strRef>
              <c:f>Segment!$G$380:$U$380</c:f>
              <c:strCache>
                <c:ptCount val="1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 2,022 </c:v>
                </c:pt>
                <c:pt idx="5">
                  <c:v> 2,023 </c:v>
                </c:pt>
                <c:pt idx="6">
                  <c:v> 2,024 </c:v>
                </c:pt>
                <c:pt idx="7">
                  <c:v> 2025E </c:v>
                </c:pt>
                <c:pt idx="8">
                  <c:v> 2026E </c:v>
                </c:pt>
                <c:pt idx="9">
                  <c:v> 2027E </c:v>
                </c:pt>
                <c:pt idx="13">
                  <c:v> -   </c:v>
                </c:pt>
                <c:pt idx="14">
                  <c:v>收入地理分布</c:v>
                </c:pt>
              </c:strCache>
            </c:strRef>
          </c:cat>
          <c:val>
            <c:numRef>
              <c:f>Segment!$G$390:$J$390</c:f>
              <c:numCache>
                <c:formatCode>_(* #,##0_);_(* \(#,##0\);_(* "-"??_);_(@_)</c:formatCode>
                <c:ptCount val="4"/>
                <c:pt idx="2">
                  <c:v>458.01654085421171</c:v>
                </c:pt>
                <c:pt idx="3">
                  <c:v>656.29190139000002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0E-450D-ABDF-2BDC11FC7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4012479"/>
        <c:axId val="1024029951"/>
      </c:barChart>
      <c:lineChart>
        <c:grouping val="standard"/>
        <c:varyColors val="0"/>
        <c:ser>
          <c:idx val="0"/>
          <c:order val="0"/>
          <c:tx>
            <c:strRef>
              <c:f>Segment!$B$381</c:f>
              <c:strCache>
                <c:ptCount val="1"/>
                <c:pt idx="0">
                  <c:v>Revenue by region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Segment!$G$380:$U$380</c:f>
              <c:strCache>
                <c:ptCount val="1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 2,022 </c:v>
                </c:pt>
                <c:pt idx="5">
                  <c:v> 2,023 </c:v>
                </c:pt>
                <c:pt idx="6">
                  <c:v> 2,024 </c:v>
                </c:pt>
                <c:pt idx="7">
                  <c:v> 2025E </c:v>
                </c:pt>
                <c:pt idx="8">
                  <c:v> 2026E </c:v>
                </c:pt>
                <c:pt idx="9">
                  <c:v> 2027E </c:v>
                </c:pt>
                <c:pt idx="13">
                  <c:v> -   </c:v>
                </c:pt>
                <c:pt idx="14">
                  <c:v>收入地理分布</c:v>
                </c:pt>
              </c:strCache>
            </c:strRef>
          </c:cat>
          <c:val>
            <c:numRef>
              <c:f>Segment!$G$381:$J$381</c:f>
              <c:numCache>
                <c:formatCode>_(* #,##0_);_(* \(#,##0\);_(* "-"??_);_(@_)</c:formatCode>
                <c:ptCount val="4"/>
                <c:pt idx="0">
                  <c:v>3021.1780000000003</c:v>
                </c:pt>
                <c:pt idx="1">
                  <c:v>4191.8072000000002</c:v>
                </c:pt>
                <c:pt idx="2">
                  <c:v>4935.6631999999991</c:v>
                </c:pt>
                <c:pt idx="3">
                  <c:v>6963.8474401100002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D0E-450D-ABDF-2BDC11FC7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4012479"/>
        <c:axId val="1024029951"/>
      </c:lineChart>
      <c:catAx>
        <c:axId val="102401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4029951"/>
        <c:crosses val="autoZero"/>
        <c:auto val="1"/>
        <c:lblAlgn val="ctr"/>
        <c:lblOffset val="100"/>
        <c:noMultiLvlLbl val="0"/>
      </c:catAx>
      <c:valAx>
        <c:axId val="102402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401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Eastroc sales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49569999558016E-2"/>
          <c:y val="0.15248152059134107"/>
          <c:w val="0.67669507065041534"/>
          <c:h val="0.7002133550624017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financial'!$A$5</c:f>
              <c:strCache>
                <c:ptCount val="1"/>
                <c:pt idx="0">
                  <c:v> Energy drinks </c:v>
                </c:pt>
              </c:strCache>
            </c:strRef>
          </c:tx>
          <c:spPr>
            <a:solidFill>
              <a:srgbClr val="00355F"/>
            </a:solidFill>
            <a:ln>
              <a:noFill/>
            </a:ln>
            <a:effectLst/>
          </c:spPr>
          <c:invertIfNegative val="0"/>
          <c:cat>
            <c:multiLvlStrRef>
              <c:f>'Summary financial'!$AF$3:$AS$3</c:f>
            </c:multiLvlStrRef>
          </c:cat>
          <c:val>
            <c:numRef>
              <c:f>'Summary financial'!$AF$5:$AS$5</c:f>
            </c:numRef>
          </c:val>
          <c:extLst>
            <c:ext xmlns:c16="http://schemas.microsoft.com/office/drawing/2014/chart" uri="{C3380CC4-5D6E-409C-BE32-E72D297353CC}">
              <c16:uniqueId val="{00000000-2888-40C2-835E-1904A254F641}"/>
            </c:ext>
          </c:extLst>
        </c:ser>
        <c:ser>
          <c:idx val="1"/>
          <c:order val="1"/>
          <c:tx>
            <c:strRef>
              <c:f>'Summary financial'!$A$6</c:f>
              <c:strCache>
                <c:ptCount val="1"/>
                <c:pt idx="0">
                  <c:v> Other beverage </c:v>
                </c:pt>
              </c:strCache>
            </c:strRef>
          </c:tx>
          <c:spPr>
            <a:solidFill>
              <a:srgbClr val="ACD4F1"/>
            </a:solidFill>
            <a:ln>
              <a:noFill/>
            </a:ln>
            <a:effectLst/>
          </c:spPr>
          <c:invertIfNegative val="0"/>
          <c:cat>
            <c:multiLvlStrRef>
              <c:f>'Summary financial'!$AF$3:$AS$3</c:f>
            </c:multiLvlStrRef>
          </c:cat>
          <c:val>
            <c:numRef>
              <c:f>'Summary financial'!$AF$6:$AS$6</c:f>
            </c:numRef>
          </c:val>
          <c:extLst>
            <c:ext xmlns:c16="http://schemas.microsoft.com/office/drawing/2014/chart" uri="{C3380CC4-5D6E-409C-BE32-E72D297353CC}">
              <c16:uniqueId val="{00000001-2888-40C2-835E-1904A254F641}"/>
            </c:ext>
          </c:extLst>
        </c:ser>
        <c:ser>
          <c:idx val="2"/>
          <c:order val="2"/>
          <c:tx>
            <c:strRef>
              <c:f>'Summary financial'!$A$7</c:f>
              <c:strCache>
                <c:ptCount val="1"/>
                <c:pt idx="0">
                  <c:v> Bushuila 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cat>
            <c:multiLvlStrRef>
              <c:f>'Summary financial'!$AF$3:$AS$3</c:f>
            </c:multiLvlStrRef>
          </c:cat>
          <c:val>
            <c:numRef>
              <c:f>'Summary financial'!$AF$7:$AS$7</c:f>
            </c:numRef>
          </c:val>
          <c:extLst>
            <c:ext xmlns:c16="http://schemas.microsoft.com/office/drawing/2014/chart" uri="{C3380CC4-5D6E-409C-BE32-E72D297353CC}">
              <c16:uniqueId val="{00000002-2888-40C2-835E-1904A254F641}"/>
            </c:ext>
          </c:extLst>
        </c:ser>
        <c:ser>
          <c:idx val="3"/>
          <c:order val="3"/>
          <c:tx>
            <c:strRef>
              <c:f>'Summary financial'!$A$8</c:f>
              <c:strCache>
                <c:ptCount val="1"/>
                <c:pt idx="0">
                  <c:v> Others </c:v>
                </c:pt>
              </c:strCache>
            </c:strRef>
          </c:tx>
          <c:spPr>
            <a:solidFill>
              <a:srgbClr val="7399C6"/>
            </a:solidFill>
            <a:ln>
              <a:noFill/>
            </a:ln>
            <a:effectLst/>
          </c:spPr>
          <c:invertIfNegative val="0"/>
          <c:cat>
            <c:multiLvlStrRef>
              <c:f>'Summary financial'!$AF$3:$AS$3</c:f>
            </c:multiLvlStrRef>
          </c:cat>
          <c:val>
            <c:numRef>
              <c:f>'Summary financial'!$AF$8:$AS$8</c:f>
            </c:numRef>
          </c:val>
          <c:extLst>
            <c:ext xmlns:c16="http://schemas.microsoft.com/office/drawing/2014/chart" uri="{C3380CC4-5D6E-409C-BE32-E72D297353CC}">
              <c16:uniqueId val="{00000003-2888-40C2-835E-1904A254F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414560"/>
        <c:axId val="160436192"/>
      </c:barChart>
      <c:lineChart>
        <c:grouping val="standard"/>
        <c:varyColors val="0"/>
        <c:ser>
          <c:idx val="4"/>
          <c:order val="4"/>
          <c:tx>
            <c:strRef>
              <c:f>'Summary financial'!$A$9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'Summary financial'!$AF$3:$AS$3</c:f>
            </c:multiLvlStrRef>
          </c:cat>
          <c:val>
            <c:numRef>
              <c:f>'Summary financial'!$AF$9:$AS$9</c:f>
            </c:numRef>
          </c:val>
          <c:smooth val="0"/>
          <c:extLst>
            <c:ext xmlns:c16="http://schemas.microsoft.com/office/drawing/2014/chart" uri="{C3380CC4-5D6E-409C-BE32-E72D297353CC}">
              <c16:uniqueId val="{00000004-2888-40C2-835E-1904A254F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414560"/>
        <c:axId val="160436192"/>
      </c:lineChart>
      <c:catAx>
        <c:axId val="16041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436192"/>
        <c:crosses val="autoZero"/>
        <c:auto val="1"/>
        <c:lblAlgn val="ctr"/>
        <c:lblOffset val="100"/>
        <c:noMultiLvlLbl val="0"/>
      </c:catAx>
      <c:valAx>
        <c:axId val="160436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41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66539798963497"/>
          <c:y val="0.12516508826048275"/>
          <c:w val="0.21355686703545618"/>
          <c:h val="0.709160631584198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Eastroc sales 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financial'!$A$41</c:f>
              <c:strCache>
                <c:ptCount val="1"/>
                <c:pt idx="0">
                  <c:v> Energy drinks </c:v>
                </c:pt>
              </c:strCache>
            </c:strRef>
          </c:tx>
          <c:spPr>
            <a:ln w="28575" cap="rnd">
              <a:solidFill>
                <a:srgbClr val="00355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355F"/>
                </a:solidFill>
              </a:ln>
              <a:effectLst/>
            </c:spPr>
          </c:marker>
          <c:val>
            <c:numRef>
              <c:f>'Summary financial'!$D$41:$J$41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'Summary financial'!$D$39:$J$39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A18-4F5B-9924-3B6A9AB69068}"/>
            </c:ext>
          </c:extLst>
        </c:ser>
        <c:ser>
          <c:idx val="1"/>
          <c:order val="1"/>
          <c:tx>
            <c:strRef>
              <c:f>'Summary financial'!$A$42</c:f>
              <c:strCache>
                <c:ptCount val="1"/>
                <c:pt idx="0">
                  <c:v> Other beverage </c:v>
                </c:pt>
              </c:strCache>
            </c:strRef>
          </c:tx>
          <c:spPr>
            <a:ln w="28575" cap="rnd">
              <a:solidFill>
                <a:srgbClr val="ACD4F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ACD4F1"/>
                </a:solidFill>
              </a:ln>
              <a:effectLst/>
            </c:spPr>
          </c:marker>
          <c:val>
            <c:numRef>
              <c:f>'Summary financial'!$D$42:$J$42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'Summary financial'!$D$39:$J$39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A18-4F5B-9924-3B6A9AB69068}"/>
            </c:ext>
          </c:extLst>
        </c:ser>
        <c:ser>
          <c:idx val="2"/>
          <c:order val="2"/>
          <c:tx>
            <c:strRef>
              <c:f>'Summary financial'!$A$45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A5A5A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A5A5A5"/>
                </a:solidFill>
              </a:ln>
              <a:effectLst/>
            </c:spPr>
          </c:marker>
          <c:val>
            <c:numRef>
              <c:f>'Summary financial'!$D$45:$J$45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'Summary financial'!$D$39:$J$39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A18-4F5B-9924-3B6A9AB69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326367"/>
        <c:axId val="804331359"/>
      </c:lineChart>
      <c:catAx>
        <c:axId val="80432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04331359"/>
        <c:crosses val="autoZero"/>
        <c:auto val="1"/>
        <c:lblAlgn val="ctr"/>
        <c:lblOffset val="100"/>
        <c:noMultiLvlLbl val="0"/>
      </c:catAx>
      <c:valAx>
        <c:axId val="804331359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0432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Eastroc GPM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financial'!$A$56</c:f>
              <c:strCache>
                <c:ptCount val="1"/>
                <c:pt idx="0">
                  <c:v> Energy drinks </c:v>
                </c:pt>
              </c:strCache>
            </c:strRef>
          </c:tx>
          <c:spPr>
            <a:ln w="28575" cap="rnd">
              <a:solidFill>
                <a:srgbClr val="00355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355F"/>
                </a:solidFill>
              </a:ln>
              <a:effectLst/>
            </c:spPr>
          </c:marker>
          <c:val>
            <c:numRef>
              <c:f>'Summary financial'!$C$56:$J$56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'Summary financial'!$C$54:$J$54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AE3-4C87-8373-DC730725C441}"/>
            </c:ext>
          </c:extLst>
        </c:ser>
        <c:ser>
          <c:idx val="1"/>
          <c:order val="1"/>
          <c:tx>
            <c:strRef>
              <c:f>'Summary financial'!$A$57</c:f>
              <c:strCache>
                <c:ptCount val="1"/>
                <c:pt idx="0">
                  <c:v> Other beverage </c:v>
                </c:pt>
              </c:strCache>
            </c:strRef>
          </c:tx>
          <c:spPr>
            <a:ln w="28575" cap="rnd">
              <a:solidFill>
                <a:srgbClr val="ACD4F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ACD4F1"/>
                </a:solidFill>
              </a:ln>
              <a:effectLst/>
            </c:spPr>
          </c:marker>
          <c:val>
            <c:numRef>
              <c:f>'Summary financial'!$C$57:$J$57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'Summary financial'!$C$54:$J$54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AE3-4C87-8373-DC730725C441}"/>
            </c:ext>
          </c:extLst>
        </c:ser>
        <c:ser>
          <c:idx val="2"/>
          <c:order val="2"/>
          <c:tx>
            <c:strRef>
              <c:f>'Summary financial'!$A$60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A5A5A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A5A5A5"/>
                </a:solidFill>
              </a:ln>
              <a:effectLst/>
            </c:spPr>
          </c:marker>
          <c:val>
            <c:numRef>
              <c:f>'Summary financial'!$C$60:$J$60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'Summary financial'!$C$54:$J$54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AE3-4C87-8373-DC730725C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390016"/>
        <c:axId val="160401664"/>
      </c:lineChart>
      <c:catAx>
        <c:axId val="16039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401664"/>
        <c:crosses val="autoZero"/>
        <c:auto val="1"/>
        <c:lblAlgn val="ctr"/>
        <c:lblOffset val="100"/>
        <c:noMultiLvlLbl val="0"/>
      </c:catAx>
      <c:valAx>
        <c:axId val="16040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39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Eastroc 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financial'!$A$103</c:f>
              <c:strCache>
                <c:ptCount val="1"/>
                <c:pt idx="0">
                  <c:v>GP margin</c:v>
                </c:pt>
              </c:strCache>
            </c:strRef>
          </c:tx>
          <c:spPr>
            <a:ln w="28575" cap="rnd">
              <a:solidFill>
                <a:srgbClr val="00355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355F"/>
                </a:solidFill>
              </a:ln>
              <a:effectLst/>
            </c:spPr>
          </c:marker>
          <c:cat>
            <c:strRef>
              <c:f>'Summary financial'!$B$3:$J$3</c:f>
            </c:strRef>
          </c:cat>
          <c:val>
            <c:numRef>
              <c:f>'Summary financial'!$B$103:$J$103</c:f>
            </c:numRef>
          </c:val>
          <c:smooth val="1"/>
          <c:extLst>
            <c:ext xmlns:c16="http://schemas.microsoft.com/office/drawing/2014/chart" uri="{C3380CC4-5D6E-409C-BE32-E72D297353CC}">
              <c16:uniqueId val="{00000000-86A3-4637-9515-6493DD452ECE}"/>
            </c:ext>
          </c:extLst>
        </c:ser>
        <c:ser>
          <c:idx val="2"/>
          <c:order val="1"/>
          <c:tx>
            <c:strRef>
              <c:f>'Summary financial'!$A$105</c:f>
              <c:strCache>
                <c:ptCount val="1"/>
                <c:pt idx="0">
                  <c:v>EBIT margin</c:v>
                </c:pt>
              </c:strCache>
            </c:strRef>
          </c:tx>
          <c:spPr>
            <a:ln w="28575" cap="rnd">
              <a:solidFill>
                <a:srgbClr val="ACD4F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ACD4F1"/>
                </a:solidFill>
              </a:ln>
              <a:effectLst/>
            </c:spPr>
          </c:marker>
          <c:cat>
            <c:strRef>
              <c:f>'Summary financial'!$B$3:$J$3</c:f>
            </c:strRef>
          </c:cat>
          <c:val>
            <c:numRef>
              <c:f>'Summary financial'!$B$105:$J$105</c:f>
            </c:numRef>
          </c:val>
          <c:smooth val="1"/>
          <c:extLst>
            <c:ext xmlns:c16="http://schemas.microsoft.com/office/drawing/2014/chart" uri="{C3380CC4-5D6E-409C-BE32-E72D297353CC}">
              <c16:uniqueId val="{00000001-86A3-4637-9515-6493DD452ECE}"/>
            </c:ext>
          </c:extLst>
        </c:ser>
        <c:ser>
          <c:idx val="3"/>
          <c:order val="2"/>
          <c:tx>
            <c:strRef>
              <c:f>'Summary financial'!$A$106</c:f>
              <c:strCache>
                <c:ptCount val="1"/>
                <c:pt idx="0">
                  <c:v>Reported NPAT margin</c:v>
                </c:pt>
              </c:strCache>
            </c:strRef>
          </c:tx>
          <c:spPr>
            <a:ln w="28575" cap="rnd">
              <a:solidFill>
                <a:srgbClr val="A5A5A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A5A5A5"/>
                </a:solidFill>
              </a:ln>
              <a:effectLst/>
            </c:spPr>
          </c:marker>
          <c:cat>
            <c:strRef>
              <c:f>'Summary financial'!$B$3:$J$3</c:f>
            </c:strRef>
          </c:cat>
          <c:val>
            <c:numRef>
              <c:f>'Summary financial'!$B$106:$J$106</c:f>
            </c:numRef>
          </c:val>
          <c:smooth val="1"/>
          <c:extLst>
            <c:ext xmlns:c16="http://schemas.microsoft.com/office/drawing/2014/chart" uri="{C3380CC4-5D6E-409C-BE32-E72D297353CC}">
              <c16:uniqueId val="{00000002-86A3-4637-9515-6493DD452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446176"/>
        <c:axId val="160450752"/>
      </c:lineChart>
      <c:catAx>
        <c:axId val="16044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450752"/>
        <c:crosses val="autoZero"/>
        <c:auto val="1"/>
        <c:lblAlgn val="ctr"/>
        <c:lblOffset val="100"/>
        <c:noMultiLvlLbl val="0"/>
      </c:catAx>
      <c:valAx>
        <c:axId val="16045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44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Eastroc 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financial'!$A$103</c:f>
              <c:strCache>
                <c:ptCount val="1"/>
                <c:pt idx="0">
                  <c:v>GP margin</c:v>
                </c:pt>
              </c:strCache>
            </c:strRef>
          </c:tx>
          <c:spPr>
            <a:ln w="28575" cap="rnd">
              <a:solidFill>
                <a:srgbClr val="00355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355F"/>
                </a:solidFill>
              </a:ln>
              <a:effectLst/>
            </c:spPr>
          </c:marker>
          <c:cat>
            <c:multiLvlStrRef>
              <c:f>'Summary financial'!$AD$3:$AS$3</c:f>
            </c:multiLvlStrRef>
          </c:cat>
          <c:val>
            <c:numRef>
              <c:f>'Summary financial'!$AD$103:$AS$103</c:f>
            </c:numRef>
          </c:val>
          <c:smooth val="1"/>
          <c:extLst>
            <c:ext xmlns:c16="http://schemas.microsoft.com/office/drawing/2014/chart" uri="{C3380CC4-5D6E-409C-BE32-E72D297353CC}">
              <c16:uniqueId val="{00000000-E251-4EF2-914E-AA18ED2C34EB}"/>
            </c:ext>
          </c:extLst>
        </c:ser>
        <c:ser>
          <c:idx val="2"/>
          <c:order val="1"/>
          <c:tx>
            <c:strRef>
              <c:f>'Summary financial'!$A$105</c:f>
              <c:strCache>
                <c:ptCount val="1"/>
                <c:pt idx="0">
                  <c:v>EBIT margin</c:v>
                </c:pt>
              </c:strCache>
            </c:strRef>
          </c:tx>
          <c:spPr>
            <a:ln w="28575" cap="rnd">
              <a:solidFill>
                <a:srgbClr val="ACD4F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ACD4F1"/>
                </a:solidFill>
              </a:ln>
              <a:effectLst/>
            </c:spPr>
          </c:marker>
          <c:cat>
            <c:multiLvlStrRef>
              <c:f>'Summary financial'!$AD$3:$AS$3</c:f>
            </c:multiLvlStrRef>
          </c:cat>
          <c:val>
            <c:numRef>
              <c:f>'Summary financial'!$AD$105:$AS$105</c:f>
            </c:numRef>
          </c:val>
          <c:smooth val="1"/>
          <c:extLst>
            <c:ext xmlns:c16="http://schemas.microsoft.com/office/drawing/2014/chart" uri="{C3380CC4-5D6E-409C-BE32-E72D297353CC}">
              <c16:uniqueId val="{00000001-E251-4EF2-914E-AA18ED2C34EB}"/>
            </c:ext>
          </c:extLst>
        </c:ser>
        <c:ser>
          <c:idx val="3"/>
          <c:order val="2"/>
          <c:tx>
            <c:strRef>
              <c:f>'Summary financial'!$A$106</c:f>
              <c:strCache>
                <c:ptCount val="1"/>
                <c:pt idx="0">
                  <c:v>Reported NPAT margin</c:v>
                </c:pt>
              </c:strCache>
            </c:strRef>
          </c:tx>
          <c:spPr>
            <a:ln w="28575" cap="rnd">
              <a:solidFill>
                <a:srgbClr val="A5A5A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A5A5A5"/>
                </a:solidFill>
              </a:ln>
              <a:effectLst/>
            </c:spPr>
          </c:marker>
          <c:cat>
            <c:multiLvlStrRef>
              <c:f>'Summary financial'!$AD$3:$AS$3</c:f>
            </c:multiLvlStrRef>
          </c:cat>
          <c:val>
            <c:numRef>
              <c:f>'Summary financial'!$AD$106:$AS$106</c:f>
            </c:numRef>
          </c:val>
          <c:smooth val="1"/>
          <c:extLst>
            <c:ext xmlns:c16="http://schemas.microsoft.com/office/drawing/2014/chart" uri="{C3380CC4-5D6E-409C-BE32-E72D297353CC}">
              <c16:uniqueId val="{00000002-E251-4EF2-914E-AA18ED2C3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4047423"/>
        <c:axId val="1024061151"/>
      </c:lineChart>
      <c:catAx>
        <c:axId val="102404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4061151"/>
        <c:crosses val="autoZero"/>
        <c:auto val="1"/>
        <c:lblAlgn val="ctr"/>
        <c:lblOffset val="100"/>
        <c:noMultiLvlLbl val="0"/>
      </c:catAx>
      <c:valAx>
        <c:axId val="102406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404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7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140412</xdr:colOff>
      <xdr:row>1</xdr:row>
      <xdr:rowOff>33391</xdr:rowOff>
    </xdr:from>
    <xdr:to>
      <xdr:col>1</xdr:col>
      <xdr:colOff>97023</xdr:colOff>
      <xdr:row>3</xdr:row>
      <xdr:rowOff>166629</xdr:rowOff>
    </xdr:to>
    <xdr:pic>
      <xdr:nvPicPr>
        <xdr:cNvPr id="2" name="Picture 1" descr="Screen Clipp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412" y="233416"/>
          <a:ext cx="642411" cy="5332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0"/>
    <xdr:sp macro="" textlink="">
      <xdr:nvSpPr>
        <xdr:cNvPr id="2" name="worksheetKey" descr="{&quot;key&quot;:&quot;worksheetKey&quot;,&quot;value&quot;:&quot;44a0779d-8249-4563-b046-8ade9dec2790&quot;}" hidden="1">
          <a:extLst>
            <a:ext uri="{FF2B5EF4-FFF2-40B4-BE49-F238E27FC236}">
              <a16:creationId xmlns:a16="http://schemas.microsoft.com/office/drawing/2014/main" id="{A85140CA-FB06-7C89-55EA-1ED8B046516B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0"/>
    <xdr:sp macro="" textlink="">
      <xdr:nvSpPr>
        <xdr:cNvPr id="3" name="worksheetKey" descr="{&quot;key&quot;:&quot;worksheetKey&quot;,&quot;value&quot;:&quot;5ea047e2-ab87-4d7d-b650-ae1701c117b5&quot;}" hidden="1">
          <a:extLst>
            <a:ext uri="{FF2B5EF4-FFF2-40B4-BE49-F238E27FC236}">
              <a16:creationId xmlns:a16="http://schemas.microsoft.com/office/drawing/2014/main" id="{164DE087-594E-7271-7839-78EE7C0AC4EE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0"/>
    <xdr:sp macro="" textlink="">
      <xdr:nvSpPr>
        <xdr:cNvPr id="2" name="worksheetKey" descr="{&quot;key&quot;:&quot;worksheetKey&quot;,&quot;value&quot;:&quot;ffe3c10c-1896-4dca-a585-f269e0269c65&quot;}" hidden="1">
          <a:extLst>
            <a:ext uri="{FF2B5EF4-FFF2-40B4-BE49-F238E27FC236}">
              <a16:creationId xmlns:a16="http://schemas.microsoft.com/office/drawing/2014/main" id="{CEE75C77-5158-4201-13CB-584693AAB1C3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69</xdr:col>
      <xdr:colOff>425823</xdr:colOff>
      <xdr:row>646</xdr:row>
      <xdr:rowOff>85351</xdr:rowOff>
    </xdr:from>
    <xdr:to>
      <xdr:col>77</xdr:col>
      <xdr:colOff>342681</xdr:colOff>
      <xdr:row>679</xdr:row>
      <xdr:rowOff>2689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99235" y="60761469"/>
          <a:ext cx="3907835" cy="4384061"/>
        </a:xfrm>
        <a:prstGeom prst="rect">
          <a:avLst/>
        </a:prstGeom>
      </xdr:spPr>
    </xdr:pic>
    <xdr:clientData/>
  </xdr:twoCellAnchor>
  <xdr:twoCellAnchor>
    <xdr:from>
      <xdr:col>73</xdr:col>
      <xdr:colOff>351118</xdr:colOff>
      <xdr:row>288</xdr:row>
      <xdr:rowOff>81429</xdr:rowOff>
    </xdr:from>
    <xdr:to>
      <xdr:col>81</xdr:col>
      <xdr:colOff>0</xdr:colOff>
      <xdr:row>311</xdr:row>
      <xdr:rowOff>21104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6DB32E7-E33F-2402-222E-5654BBD41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65</xdr:col>
      <xdr:colOff>81055</xdr:colOff>
      <xdr:row>772</xdr:row>
      <xdr:rowOff>148291</xdr:rowOff>
    </xdr:from>
    <xdr:to>
      <xdr:col>65</xdr:col>
      <xdr:colOff>428998</xdr:colOff>
      <xdr:row>772</xdr:row>
      <xdr:rowOff>264645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7D917CB2-73C7-287E-588E-28A0D7D1411F}"/>
            </a:ext>
          </a:extLst>
        </xdr:cNvPr>
        <xdr:cNvCxnSpPr/>
      </xdr:nvCxnSpPr>
      <xdr:spPr>
        <a:xfrm flipV="1">
          <a:off x="23576055" y="98969232"/>
          <a:ext cx="347943" cy="1163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0.1662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8ECDBCDD-1F86-EE86-EB9E-E96A95B0D616}"/>
            </a:ext>
          </a:extLst>
        </cdr:cNvPr>
        <cdr:cNvSpPr/>
      </cdr:nvSpPr>
      <cdr:spPr>
        <a:xfrm xmlns:a="http://schemas.openxmlformats.org/drawingml/2006/main">
          <a:off x="0" y="0"/>
          <a:ext cx="4572000" cy="4564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Eastroc's</a:t>
          </a:r>
          <a:r>
            <a:rPr lang="en-US" sz="10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Special</a:t>
          </a:r>
          <a:r>
            <a:rPr lang="en-US" sz="10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drink s</a:t>
          </a:r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ales yoy</a:t>
          </a:r>
          <a:r>
            <a:rPr lang="en-US" sz="10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growth contribution breakdown: # POS vs. per-POS sales (%)</a:t>
          </a:r>
          <a:endParaRPr lang="en-US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671285</xdr:colOff>
      <xdr:row>99</xdr:row>
      <xdr:rowOff>108857</xdr:rowOff>
    </xdr:from>
    <xdr:to>
      <xdr:col>46</xdr:col>
      <xdr:colOff>593894</xdr:colOff>
      <xdr:row>116</xdr:row>
      <xdr:rowOff>81644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31099D2-2625-4ED5-A550-15ACD3941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630247</xdr:colOff>
      <xdr:row>99</xdr:row>
      <xdr:rowOff>108857</xdr:rowOff>
    </xdr:from>
    <xdr:to>
      <xdr:col>48</xdr:col>
      <xdr:colOff>530412</xdr:colOff>
      <xdr:row>116</xdr:row>
      <xdr:rowOff>81644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23E46D-8320-DB44-1BA3-D7AB7F9EB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48</xdr:col>
      <xdr:colOff>428540</xdr:colOff>
      <xdr:row>99</xdr:row>
      <xdr:rowOff>108857</xdr:rowOff>
    </xdr:from>
    <xdr:to>
      <xdr:col>52</xdr:col>
      <xdr:colOff>79292</xdr:colOff>
      <xdr:row>116</xdr:row>
      <xdr:rowOff>81644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A5B24F-169A-4870-B0DC-81FCAA25D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0" cy="0"/>
    <xdr:sp macro="" textlink="">
      <xdr:nvSpPr>
        <xdr:cNvPr id="4" name="worksheetKey" descr="{&quot;key&quot;:&quot;worksheetKey&quot;,&quot;value&quot;:&quot;9641d297-9f64-4a05-9818-3ed834cf36fc&quot;}" hidden="1">
          <a:extLst>
            <a:ext uri="{FF2B5EF4-FFF2-40B4-BE49-F238E27FC236}">
              <a16:creationId xmlns:a16="http://schemas.microsoft.com/office/drawing/2014/main" id="{54529DFC-EDF2-DD95-2A70-1BD6E1FDBE04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0.98078</cdr:x>
      <cdr:y>0.01961</cdr:y>
    </cdr:from>
    <cdr:to>
      <cdr:x>0.98078</cdr:x>
      <cdr:y>0.87843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40D1AFB-6D6A-FEEC-2773-BEEF939AA8DD}"/>
            </a:ext>
          </a:extLst>
        </cdr:cNvPr>
        <cdr:cNvCxnSpPr/>
      </cdr:nvCxnSpPr>
      <cdr:spPr>
        <a:xfrm xmlns:a="http://schemas.openxmlformats.org/drawingml/2006/main">
          <a:off x="3726655" y="59531"/>
          <a:ext cx="0" cy="2607468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0.83004</cdr:x>
      <cdr:y>0.02084</cdr:y>
    </cdr:from>
    <cdr:to>
      <cdr:x>0.83004</cdr:x>
      <cdr:y>0.89525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CF2A4A75-EE2F-B79A-76B2-51756113098F}"/>
            </a:ext>
          </a:extLst>
        </cdr:cNvPr>
        <cdr:cNvCxnSpPr/>
      </cdr:nvCxnSpPr>
      <cdr:spPr>
        <a:xfrm xmlns:a="http://schemas.openxmlformats.org/drawingml/2006/main">
          <a:off x="1058102" y="62966"/>
          <a:ext cx="0" cy="2641384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541020</xdr:colOff>
      <xdr:row>3</xdr:row>
      <xdr:rowOff>68580</xdr:rowOff>
    </xdr:from>
    <xdr:to>
      <xdr:col>67</xdr:col>
      <xdr:colOff>373380</xdr:colOff>
      <xdr:row>12</xdr:row>
      <xdr:rowOff>2415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264C01-E618-CA70-EBFB-AD4DA788A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80580" y="609600"/>
          <a:ext cx="4488180" cy="1652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9</xdr:row>
      <xdr:rowOff>0</xdr:rowOff>
    </xdr:from>
    <xdr:to>
      <xdr:col>37</xdr:col>
      <xdr:colOff>256886</xdr:colOff>
      <xdr:row>25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3A12FA-615A-4E2C-8202-A38DE2D94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547916</xdr:colOff>
      <xdr:row>9</xdr:row>
      <xdr:rowOff>172358</xdr:rowOff>
    </xdr:from>
    <xdr:to>
      <xdr:col>28</xdr:col>
      <xdr:colOff>141516</xdr:colOff>
      <xdr:row>26</xdr:row>
      <xdr:rowOff>58058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162F11-6294-7A8F-3304-92E51E6C0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28</xdr:row>
      <xdr:rowOff>0</xdr:rowOff>
    </xdr:from>
    <xdr:to>
      <xdr:col>28</xdr:col>
      <xdr:colOff>254000</xdr:colOff>
      <xdr:row>44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D50CB5-6475-4BCE-9C65-C6139ACED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265337</xdr:colOff>
      <xdr:row>119</xdr:row>
      <xdr:rowOff>4989</xdr:rowOff>
    </xdr:from>
    <xdr:to>
      <xdr:col>19</xdr:col>
      <xdr:colOff>881287</xdr:colOff>
      <xdr:row>135</xdr:row>
      <xdr:rowOff>74839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AE38324-7983-CE34-CDF9-276B7A9D10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404089</xdr:colOff>
      <xdr:row>142</xdr:row>
      <xdr:rowOff>60036</xdr:rowOff>
    </xdr:from>
    <xdr:to>
      <xdr:col>18</xdr:col>
      <xdr:colOff>547830</xdr:colOff>
      <xdr:row>159</xdr:row>
      <xdr:rowOff>53686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2734EA-8F8A-0512-CF19-7C89F6F98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0</xdr:colOff>
      <xdr:row>45</xdr:row>
      <xdr:rowOff>0</xdr:rowOff>
    </xdr:from>
    <xdr:to>
      <xdr:col>28</xdr:col>
      <xdr:colOff>254000</xdr:colOff>
      <xdr:row>61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7270D3-9318-43F7-9FAC-C5B178E48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0.00602</cdr:y>
    </cdr:from>
    <cdr:to>
      <cdr:x>0.75155</cdr:x>
      <cdr:y>0.14825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AFAAD38-4994-2352-5324-34D80D635AE7}"/>
            </a:ext>
          </a:extLst>
        </cdr:cNvPr>
        <cdr:cNvSpPr/>
      </cdr:nvSpPr>
      <cdr:spPr>
        <a:xfrm xmlns:a="http://schemas.openxmlformats.org/drawingml/2006/main">
          <a:off x="0" y="18142"/>
          <a:ext cx="3655102" cy="4286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Revenue amount growth contribution 2023-2028E (Rmb mn)</a:t>
          </a:r>
        </a:p>
      </cdr:txBody>
    </cdr:sp>
  </cdr:relSizeAnchor>
  <cdr:relSizeAnchor xmlns:cdr="http://schemas.openxmlformats.org/drawingml/2006/chartDrawing">
    <cdr:from>
      <cdr:x>0.01759</cdr:x>
      <cdr:y>0.21519</cdr:y>
    </cdr:from>
    <cdr:to>
      <cdr:x>0.34522</cdr:x>
      <cdr:y>0.32839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5AF6427-41F4-3B2E-4AC0-C4CD44656F2F}"/>
            </a:ext>
          </a:extLst>
        </cdr:cNvPr>
        <cdr:cNvSpPr/>
      </cdr:nvSpPr>
      <cdr:spPr>
        <a:xfrm xmlns:a="http://schemas.openxmlformats.org/drawingml/2006/main">
          <a:off x="85437" y="651165"/>
          <a:ext cx="1591745" cy="3425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u="sng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growth contribution</a:t>
          </a:r>
          <a:r>
            <a:rPr lang="en-US" sz="1000" u="sng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% from 2023 to 2028E</a:t>
          </a:r>
          <a:endParaRPr lang="en-US" sz="1000" u="sng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0.83476</cdr:x>
      <cdr:y>0.06639</cdr:y>
    </cdr:from>
    <cdr:to>
      <cdr:x>0.9501</cdr:x>
      <cdr:y>0.18722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5A1F240E-EFD1-C1D4-145A-9E7917D8C475}"/>
            </a:ext>
          </a:extLst>
        </cdr:cNvPr>
        <cdr:cNvSpPr/>
      </cdr:nvSpPr>
      <cdr:spPr>
        <a:xfrm xmlns:a="http://schemas.openxmlformats.org/drawingml/2006/main">
          <a:off x="4055546" y="200892"/>
          <a:ext cx="560328" cy="3656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 b="1" u="sng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195%</a:t>
          </a:r>
        </a:p>
      </cdr:txBody>
    </cdr:sp>
  </cdr:relSizeAnchor>
  <cdr:relSizeAnchor xmlns:cdr="http://schemas.openxmlformats.org/drawingml/2006/chartDrawing">
    <cdr:from>
      <cdr:x>0.67316</cdr:x>
      <cdr:y>0.06639</cdr:y>
    </cdr:from>
    <cdr:to>
      <cdr:x>0.7885</cdr:x>
      <cdr:y>0.18722</cdr:y>
    </cdr:to>
    <cdr:sp macro="" textlink="">
      <cdr:nvSpPr>
        <cdr:cNvPr id="5" name="Rectangle 4">
          <a:extLst xmlns:a="http://schemas.openxmlformats.org/drawingml/2006/main">
            <a:ext uri="{FF2B5EF4-FFF2-40B4-BE49-F238E27FC236}">
              <a16:creationId xmlns:a16="http://schemas.microsoft.com/office/drawing/2014/main" id="{A6F376D0-C8D8-D365-27B8-1121C36668F1}"/>
            </a:ext>
          </a:extLst>
        </cdr:cNvPr>
        <cdr:cNvSpPr/>
      </cdr:nvSpPr>
      <cdr:spPr>
        <a:xfrm xmlns:a="http://schemas.openxmlformats.org/drawingml/2006/main">
          <a:off x="3270455" y="200892"/>
          <a:ext cx="560328" cy="3656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 u="sng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52%</a:t>
          </a:r>
        </a:p>
      </cdr:txBody>
    </cdr:sp>
  </cdr:relSizeAnchor>
  <cdr:relSizeAnchor xmlns:cdr="http://schemas.openxmlformats.org/drawingml/2006/chartDrawing">
    <cdr:from>
      <cdr:x>0.51632</cdr:x>
      <cdr:y>0.18466</cdr:y>
    </cdr:from>
    <cdr:to>
      <cdr:x>0.63165</cdr:x>
      <cdr:y>0.3055</cdr:y>
    </cdr:to>
    <cdr:sp macro="" textlink="">
      <cdr:nvSpPr>
        <cdr:cNvPr id="6" name="Rectangle 5">
          <a:extLst xmlns:a="http://schemas.openxmlformats.org/drawingml/2006/main">
            <a:ext uri="{FF2B5EF4-FFF2-40B4-BE49-F238E27FC236}">
              <a16:creationId xmlns:a16="http://schemas.microsoft.com/office/drawing/2014/main" id="{6F54F45D-A79E-B970-C4B0-B7D8A8CDF850}"/>
            </a:ext>
          </a:extLst>
        </cdr:cNvPr>
        <cdr:cNvSpPr/>
      </cdr:nvSpPr>
      <cdr:spPr>
        <a:xfrm xmlns:a="http://schemas.openxmlformats.org/drawingml/2006/main">
          <a:off x="2508455" y="558801"/>
          <a:ext cx="560328" cy="3656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 u="sng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18%</a:t>
          </a:r>
        </a:p>
      </cdr:txBody>
    </cdr:sp>
  </cdr:relSizeAnchor>
  <cdr:relSizeAnchor xmlns:cdr="http://schemas.openxmlformats.org/drawingml/2006/chartDrawing">
    <cdr:from>
      <cdr:x>0.35235</cdr:x>
      <cdr:y>0.23426</cdr:y>
    </cdr:from>
    <cdr:to>
      <cdr:x>0.46768</cdr:x>
      <cdr:y>0.3551</cdr:y>
    </cdr:to>
    <cdr:sp macro="" textlink="">
      <cdr:nvSpPr>
        <cdr:cNvPr id="7" name="Rectangle 6">
          <a:extLst xmlns:a="http://schemas.openxmlformats.org/drawingml/2006/main">
            <a:ext uri="{FF2B5EF4-FFF2-40B4-BE49-F238E27FC236}">
              <a16:creationId xmlns:a16="http://schemas.microsoft.com/office/drawing/2014/main" id="{DA46B3BB-90C0-65BF-D2B4-98F39553B580}"/>
            </a:ext>
          </a:extLst>
        </cdr:cNvPr>
        <cdr:cNvSpPr/>
      </cdr:nvSpPr>
      <cdr:spPr>
        <a:xfrm xmlns:a="http://schemas.openxmlformats.org/drawingml/2006/main">
          <a:off x="1711818" y="708892"/>
          <a:ext cx="560328" cy="3656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 u="sng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88%</a:t>
          </a:r>
        </a:p>
      </cdr:txBody>
    </cdr:sp>
  </cdr:relSizeAnchor>
  <cdr:relSizeAnchor xmlns:cdr="http://schemas.openxmlformats.org/drawingml/2006/chartDrawing">
    <cdr:from>
      <cdr:x>0.186</cdr:x>
      <cdr:y>0.42121</cdr:y>
    </cdr:from>
    <cdr:to>
      <cdr:x>0.30133</cdr:x>
      <cdr:y>0.54205</cdr:y>
    </cdr:to>
    <cdr:sp macro="" textlink="">
      <cdr:nvSpPr>
        <cdr:cNvPr id="8" name="Rectangle 7">
          <a:extLst xmlns:a="http://schemas.openxmlformats.org/drawingml/2006/main">
            <a:ext uri="{FF2B5EF4-FFF2-40B4-BE49-F238E27FC236}">
              <a16:creationId xmlns:a16="http://schemas.microsoft.com/office/drawing/2014/main" id="{1B64EF0C-E41B-0DED-1C1A-EB964A259C8B}"/>
            </a:ext>
          </a:extLst>
        </cdr:cNvPr>
        <cdr:cNvSpPr/>
      </cdr:nvSpPr>
      <cdr:spPr>
        <a:xfrm xmlns:a="http://schemas.openxmlformats.org/drawingml/2006/main">
          <a:off x="903636" y="1274619"/>
          <a:ext cx="560328" cy="3656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 u="sng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38%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0.00602</cdr:y>
    </cdr:from>
    <cdr:to>
      <cdr:x>0.75155</cdr:x>
      <cdr:y>0.14825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AFAAD38-4994-2352-5324-34D80D635AE7}"/>
            </a:ext>
          </a:extLst>
        </cdr:cNvPr>
        <cdr:cNvSpPr/>
      </cdr:nvSpPr>
      <cdr:spPr>
        <a:xfrm xmlns:a="http://schemas.openxmlformats.org/drawingml/2006/main">
          <a:off x="0" y="18142"/>
          <a:ext cx="3655102" cy="4286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EBIT per ton changes in 2023-2028E (Rmb)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0.88244</cdr:x>
      <cdr:y>0.13228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90A8511-A7F5-0F30-47BD-B560229F0180}"/>
            </a:ext>
          </a:extLst>
        </cdr:cNvPr>
        <cdr:cNvSpPr/>
      </cdr:nvSpPr>
      <cdr:spPr>
        <a:xfrm xmlns:a="http://schemas.openxmlformats.org/drawingml/2006/main">
          <a:off x="0" y="0"/>
          <a:ext cx="4034519" cy="3628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Incremental</a:t>
          </a:r>
          <a:r>
            <a:rPr lang="en-US" sz="10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sales / incremental marketing expenses (x)</a:t>
          </a:r>
          <a:endParaRPr lang="en-US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</cdr:x>
      <cdr:y>0.00602</cdr:y>
    </cdr:from>
    <cdr:to>
      <cdr:x>0.75155</cdr:x>
      <cdr:y>0.14825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AFAAD38-4994-2352-5324-34D80D635AE7}"/>
            </a:ext>
          </a:extLst>
        </cdr:cNvPr>
        <cdr:cNvSpPr/>
      </cdr:nvSpPr>
      <cdr:spPr>
        <a:xfrm xmlns:a="http://schemas.openxmlformats.org/drawingml/2006/main">
          <a:off x="0" y="18142"/>
          <a:ext cx="3655102" cy="4286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EBIT </a:t>
          </a:r>
          <a:r>
            <a:rPr lang="en-US" altLang="zh-CN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margin changes </a:t>
          </a:r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 2024-2028E (%)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0</xdr:colOff>
          <xdr:row>1</xdr:row>
          <xdr:rowOff>0</xdr:rowOff>
        </xdr:to>
        <xdr:sp macro="" textlink="">
          <xdr:nvSpPr>
            <xdr:cNvPr id="27649" name="XLDataChannel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A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0"/>
    <xdr:sp macro="" textlink="">
      <xdr:nvSpPr>
        <xdr:cNvPr id="2" name="worksheetKey" descr="{&quot;key&quot;:&quot;worksheetKey&quot;,&quot;value&quot;:&quot;c2bf453e-d96a-4a16-b9c7-667dd8ee2a3c&quot;}" hidden="1">
          <a:extLst>
            <a:ext uri="{FF2B5EF4-FFF2-40B4-BE49-F238E27FC236}">
              <a16:creationId xmlns:a16="http://schemas.microsoft.com/office/drawing/2014/main" id="{FB9C0A53-48CB-955F-A8C6-A4AD32D7C4AB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0"/>
    <xdr:sp macro="" textlink="">
      <xdr:nvSpPr>
        <xdr:cNvPr id="2" name="worksheetKey" descr="{&quot;key&quot;:&quot;worksheetKey&quot;,&quot;value&quot;:&quot;7bacd179-1a99-4378-bb26-f8b912c99ddd&quot;}" hidden="1">
          <a:extLst>
            <a:ext uri="{FF2B5EF4-FFF2-40B4-BE49-F238E27FC236}">
              <a16:creationId xmlns:a16="http://schemas.microsoft.com/office/drawing/2014/main" id="{04383FB7-5830-69FC-A544-BBFA9D7341F0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7470</xdr:rowOff>
    </xdr:from>
    <xdr:ext cx="5448261" cy="811426"/>
    <xdr:pic>
      <xdr:nvPicPr>
        <xdr:cNvPr id="2" name="Picture 1">
          <a:extLst>
            <a:ext uri="{FF2B5EF4-FFF2-40B4-BE49-F238E27FC236}">
              <a16:creationId xmlns:a16="http://schemas.microsoft.com/office/drawing/2014/main" id="{D8660104-CD4C-4053-8AD7-4D50830D2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78171"/>
          <a:ext cx="5448261" cy="811426"/>
        </a:xfrm>
        <a:prstGeom prst="rect">
          <a:avLst/>
        </a:prstGeom>
      </xdr:spPr>
    </xdr:pic>
    <xdr:clientData/>
  </xdr:oneCellAnchor>
  <xdr:oneCellAnchor>
    <xdr:from>
      <xdr:col>14</xdr:col>
      <xdr:colOff>541163</xdr:colOff>
      <xdr:row>58</xdr:row>
      <xdr:rowOff>68649</xdr:rowOff>
    </xdr:from>
    <xdr:ext cx="5657785" cy="2432373"/>
    <xdr:pic>
      <xdr:nvPicPr>
        <xdr:cNvPr id="3" name="Picture 2">
          <a:extLst>
            <a:ext uri="{FF2B5EF4-FFF2-40B4-BE49-F238E27FC236}">
              <a16:creationId xmlns:a16="http://schemas.microsoft.com/office/drawing/2014/main" id="{9D1C196D-21BB-4A00-98AC-8659F5977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26913" y="9555549"/>
          <a:ext cx="5657785" cy="2432373"/>
        </a:xfrm>
        <a:prstGeom prst="rect">
          <a:avLst/>
        </a:prstGeom>
      </xdr:spPr>
    </xdr:pic>
    <xdr:clientData/>
  </xdr:oneCellAnchor>
  <xdr:twoCellAnchor>
    <xdr:from>
      <xdr:col>10</xdr:col>
      <xdr:colOff>0</xdr:colOff>
      <xdr:row>36</xdr:row>
      <xdr:rowOff>0</xdr:rowOff>
    </xdr:from>
    <xdr:to>
      <xdr:col>14</xdr:col>
      <xdr:colOff>203200</xdr:colOff>
      <xdr:row>52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9AF0E9-12A8-4BC3-A3B1-EADAB8E54F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57150</xdr:colOff>
      <xdr:row>2</xdr:row>
      <xdr:rowOff>152180</xdr:rowOff>
    </xdr:from>
    <xdr:to>
      <xdr:col>25</xdr:col>
      <xdr:colOff>157647</xdr:colOff>
      <xdr:row>17</xdr:row>
      <xdr:rowOff>316470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0826FC0-0C88-4DA7-B2F0-A556521D4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90600" y="469680"/>
          <a:ext cx="8196747" cy="4418790"/>
        </a:xfrm>
        <a:prstGeom prst="rect">
          <a:avLst/>
        </a:prstGeom>
      </xdr:spPr>
    </xdr:pic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0.08073</cdr:x>
      <cdr:y>0.26947</cdr:y>
    </cdr:from>
    <cdr:to>
      <cdr:x>0.17318</cdr:x>
      <cdr:y>0.69895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BF173CD-6F37-9E52-D93C-569A37070ABF}"/>
            </a:ext>
          </a:extLst>
        </cdr:cNvPr>
        <cdr:cNvSpPr/>
      </cdr:nvSpPr>
      <cdr:spPr>
        <a:xfrm xmlns:a="http://schemas.openxmlformats.org/drawingml/2006/main">
          <a:off x="393700" y="812800"/>
          <a:ext cx="450850" cy="12954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2"/>
          </a:solidFill>
          <a:prstDash val="dash"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0.1862</cdr:x>
      <cdr:y>0.26947</cdr:y>
    </cdr:from>
    <cdr:to>
      <cdr:x>0.27865</cdr:x>
      <cdr:y>0.69895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CE6911DB-68A8-E7C5-3C5F-041B4B25EFB0}"/>
            </a:ext>
          </a:extLst>
        </cdr:cNvPr>
        <cdr:cNvSpPr/>
      </cdr:nvSpPr>
      <cdr:spPr>
        <a:xfrm xmlns:a="http://schemas.openxmlformats.org/drawingml/2006/main">
          <a:off x="908050" y="812800"/>
          <a:ext cx="450850" cy="12954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2"/>
          </a:solidFill>
          <a:prstDash val="dash"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0.60026</cdr:x>
      <cdr:y>0.36842</cdr:y>
    </cdr:from>
    <cdr:to>
      <cdr:x>0.69271</cdr:x>
      <cdr:y>0.69895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B8D91A5F-B0B2-CEF2-6074-19F40B50CF5A}"/>
            </a:ext>
          </a:extLst>
        </cdr:cNvPr>
        <cdr:cNvSpPr/>
      </cdr:nvSpPr>
      <cdr:spPr>
        <a:xfrm xmlns:a="http://schemas.openxmlformats.org/drawingml/2006/main">
          <a:off x="2927350" y="1111250"/>
          <a:ext cx="450850" cy="9969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2"/>
          </a:solidFill>
          <a:prstDash val="dash"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0.80469</cdr:x>
      <cdr:y>0.36842</cdr:y>
    </cdr:from>
    <cdr:to>
      <cdr:x>0.89714</cdr:x>
      <cdr:y>0.69895</cdr:y>
    </cdr:to>
    <cdr:sp macro="" textlink="">
      <cdr:nvSpPr>
        <cdr:cNvPr id="5" name="Rectangle 4">
          <a:extLst xmlns:a="http://schemas.openxmlformats.org/drawingml/2006/main">
            <a:ext uri="{FF2B5EF4-FFF2-40B4-BE49-F238E27FC236}">
              <a16:creationId xmlns:a16="http://schemas.microsoft.com/office/drawing/2014/main" id="{83D14604-E363-41A6-CE58-B86FC65C2949}"/>
            </a:ext>
          </a:extLst>
        </cdr:cNvPr>
        <cdr:cNvSpPr/>
      </cdr:nvSpPr>
      <cdr:spPr>
        <a:xfrm xmlns:a="http://schemas.openxmlformats.org/drawingml/2006/main">
          <a:off x="3924300" y="1111250"/>
          <a:ext cx="450850" cy="9969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2"/>
          </a:solidFill>
          <a:prstDash val="dash"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</cdr:x>
      <cdr:y>0.04632</cdr:y>
    </cdr:from>
    <cdr:to>
      <cdr:x>0.13281</cdr:x>
      <cdr:y>0.14737</cdr:y>
    </cdr:to>
    <cdr:sp macro="" textlink="">
      <cdr:nvSpPr>
        <cdr:cNvPr id="6" name="Rectangle 5">
          <a:extLst xmlns:a="http://schemas.openxmlformats.org/drawingml/2006/main">
            <a:ext uri="{FF2B5EF4-FFF2-40B4-BE49-F238E27FC236}">
              <a16:creationId xmlns:a16="http://schemas.microsoft.com/office/drawing/2014/main" id="{03E2F8CB-5CC0-64F5-7EB9-06B7051934B1}"/>
            </a:ext>
          </a:extLst>
        </cdr:cNvPr>
        <cdr:cNvSpPr/>
      </cdr:nvSpPr>
      <cdr:spPr>
        <a:xfrm xmlns:a="http://schemas.openxmlformats.org/drawingml/2006/main">
          <a:off x="0" y="139700"/>
          <a:ext cx="647700" cy="304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  <a:prstDash val="dash"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K</a:t>
          </a:r>
          <a:r>
            <a:rPr lang="en-US" sz="10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tons</a:t>
          </a:r>
          <a:endParaRPr lang="en-US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468312</xdr:colOff>
      <xdr:row>5</xdr:row>
      <xdr:rowOff>34925</xdr:rowOff>
    </xdr:from>
    <xdr:to>
      <xdr:col>25</xdr:col>
      <xdr:colOff>534987</xdr:colOff>
      <xdr:row>23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6043DA-92C7-0246-C10C-B3999915FD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469900</xdr:colOff>
      <xdr:row>7</xdr:row>
      <xdr:rowOff>146050</xdr:rowOff>
    </xdr:from>
    <xdr:to>
      <xdr:col>24</xdr:col>
      <xdr:colOff>415925</xdr:colOff>
      <xdr:row>20</xdr:row>
      <xdr:rowOff>136525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B7608CB-2F93-5123-2BAE-E255E637F2EC}"/>
            </a:ext>
          </a:extLst>
        </xdr:cNvPr>
        <xdr:cNvSpPr/>
      </xdr:nvSpPr>
      <xdr:spPr>
        <a:xfrm>
          <a:off x="15805150" y="1301750"/>
          <a:ext cx="1317625" cy="2136775"/>
        </a:xfrm>
        <a:prstGeom prst="rect">
          <a:avLst/>
        </a:prstGeom>
        <a:noFill/>
        <a:ln w="12700">
          <a:solidFill>
            <a:srgbClr val="C0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0.26843</cdr:x>
      <cdr:y>0.08765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21CAC494-8874-947A-C23A-FF2D2D1EF945}"/>
            </a:ext>
          </a:extLst>
        </cdr:cNvPr>
        <cdr:cNvSpPr/>
      </cdr:nvSpPr>
      <cdr:spPr>
        <a:xfrm xmlns:a="http://schemas.openxmlformats.org/drawingml/2006/main">
          <a:off x="0" y="0"/>
          <a:ext cx="1306513" cy="2635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Capex</a:t>
          </a:r>
          <a:r>
            <a:rPr lang="en-US" sz="10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(Rmb mn)</a:t>
          </a:r>
          <a:endParaRPr lang="en-US" sz="10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0.73157</cdr:x>
      <cdr:y>0</cdr:y>
    </cdr:from>
    <cdr:to>
      <cdr:x>1</cdr:x>
      <cdr:y>0.08765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99B77E3-6C60-66CC-EB0A-78347DCF7B15}"/>
            </a:ext>
          </a:extLst>
        </cdr:cNvPr>
        <cdr:cNvSpPr/>
      </cdr:nvSpPr>
      <cdr:spPr>
        <a:xfrm xmlns:a="http://schemas.openxmlformats.org/drawingml/2006/main">
          <a:off x="3560762" y="0"/>
          <a:ext cx="1306513" cy="2635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0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As % of sales</a:t>
          </a:r>
        </a:p>
      </cdr:txBody>
    </cdr:sp>
  </cdr:relSizeAnchor>
  <cdr:relSizeAnchor xmlns:cdr="http://schemas.openxmlformats.org/drawingml/2006/chartDrawing">
    <cdr:from>
      <cdr:x>0.56491</cdr:x>
      <cdr:y>0.0792</cdr:y>
    </cdr:from>
    <cdr:to>
      <cdr:x>0.83333</cdr:x>
      <cdr:y>0.21964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26084E15-D87A-8A71-0665-03210ED3BE69}"/>
            </a:ext>
          </a:extLst>
        </cdr:cNvPr>
        <cdr:cNvSpPr/>
      </cdr:nvSpPr>
      <cdr:spPr>
        <a:xfrm xmlns:a="http://schemas.openxmlformats.org/drawingml/2006/main">
          <a:off x="2749550" y="238125"/>
          <a:ext cx="1306513" cy="4222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Faster</a:t>
          </a:r>
          <a:r>
            <a:rPr lang="en-US" sz="1000" baseline="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c</a:t>
          </a:r>
          <a:r>
            <a:rPr lang="en-US" sz="10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apacity expansion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170997</xdr:colOff>
      <xdr:row>10</xdr:row>
      <xdr:rowOff>119289</xdr:rowOff>
    </xdr:from>
    <xdr:to>
      <xdr:col>7</xdr:col>
      <xdr:colOff>386897</xdr:colOff>
      <xdr:row>27</xdr:row>
      <xdr:rowOff>4989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621394</xdr:colOff>
      <xdr:row>10</xdr:row>
      <xdr:rowOff>119289</xdr:rowOff>
    </xdr:from>
    <xdr:to>
      <xdr:col>15</xdr:col>
      <xdr:colOff>62594</xdr:colOff>
      <xdr:row>27</xdr:row>
      <xdr:rowOff>4989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0.07133</cdr:x>
      <cdr:y>0.89352</cdr:y>
    </cdr:from>
    <cdr:to>
      <cdr:x>0.29356</cdr:x>
      <cdr:y>0.95304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56169EE-8C4B-6458-720A-A0A191FBA0E8}"/>
            </a:ext>
          </a:extLst>
        </cdr:cNvPr>
        <cdr:cNvSpPr txBox="1"/>
      </cdr:nvSpPr>
      <cdr:spPr>
        <a:xfrm xmlns:a="http://schemas.openxmlformats.org/drawingml/2006/main">
          <a:off x="348655" y="2750193"/>
          <a:ext cx="1086153" cy="1832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900"/>
            <a:t>2023A</a:t>
          </a:r>
        </a:p>
      </cdr:txBody>
    </cdr:sp>
  </cdr:relSizeAnchor>
  <cdr:relSizeAnchor xmlns:cdr="http://schemas.openxmlformats.org/drawingml/2006/chartDrawing">
    <cdr:from>
      <cdr:x>0.19209</cdr:x>
      <cdr:y>0.80215</cdr:y>
    </cdr:from>
    <cdr:to>
      <cdr:x>0.42266</cdr:x>
      <cdr:y>0.86534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8EA4AFB-FF8E-9510-52BD-696B923940CC}"/>
            </a:ext>
          </a:extLst>
        </cdr:cNvPr>
        <cdr:cNvSpPr txBox="1"/>
      </cdr:nvSpPr>
      <cdr:spPr>
        <a:xfrm xmlns:a="http://schemas.openxmlformats.org/drawingml/2006/main">
          <a:off x="934058" y="2541733"/>
          <a:ext cx="1121180" cy="2002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US" sz="900"/>
            <a:t>Special</a:t>
          </a:r>
          <a:r>
            <a:rPr lang="en-US" sz="900" baseline="0"/>
            <a:t> Drinks</a:t>
          </a:r>
          <a:endParaRPr lang="en-US" sz="900"/>
        </a:p>
      </cdr:txBody>
    </cdr:sp>
  </cdr:relSizeAnchor>
  <cdr:relSizeAnchor xmlns:cdr="http://schemas.openxmlformats.org/drawingml/2006/chartDrawing">
    <cdr:from>
      <cdr:x>0.19516</cdr:x>
      <cdr:y>0.64183</cdr:y>
    </cdr:from>
    <cdr:to>
      <cdr:x>0.38503</cdr:x>
      <cdr:y>0.7038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0BEAE918-8A63-944B-56BC-D0D2651C1FB4}"/>
            </a:ext>
          </a:extLst>
        </cdr:cNvPr>
        <cdr:cNvSpPr txBox="1"/>
      </cdr:nvSpPr>
      <cdr:spPr>
        <a:xfrm xmlns:a="http://schemas.openxmlformats.org/drawingml/2006/main">
          <a:off x="949000" y="2033736"/>
          <a:ext cx="923263" cy="1963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US" sz="900"/>
            <a:t>B</a:t>
          </a:r>
          <a:r>
            <a:rPr lang="en-US" altLang="zh-CN" sz="900"/>
            <a:t>ushuila</a:t>
          </a:r>
          <a:endParaRPr lang="en-US" sz="900"/>
        </a:p>
      </cdr:txBody>
    </cdr:sp>
  </cdr:relSizeAnchor>
  <cdr:relSizeAnchor xmlns:cdr="http://schemas.openxmlformats.org/drawingml/2006/chartDrawing">
    <cdr:from>
      <cdr:x>0.1967</cdr:x>
      <cdr:y>0.58524</cdr:y>
    </cdr:from>
    <cdr:to>
      <cdr:x>0.38657</cdr:x>
      <cdr:y>0.64722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CD67798-4FCE-7782-BAE4-00EAD2C3860F}"/>
            </a:ext>
          </a:extLst>
        </cdr:cNvPr>
        <cdr:cNvSpPr txBox="1"/>
      </cdr:nvSpPr>
      <cdr:spPr>
        <a:xfrm xmlns:a="http://schemas.openxmlformats.org/drawingml/2006/main">
          <a:off x="956470" y="1854409"/>
          <a:ext cx="923263" cy="1963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US" sz="900"/>
            <a:t>Daka</a:t>
          </a:r>
        </a:p>
      </cdr:txBody>
    </cdr:sp>
  </cdr:relSizeAnchor>
  <cdr:relSizeAnchor xmlns:cdr="http://schemas.openxmlformats.org/drawingml/2006/chartDrawing">
    <cdr:from>
      <cdr:x>0.19682</cdr:x>
      <cdr:y>0.48575</cdr:y>
    </cdr:from>
    <cdr:to>
      <cdr:x>0.34612</cdr:x>
      <cdr:y>0.61542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D743D20C-7DC7-3670-1B8B-A609E1B84A59}"/>
            </a:ext>
          </a:extLst>
        </cdr:cNvPr>
        <cdr:cNvSpPr txBox="1"/>
      </cdr:nvSpPr>
      <cdr:spPr>
        <a:xfrm xmlns:a="http://schemas.openxmlformats.org/drawingml/2006/main">
          <a:off x="957060" y="1539182"/>
          <a:ext cx="725997" cy="410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US" sz="900"/>
            <a:t>Other drinks</a:t>
          </a:r>
        </a:p>
      </cdr:txBody>
    </cdr:sp>
  </cdr:relSizeAnchor>
  <cdr:relSizeAnchor xmlns:cdr="http://schemas.openxmlformats.org/drawingml/2006/chartDrawing">
    <cdr:from>
      <cdr:x>0.20503</cdr:x>
      <cdr:y>0.29818</cdr:y>
    </cdr:from>
    <cdr:to>
      <cdr:x>0.44816</cdr:x>
      <cdr:y>0.35721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039C1000-2FBA-9F7E-169E-90912779679C}"/>
            </a:ext>
          </a:extLst>
        </cdr:cNvPr>
        <cdr:cNvSpPr txBox="1"/>
      </cdr:nvSpPr>
      <cdr:spPr>
        <a:xfrm xmlns:a="http://schemas.openxmlformats.org/drawingml/2006/main">
          <a:off x="996970" y="944819"/>
          <a:ext cx="1182245" cy="1870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900"/>
            <a:t>+ Special Drinks</a:t>
          </a:r>
        </a:p>
      </cdr:txBody>
    </cdr:sp>
  </cdr:relSizeAnchor>
  <cdr:relSizeAnchor xmlns:cdr="http://schemas.openxmlformats.org/drawingml/2006/chartDrawing">
    <cdr:from>
      <cdr:x>0.34057</cdr:x>
      <cdr:y>0.22744</cdr:y>
    </cdr:from>
    <cdr:to>
      <cdr:x>0.5837</cdr:x>
      <cdr:y>0.28647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4FE005A9-6D03-71A1-07BE-C223C2266DA4}"/>
            </a:ext>
          </a:extLst>
        </cdr:cNvPr>
        <cdr:cNvSpPr txBox="1"/>
      </cdr:nvSpPr>
      <cdr:spPr>
        <a:xfrm xmlns:a="http://schemas.openxmlformats.org/drawingml/2006/main">
          <a:off x="1664606" y="700051"/>
          <a:ext cx="1188358" cy="1816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900"/>
            <a:t>+ Bushuila</a:t>
          </a:r>
        </a:p>
      </cdr:txBody>
    </cdr:sp>
  </cdr:relSizeAnchor>
  <cdr:relSizeAnchor xmlns:cdr="http://schemas.openxmlformats.org/drawingml/2006/chartDrawing">
    <cdr:from>
      <cdr:x>0.47977</cdr:x>
      <cdr:y>0.18913</cdr:y>
    </cdr:from>
    <cdr:to>
      <cdr:x>0.7229</cdr:x>
      <cdr:y>0.24816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FCCBD1C6-EF56-1552-4DB1-8C58CBDC8ACA}"/>
            </a:ext>
          </a:extLst>
        </cdr:cNvPr>
        <cdr:cNvSpPr txBox="1"/>
      </cdr:nvSpPr>
      <cdr:spPr>
        <a:xfrm xmlns:a="http://schemas.openxmlformats.org/drawingml/2006/main">
          <a:off x="2344962" y="582124"/>
          <a:ext cx="1188358" cy="1816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900"/>
            <a:t>+ Daka</a:t>
          </a:r>
        </a:p>
      </cdr:txBody>
    </cdr:sp>
  </cdr:relSizeAnchor>
  <cdr:relSizeAnchor xmlns:cdr="http://schemas.openxmlformats.org/drawingml/2006/chartDrawing">
    <cdr:from>
      <cdr:x>0.63252</cdr:x>
      <cdr:y>0.15671</cdr:y>
    </cdr:from>
    <cdr:to>
      <cdr:x>0.87565</cdr:x>
      <cdr:y>0.21574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E38E2384-8FEB-0B1D-7687-AB3043020576}"/>
            </a:ext>
          </a:extLst>
        </cdr:cNvPr>
        <cdr:cNvSpPr txBox="1"/>
      </cdr:nvSpPr>
      <cdr:spPr>
        <a:xfrm xmlns:a="http://schemas.openxmlformats.org/drawingml/2006/main">
          <a:off x="3091542" y="482339"/>
          <a:ext cx="1188358" cy="1816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900"/>
            <a:t>+ Other</a:t>
          </a:r>
          <a:r>
            <a:rPr lang="en-US" sz="900" baseline="0"/>
            <a:t> drinks</a:t>
          </a:r>
          <a:endParaRPr lang="en-US" sz="900"/>
        </a:p>
      </cdr:txBody>
    </cdr:sp>
  </cdr:relSizeAnchor>
  <cdr:relSizeAnchor xmlns:cdr="http://schemas.openxmlformats.org/drawingml/2006/chartDrawing">
    <cdr:from>
      <cdr:x>0.79714</cdr:x>
      <cdr:y>0.89352</cdr:y>
    </cdr:from>
    <cdr:to>
      <cdr:x>1</cdr:x>
      <cdr:y>0.94371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654F549C-BF66-5BEC-FE76-F4D08980769F}"/>
            </a:ext>
          </a:extLst>
        </cdr:cNvPr>
        <cdr:cNvSpPr txBox="1"/>
      </cdr:nvSpPr>
      <cdr:spPr>
        <a:xfrm xmlns:a="http://schemas.openxmlformats.org/drawingml/2006/main">
          <a:off x="3896178" y="2750193"/>
          <a:ext cx="991508" cy="154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900"/>
            <a:t>2026E</a:t>
          </a:r>
        </a:p>
      </cdr:txBody>
    </cdr:sp>
  </cdr:relSizeAnchor>
  <cdr:relSizeAnchor xmlns:cdr="http://schemas.openxmlformats.org/drawingml/2006/chartDrawing">
    <cdr:from>
      <cdr:x>0</cdr:x>
      <cdr:y>0.07713</cdr:y>
    </cdr:from>
    <cdr:to>
      <cdr:x>0.24313</cdr:x>
      <cdr:y>0.13616</cdr:y>
    </cdr:to>
    <cdr:sp macro="" textlink="">
      <cdr:nvSpPr>
        <cdr:cNvPr id="13" name="TextBox 12">
          <a:extLst xmlns:a="http://schemas.openxmlformats.org/drawingml/2006/main">
            <a:ext uri="{FF2B5EF4-FFF2-40B4-BE49-F238E27FC236}">
              <a16:creationId xmlns:a16="http://schemas.microsoft.com/office/drawing/2014/main" id="{129F6B63-8EB6-6BF8-0071-102FD7A8F373}"/>
            </a:ext>
          </a:extLst>
        </cdr:cNvPr>
        <cdr:cNvSpPr txBox="1"/>
      </cdr:nvSpPr>
      <cdr:spPr>
        <a:xfrm xmlns:a="http://schemas.openxmlformats.org/drawingml/2006/main">
          <a:off x="0" y="237408"/>
          <a:ext cx="1188358" cy="1816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Rmb mn</a:t>
          </a:r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0.07133</cdr:x>
      <cdr:y>0.89352</cdr:y>
    </cdr:from>
    <cdr:to>
      <cdr:x>0.29356</cdr:x>
      <cdr:y>0.95304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56169EE-8C4B-6458-720A-A0A191FBA0E8}"/>
            </a:ext>
          </a:extLst>
        </cdr:cNvPr>
        <cdr:cNvSpPr txBox="1"/>
      </cdr:nvSpPr>
      <cdr:spPr>
        <a:xfrm xmlns:a="http://schemas.openxmlformats.org/drawingml/2006/main">
          <a:off x="348655" y="2750193"/>
          <a:ext cx="1086153" cy="1832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900"/>
            <a:t>2023A</a:t>
          </a:r>
        </a:p>
      </cdr:txBody>
    </cdr:sp>
  </cdr:relSizeAnchor>
  <cdr:relSizeAnchor xmlns:cdr="http://schemas.openxmlformats.org/drawingml/2006/chartDrawing">
    <cdr:from>
      <cdr:x>0.19209</cdr:x>
      <cdr:y>0.60174</cdr:y>
    </cdr:from>
    <cdr:to>
      <cdr:x>0.38196</cdr:x>
      <cdr:y>0.66372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CD67798-4FCE-7782-BAE4-00EAD2C3860F}"/>
            </a:ext>
          </a:extLst>
        </cdr:cNvPr>
        <cdr:cNvSpPr txBox="1"/>
      </cdr:nvSpPr>
      <cdr:spPr>
        <a:xfrm xmlns:a="http://schemas.openxmlformats.org/drawingml/2006/main">
          <a:off x="938892" y="1852122"/>
          <a:ext cx="928007" cy="1907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endParaRPr lang="en-US" sz="900"/>
        </a:p>
      </cdr:txBody>
    </cdr:sp>
  </cdr:relSizeAnchor>
  <cdr:relSizeAnchor xmlns:cdr="http://schemas.openxmlformats.org/drawingml/2006/chartDrawing">
    <cdr:from>
      <cdr:x>0.20484</cdr:x>
      <cdr:y>0.25279</cdr:y>
    </cdr:from>
    <cdr:to>
      <cdr:x>0.44797</cdr:x>
      <cdr:y>0.38255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039C1000-2FBA-9F7E-169E-90912779679C}"/>
            </a:ext>
          </a:extLst>
        </cdr:cNvPr>
        <cdr:cNvSpPr txBox="1"/>
      </cdr:nvSpPr>
      <cdr:spPr>
        <a:xfrm xmlns:a="http://schemas.openxmlformats.org/drawingml/2006/main">
          <a:off x="996386" y="800999"/>
          <a:ext cx="1182629" cy="4111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900"/>
            <a:t>+ Special Drinks</a:t>
          </a:r>
        </a:p>
        <a:p xmlns:a="http://schemas.openxmlformats.org/drawingml/2006/main">
          <a:pPr algn="ctr"/>
          <a:endParaRPr lang="en-US" sz="900"/>
        </a:p>
      </cdr:txBody>
    </cdr:sp>
  </cdr:relSizeAnchor>
  <cdr:relSizeAnchor xmlns:cdr="http://schemas.openxmlformats.org/drawingml/2006/chartDrawing">
    <cdr:from>
      <cdr:x>0.34813</cdr:x>
      <cdr:y>0.20327</cdr:y>
    </cdr:from>
    <cdr:to>
      <cdr:x>0.59126</cdr:x>
      <cdr:y>0.33009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4FE005A9-6D03-71A1-07BE-C223C2266DA4}"/>
            </a:ext>
          </a:extLst>
        </cdr:cNvPr>
        <cdr:cNvSpPr txBox="1"/>
      </cdr:nvSpPr>
      <cdr:spPr>
        <a:xfrm xmlns:a="http://schemas.openxmlformats.org/drawingml/2006/main">
          <a:off x="1693371" y="644095"/>
          <a:ext cx="1182628" cy="4018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900"/>
            <a:t>+ Bushuila</a:t>
          </a:r>
        </a:p>
        <a:p xmlns:a="http://schemas.openxmlformats.org/drawingml/2006/main">
          <a:pPr algn="ctr"/>
          <a:endParaRPr lang="en-US" sz="900"/>
        </a:p>
      </cdr:txBody>
    </cdr:sp>
  </cdr:relSizeAnchor>
  <cdr:relSizeAnchor xmlns:cdr="http://schemas.openxmlformats.org/drawingml/2006/chartDrawing">
    <cdr:from>
      <cdr:x>0.4891</cdr:x>
      <cdr:y>0.19974</cdr:y>
    </cdr:from>
    <cdr:to>
      <cdr:x>0.73223</cdr:x>
      <cdr:y>0.3855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E38E2384-8FEB-0B1D-7687-AB3043020576}"/>
            </a:ext>
          </a:extLst>
        </cdr:cNvPr>
        <cdr:cNvSpPr txBox="1"/>
      </cdr:nvSpPr>
      <cdr:spPr>
        <a:xfrm xmlns:a="http://schemas.openxmlformats.org/drawingml/2006/main">
          <a:off x="2379086" y="632891"/>
          <a:ext cx="1182628" cy="5886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900"/>
            <a:t>+ Daka</a:t>
          </a:r>
        </a:p>
      </cdr:txBody>
    </cdr:sp>
  </cdr:relSizeAnchor>
  <cdr:relSizeAnchor xmlns:cdr="http://schemas.openxmlformats.org/drawingml/2006/chartDrawing">
    <cdr:from>
      <cdr:x>0.79714</cdr:x>
      <cdr:y>0.89352</cdr:y>
    </cdr:from>
    <cdr:to>
      <cdr:x>1</cdr:x>
      <cdr:y>0.94371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654F549C-BF66-5BEC-FE76-F4D08980769F}"/>
            </a:ext>
          </a:extLst>
        </cdr:cNvPr>
        <cdr:cNvSpPr txBox="1"/>
      </cdr:nvSpPr>
      <cdr:spPr>
        <a:xfrm xmlns:a="http://schemas.openxmlformats.org/drawingml/2006/main">
          <a:off x="3896178" y="2750193"/>
          <a:ext cx="991508" cy="154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900"/>
            <a:t>2026E</a:t>
          </a:r>
        </a:p>
      </cdr:txBody>
    </cdr:sp>
  </cdr:relSizeAnchor>
  <cdr:relSizeAnchor xmlns:cdr="http://schemas.openxmlformats.org/drawingml/2006/chartDrawing">
    <cdr:from>
      <cdr:x>0</cdr:x>
      <cdr:y>0.07713</cdr:y>
    </cdr:from>
    <cdr:to>
      <cdr:x>0.24313</cdr:x>
      <cdr:y>0.13616</cdr:y>
    </cdr:to>
    <cdr:sp macro="" textlink="">
      <cdr:nvSpPr>
        <cdr:cNvPr id="13" name="TextBox 12">
          <a:extLst xmlns:a="http://schemas.openxmlformats.org/drawingml/2006/main">
            <a:ext uri="{FF2B5EF4-FFF2-40B4-BE49-F238E27FC236}">
              <a16:creationId xmlns:a16="http://schemas.microsoft.com/office/drawing/2014/main" id="{129F6B63-8EB6-6BF8-0071-102FD7A8F373}"/>
            </a:ext>
          </a:extLst>
        </cdr:cNvPr>
        <cdr:cNvSpPr txBox="1"/>
      </cdr:nvSpPr>
      <cdr:spPr>
        <a:xfrm xmlns:a="http://schemas.openxmlformats.org/drawingml/2006/main">
          <a:off x="0" y="237408"/>
          <a:ext cx="1188358" cy="1816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l"/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Rmb mn</a:t>
          </a:r>
        </a:p>
      </cdr:txBody>
    </cdr:sp>
  </cdr:relSizeAnchor>
  <cdr:relSizeAnchor xmlns:cdr="http://schemas.openxmlformats.org/drawingml/2006/chartDrawing">
    <cdr:from>
      <cdr:x>0.20089</cdr:x>
      <cdr:y>0.75916</cdr:y>
    </cdr:from>
    <cdr:to>
      <cdr:x>0.43138</cdr:x>
      <cdr:y>0.82235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8A970A2A-7CDC-488D-4893-2C3ED3F096E5}"/>
            </a:ext>
          </a:extLst>
        </cdr:cNvPr>
        <cdr:cNvSpPr txBox="1"/>
      </cdr:nvSpPr>
      <cdr:spPr>
        <a:xfrm xmlns:a="http://schemas.openxmlformats.org/drawingml/2006/main">
          <a:off x="977153" y="2405527"/>
          <a:ext cx="1121180" cy="2002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900"/>
            <a:t>Special</a:t>
          </a:r>
          <a:r>
            <a:rPr lang="en-US" sz="900" baseline="0"/>
            <a:t> Drinks</a:t>
          </a:r>
          <a:endParaRPr lang="en-US" sz="900"/>
        </a:p>
      </cdr:txBody>
    </cdr:sp>
  </cdr:relSizeAnchor>
  <cdr:relSizeAnchor xmlns:cdr="http://schemas.openxmlformats.org/drawingml/2006/chartDrawing">
    <cdr:from>
      <cdr:x>0.20396</cdr:x>
      <cdr:y>0.66486</cdr:y>
    </cdr:from>
    <cdr:to>
      <cdr:x>0.39377</cdr:x>
      <cdr:y>0.72683</cdr:y>
    </cdr:to>
    <cdr:sp macro="" textlink="">
      <cdr:nvSpPr>
        <cdr:cNvPr id="14" name="TextBox 2">
          <a:extLst xmlns:a="http://schemas.openxmlformats.org/drawingml/2006/main">
            <a:ext uri="{FF2B5EF4-FFF2-40B4-BE49-F238E27FC236}">
              <a16:creationId xmlns:a16="http://schemas.microsoft.com/office/drawing/2014/main" id="{4D81EF56-61A7-F8D2-128A-3D2945C52247}"/>
            </a:ext>
          </a:extLst>
        </cdr:cNvPr>
        <cdr:cNvSpPr txBox="1"/>
      </cdr:nvSpPr>
      <cdr:spPr>
        <a:xfrm xmlns:a="http://schemas.openxmlformats.org/drawingml/2006/main">
          <a:off x="992095" y="2106707"/>
          <a:ext cx="923263" cy="1963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900"/>
            <a:t>B</a:t>
          </a:r>
          <a:r>
            <a:rPr lang="en-US" altLang="zh-CN" sz="900"/>
            <a:t>ushuila</a:t>
          </a:r>
          <a:endParaRPr lang="en-US" sz="900"/>
        </a:p>
      </cdr:txBody>
    </cdr:sp>
  </cdr:relSizeAnchor>
  <cdr:relSizeAnchor xmlns:cdr="http://schemas.openxmlformats.org/drawingml/2006/chartDrawing">
    <cdr:from>
      <cdr:x>0.2055</cdr:x>
      <cdr:y>0.60827</cdr:y>
    </cdr:from>
    <cdr:to>
      <cdr:x>0.3953</cdr:x>
      <cdr:y>0.67025</cdr:y>
    </cdr:to>
    <cdr:sp macro="" textlink="">
      <cdr:nvSpPr>
        <cdr:cNvPr id="15" name="TextBox 3">
          <a:extLst xmlns:a="http://schemas.openxmlformats.org/drawingml/2006/main">
            <a:ext uri="{FF2B5EF4-FFF2-40B4-BE49-F238E27FC236}">
              <a16:creationId xmlns:a16="http://schemas.microsoft.com/office/drawing/2014/main" id="{1003C056-5E56-5325-3174-788209350994}"/>
            </a:ext>
          </a:extLst>
        </cdr:cNvPr>
        <cdr:cNvSpPr txBox="1"/>
      </cdr:nvSpPr>
      <cdr:spPr>
        <a:xfrm xmlns:a="http://schemas.openxmlformats.org/drawingml/2006/main">
          <a:off x="999565" y="1927380"/>
          <a:ext cx="923263" cy="1963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900"/>
            <a:t>Daka</a:t>
          </a:r>
        </a:p>
      </cdr:txBody>
    </cdr:sp>
  </cdr:relSizeAnchor>
  <cdr:relSizeAnchor xmlns:cdr="http://schemas.openxmlformats.org/drawingml/2006/chartDrawing">
    <cdr:from>
      <cdr:x>0.20562</cdr:x>
      <cdr:y>0.50878</cdr:y>
    </cdr:from>
    <cdr:to>
      <cdr:x>0.35487</cdr:x>
      <cdr:y>0.63845</cdr:y>
    </cdr:to>
    <cdr:sp macro="" textlink="">
      <cdr:nvSpPr>
        <cdr:cNvPr id="16" name="TextBox 4">
          <a:extLst xmlns:a="http://schemas.openxmlformats.org/drawingml/2006/main">
            <a:ext uri="{FF2B5EF4-FFF2-40B4-BE49-F238E27FC236}">
              <a16:creationId xmlns:a16="http://schemas.microsoft.com/office/drawing/2014/main" id="{5315CE06-7E3B-51C2-34F3-11A416761047}"/>
            </a:ext>
          </a:extLst>
        </cdr:cNvPr>
        <cdr:cNvSpPr txBox="1"/>
      </cdr:nvSpPr>
      <cdr:spPr>
        <a:xfrm xmlns:a="http://schemas.openxmlformats.org/drawingml/2006/main">
          <a:off x="1000155" y="1612153"/>
          <a:ext cx="725997" cy="410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900"/>
            <a:t>Other drinks</a:t>
          </a:r>
        </a:p>
      </cdr:txBody>
    </cdr:sp>
  </cdr:relSizeAnchor>
  <cdr:relSizeAnchor xmlns:cdr="http://schemas.openxmlformats.org/drawingml/2006/chartDrawing">
    <cdr:from>
      <cdr:x>0.62631</cdr:x>
      <cdr:y>0.18814</cdr:y>
    </cdr:from>
    <cdr:to>
      <cdr:x>0.86944</cdr:x>
      <cdr:y>0.3739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CF45F31D-5FE2-D841-9E70-92405D872332}"/>
            </a:ext>
          </a:extLst>
        </cdr:cNvPr>
        <cdr:cNvSpPr txBox="1"/>
      </cdr:nvSpPr>
      <cdr:spPr>
        <a:xfrm xmlns:a="http://schemas.openxmlformats.org/drawingml/2006/main">
          <a:off x="3046506" y="596153"/>
          <a:ext cx="1182628" cy="5886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900"/>
            <a:t>+ Other drinks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662940</xdr:colOff>
      <xdr:row>1</xdr:row>
      <xdr:rowOff>45720</xdr:rowOff>
    </xdr:from>
    <xdr:to>
      <xdr:col>8</xdr:col>
      <xdr:colOff>165735</xdr:colOff>
      <xdr:row>18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166729</xdr:colOff>
      <xdr:row>18</xdr:row>
      <xdr:rowOff>87271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173355</xdr:colOff>
      <xdr:row>18</xdr:row>
      <xdr:rowOff>27305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1</xdr:row>
      <xdr:rowOff>0</xdr:rowOff>
    </xdr:from>
    <xdr:to>
      <xdr:col>33</xdr:col>
      <xdr:colOff>173355</xdr:colOff>
      <xdr:row>18</xdr:row>
      <xdr:rowOff>27305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594360</xdr:colOff>
      <xdr:row>23</xdr:row>
      <xdr:rowOff>7620</xdr:rowOff>
    </xdr:from>
    <xdr:to>
      <xdr:col>8</xdr:col>
      <xdr:colOff>97155</xdr:colOff>
      <xdr:row>40</xdr:row>
      <xdr:rowOff>34925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16</xdr:col>
      <xdr:colOff>173355</xdr:colOff>
      <xdr:row>40</xdr:row>
      <xdr:rowOff>27305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1</xdr:colOff>
      <xdr:row>23</xdr:row>
      <xdr:rowOff>0</xdr:rowOff>
    </xdr:from>
    <xdr:to>
      <xdr:col>24</xdr:col>
      <xdr:colOff>173356</xdr:colOff>
      <xdr:row>40</xdr:row>
      <xdr:rowOff>27305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hang, David [GIR]" id="{4D8F3D3D-6069-45E8-B92E-9C623D24E993}" userId="S::shangda@firmwide.corp.gs.com::acb39106-e635-44dc-8606-1543198b6d02" providerId="AD"/>
</personList>
</file>

<file path=xl/theme/theme1.xml><?xml version="1.0" encoding="utf-8"?>
<a:theme xmlns:a="http://schemas.openxmlformats.org/drawingml/2006/main" name="GIR Product">
  <a:themeElements>
    <a:clrScheme name="Equity">
      <a:dk1>
        <a:sysClr val="windowText" lastClr="000000"/>
      </a:dk1>
      <a:lt1>
        <a:sysClr val="window" lastClr="FFFFFF"/>
      </a:lt1>
      <a:dk2>
        <a:srgbClr val="AEBAD5"/>
      </a:dk2>
      <a:lt2>
        <a:srgbClr val="DFE4EE"/>
      </a:lt2>
      <a:accent1>
        <a:srgbClr val="5E76AA"/>
      </a:accent1>
      <a:accent2>
        <a:srgbClr val="CFD6E6"/>
      </a:accent2>
      <a:accent3>
        <a:srgbClr val="9EADCC"/>
      </a:accent3>
      <a:accent4>
        <a:srgbClr val="EFF1F6"/>
      </a:accent4>
      <a:accent5>
        <a:srgbClr val="BFC8DD"/>
      </a:accent5>
      <a:accent6>
        <a:srgbClr val="8E9FC4"/>
      </a:accent6>
      <a:hlink>
        <a:srgbClr val="0000FF"/>
      </a:hlink>
      <a:folHlink>
        <a:srgbClr val="800080"/>
      </a:folHlink>
    </a:clrScheme>
    <a:fontScheme name="GIR Product">
      <a:majorFont>
        <a:latin typeface="Univers LT Std 65 Bold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Jpan" typeface="MS Gothic"/>
      </a:majorFont>
      <a:minorFont>
        <a:latin typeface="Univers LT Std 55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GIR Produc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94" dT="2022-12-06T12:00:31.89" personId="{4D8F3D3D-6069-45E8-B92E-9C623D24E993}" id="{C2D9FBCE-74A2-4B64-8890-36A1BF183D46}">
    <text>Reflecting the transportation expense reclassfication</text>
  </threadedComment>
  <threadedComment ref="J177" dT="2022-12-06T12:07:50.27" personId="{4D8F3D3D-6069-45E8-B92E-9C623D24E993}" id="{AD3262D6-D598-4705-8A5A-D3902FFFA883}">
    <text>Deduct water when updating historical number</text>
  </threadedComment>
  <threadedComment ref="J380" dT="2022-12-07T03:32:01.08" personId="{4D8F3D3D-6069-45E8-B92E-9C623D24E993}" id="{3CE38198-F48F-4A50-8DAA-2F44339750C4}">
    <text>2021 breakdown to DTC &amp; combined north part</text>
  </threadedComment>
  <threadedComment ref="J443" dT="2022-12-07T03:32:01.08" personId="{4D8F3D3D-6069-45E8-B92E-9C623D24E993}" id="{A4028711-1D5E-4CC8-B3F6-23001B6FF04C}">
    <text>2021 breakdown to DTC &amp; combined north part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EFB537-CFE4-4C82-894A-AAD098F43513}">
  <we:reference id="49825c50-e8d8-4c4a-9a2c-e6f24181e018" version="1.0.0.0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9.bin"/><Relationship Id="rId7" Type="http://schemas.microsoft.com/office/2017/10/relationships/threadedComment" Target="../threadedComments/threadedComment1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6.bin"/><Relationship Id="rId4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customProperty" Target="../customProperty14.bin"/><Relationship Id="rId7" Type="http://schemas.openxmlformats.org/officeDocument/2006/relationships/image" Target="../media/image4.emf"/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1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1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11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customProperty" Target="../customProperty16.bin"/><Relationship Id="rId1" Type="http://schemas.openxmlformats.org/officeDocument/2006/relationships/printerSettings" Target="../printerSettings/printerSettings12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9.xml"/><Relationship Id="rId3" Type="http://schemas.openxmlformats.org/officeDocument/2006/relationships/hyperlink" Target="http://www.cninfo.com.cn/new/disclosure/detail?stockCode=605499&amp;announcementId=1219738548&amp;orgId=9900041766&amp;announcementTime=2024-04-23" TargetMode="External"/><Relationship Id="rId7" Type="http://schemas.openxmlformats.org/officeDocument/2006/relationships/customProperty" Target="../customProperty17.bin"/><Relationship Id="rId2" Type="http://schemas.openxmlformats.org/officeDocument/2006/relationships/hyperlink" Target="http://www.cninfo.com.cn/new/disclosure/detail?stockCode=605499&amp;announcementId=1220456215&amp;orgId=9900041766&amp;announcementTime=2024-06-26" TargetMode="External"/><Relationship Id="rId1" Type="http://schemas.openxmlformats.org/officeDocument/2006/relationships/hyperlink" Target="http://www.cninfo.com.cn/new/disclosure/detail?stockCode=605499&amp;announcementId=1218247124&amp;orgId=9900041766&amp;announcementTime=2023-11-04" TargetMode="External"/><Relationship Id="rId6" Type="http://schemas.openxmlformats.org/officeDocument/2006/relationships/printerSettings" Target="../printerSettings/printerSettings13.bin"/><Relationship Id="rId5" Type="http://schemas.openxmlformats.org/officeDocument/2006/relationships/hyperlink" Target="http://www.cninfo.com.cn/new/disclosure/detail?stockCode=605499&amp;announcementId=1211684202&amp;orgId=9900041766&amp;announcementTime=2021-11-24" TargetMode="External"/><Relationship Id="rId10" Type="http://schemas.openxmlformats.org/officeDocument/2006/relationships/comments" Target="../comments5.xml"/><Relationship Id="rId4" Type="http://schemas.openxmlformats.org/officeDocument/2006/relationships/hyperlink" Target="http://www.cninfo.com.cn/new/disclosure/detail?stockCode=605499&amp;announcementId=1210591269&amp;orgId=9900041766&amp;announcementTime=2021-07-29" TargetMode="External"/><Relationship Id="rId9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customProperty" Target="../customProperty18.bin"/><Relationship Id="rId1" Type="http://schemas.openxmlformats.org/officeDocument/2006/relationships/printerSettings" Target="../printerSettings/printerSettings14.bin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customProperty" Target="../customProperty19.bin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customProperty" Target="../customProperty20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2.bin"/><Relationship Id="rId2" Type="http://schemas.openxmlformats.org/officeDocument/2006/relationships/customProperty" Target="../customProperty21.bin"/><Relationship Id="rId1" Type="http://schemas.openxmlformats.org/officeDocument/2006/relationships/printerSettings" Target="../printerSettings/printerSettings16.bin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3.bin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showGridLines="0" tabSelected="1" zoomScaleNormal="100" workbookViewId="0"/>
  </sheetViews>
  <sheetFormatPr defaultRowHeight="14.25" outlineLevelCol="1"/>
  <cols>
    <col min="2" max="2" width="5.5" customWidth="1"/>
    <col min="5" max="5" width="10.5" customWidth="1"/>
    <col min="7" max="7" width="13.75" bestFit="1" customWidth="1"/>
    <col min="8" max="8" width="9.75" bestFit="1" customWidth="1"/>
    <col min="11" max="11" width="9" hidden="1" customWidth="1" outlineLevel="1"/>
    <col min="12" max="12" width="12.625" hidden="1" customWidth="1" outlineLevel="1"/>
    <col min="13" max="13" width="9" collapsed="1"/>
  </cols>
  <sheetData>
    <row r="1" spans="1:12" ht="15">
      <c r="A1" s="614"/>
      <c r="B1" s="614"/>
      <c r="C1" s="615"/>
      <c r="D1" s="614"/>
      <c r="E1" s="614"/>
      <c r="F1" s="614"/>
      <c r="G1" s="614"/>
      <c r="H1" s="614"/>
      <c r="I1" s="614"/>
      <c r="J1" s="614"/>
      <c r="K1" s="614"/>
    </row>
    <row r="2" spans="1:12" ht="15.75">
      <c r="A2" s="614"/>
      <c r="B2" s="614"/>
      <c r="C2" s="616" t="s">
        <v>1034</v>
      </c>
      <c r="D2" s="614"/>
      <c r="E2" s="614"/>
      <c r="F2" s="614"/>
      <c r="G2" s="614"/>
      <c r="H2" s="614"/>
      <c r="I2" s="614"/>
      <c r="J2" s="614"/>
      <c r="K2" s="614"/>
    </row>
    <row r="3" spans="1:12" ht="15.75">
      <c r="A3" s="614"/>
      <c r="B3" s="614"/>
      <c r="C3" s="616" t="s">
        <v>1035</v>
      </c>
      <c r="D3" s="614"/>
      <c r="E3" s="614"/>
      <c r="F3" s="614"/>
      <c r="G3" s="614"/>
      <c r="H3" s="614"/>
      <c r="I3" s="614"/>
      <c r="J3" s="614"/>
      <c r="K3" s="614"/>
    </row>
    <row r="4" spans="1:12" ht="15.75">
      <c r="A4" s="614"/>
      <c r="B4" s="614"/>
      <c r="C4" s="616" t="s">
        <v>1036</v>
      </c>
      <c r="D4" s="614"/>
      <c r="E4" s="614"/>
      <c r="F4" s="614"/>
      <c r="G4" s="614"/>
      <c r="H4" s="614"/>
      <c r="I4" s="614"/>
      <c r="J4" s="614"/>
      <c r="K4" s="614"/>
    </row>
    <row r="5" spans="1:12" ht="20.25" customHeight="1">
      <c r="A5" s="614"/>
      <c r="B5" s="614"/>
      <c r="C5" s="615"/>
      <c r="D5" s="614"/>
      <c r="E5" s="614"/>
      <c r="F5" s="614"/>
      <c r="G5" s="614"/>
      <c r="H5" s="614"/>
      <c r="I5" s="614"/>
      <c r="J5" s="614"/>
      <c r="K5" s="614"/>
    </row>
    <row r="6" spans="1:12" ht="20.25" customHeight="1">
      <c r="A6" s="617"/>
      <c r="B6" s="618" t="s">
        <v>1105</v>
      </c>
      <c r="C6" s="617"/>
      <c r="D6" s="617"/>
      <c r="E6" s="617"/>
      <c r="F6" s="617"/>
      <c r="G6" s="617"/>
      <c r="H6" s="617"/>
      <c r="I6" s="617"/>
      <c r="J6" s="617"/>
      <c r="K6" s="617"/>
      <c r="L6" s="617"/>
    </row>
    <row r="7" spans="1:12" ht="20.25" customHeight="1">
      <c r="A7" s="617"/>
      <c r="B7" s="618" t="s">
        <v>1106</v>
      </c>
      <c r="C7" s="617"/>
      <c r="D7" s="617"/>
      <c r="E7" s="617"/>
      <c r="F7" s="617"/>
      <c r="G7" s="617"/>
      <c r="H7" s="617"/>
      <c r="I7" s="617"/>
      <c r="J7" s="617"/>
      <c r="K7" s="617"/>
      <c r="L7" s="617"/>
    </row>
    <row r="8" spans="1:12" ht="20.25" customHeight="1">
      <c r="A8" s="724"/>
      <c r="B8" s="724"/>
      <c r="C8" s="725" t="s">
        <v>1037</v>
      </c>
      <c r="D8" s="724"/>
      <c r="E8" s="724"/>
      <c r="F8" s="724"/>
      <c r="G8" s="724"/>
      <c r="H8" s="726" t="s">
        <v>1097</v>
      </c>
      <c r="I8" s="724"/>
      <c r="J8" s="724"/>
      <c r="K8" s="724" t="s">
        <v>1038</v>
      </c>
      <c r="L8" s="727" t="s">
        <v>1097</v>
      </c>
    </row>
    <row r="9" spans="1:12" ht="20.25" customHeight="1">
      <c r="A9" s="724"/>
      <c r="B9" s="724"/>
      <c r="C9" s="725" t="s">
        <v>859</v>
      </c>
      <c r="D9" s="724"/>
      <c r="E9" s="724"/>
      <c r="F9" s="724"/>
      <c r="G9" s="724"/>
      <c r="H9" s="726">
        <v>350</v>
      </c>
      <c r="I9" s="724"/>
      <c r="J9" s="724"/>
      <c r="K9" s="724" t="s">
        <v>654</v>
      </c>
      <c r="L9" s="727">
        <v>350</v>
      </c>
    </row>
    <row r="10" spans="1:12" ht="20.25" customHeight="1">
      <c r="A10" s="724"/>
      <c r="B10" s="724"/>
      <c r="C10" s="725" t="s">
        <v>1039</v>
      </c>
      <c r="D10" s="724"/>
      <c r="E10" s="724"/>
      <c r="F10" s="724"/>
      <c r="G10" s="724"/>
      <c r="H10" s="726">
        <v>3</v>
      </c>
      <c r="I10" s="724"/>
      <c r="J10" s="724"/>
      <c r="K10" s="724" t="s">
        <v>1033</v>
      </c>
      <c r="L10" s="727">
        <v>3</v>
      </c>
    </row>
    <row r="11" spans="1:12" ht="20.25" customHeight="1">
      <c r="A11" s="724"/>
      <c r="B11" s="724"/>
      <c r="C11" s="725" t="s">
        <v>1040</v>
      </c>
      <c r="D11" s="724"/>
      <c r="E11" s="724"/>
      <c r="F11" s="2299">
        <v>45979</v>
      </c>
      <c r="G11" s="2300"/>
      <c r="H11" s="728">
        <v>18775.431553615614</v>
      </c>
      <c r="I11" s="724"/>
      <c r="J11" s="724"/>
      <c r="K11" s="724" t="s">
        <v>1041</v>
      </c>
      <c r="L11" s="727">
        <v>18775.431553615614</v>
      </c>
    </row>
    <row r="12" spans="1:12" ht="20.25" customHeight="1">
      <c r="A12" s="724"/>
      <c r="B12" s="724"/>
      <c r="C12" s="725" t="s">
        <v>860</v>
      </c>
      <c r="D12" s="724"/>
      <c r="E12" s="724"/>
      <c r="F12" s="724"/>
      <c r="G12" s="724"/>
      <c r="H12" s="728">
        <v>520.01300000000003</v>
      </c>
      <c r="I12" s="724"/>
      <c r="J12" s="724"/>
      <c r="K12" s="724" t="s">
        <v>1042</v>
      </c>
      <c r="L12" s="727">
        <v>520.01300000000003</v>
      </c>
    </row>
    <row r="13" spans="1:12" ht="20.25" customHeight="1">
      <c r="A13" s="724"/>
      <c r="B13" s="724"/>
      <c r="C13" s="725" t="s">
        <v>1043</v>
      </c>
      <c r="D13" s="724"/>
      <c r="E13" s="724"/>
      <c r="F13" s="724"/>
      <c r="G13" s="724"/>
      <c r="H13" s="726" t="s">
        <v>504</v>
      </c>
      <c r="I13" s="724"/>
      <c r="J13" s="724"/>
      <c r="K13" s="724" t="s">
        <v>653</v>
      </c>
      <c r="L13" s="727" t="s">
        <v>504</v>
      </c>
    </row>
    <row r="14" spans="1:12" ht="20.25" customHeight="1">
      <c r="A14" s="724"/>
      <c r="B14" s="724"/>
      <c r="C14" s="725" t="s">
        <v>1044</v>
      </c>
      <c r="D14" s="724"/>
      <c r="E14" s="724"/>
      <c r="F14" s="724"/>
      <c r="G14" s="724"/>
      <c r="H14" s="726" t="s">
        <v>69</v>
      </c>
      <c r="I14" s="724"/>
      <c r="J14" s="724"/>
      <c r="K14" s="724"/>
      <c r="L14" s="727"/>
    </row>
    <row r="15" spans="1:12" ht="20.25" customHeight="1">
      <c r="A15" s="724"/>
      <c r="B15" s="724"/>
      <c r="C15" s="725" t="s">
        <v>1045</v>
      </c>
      <c r="D15" s="724"/>
      <c r="E15" s="724"/>
      <c r="F15" s="724"/>
      <c r="G15" s="724"/>
      <c r="H15" s="729">
        <v>45979</v>
      </c>
      <c r="I15" s="724"/>
      <c r="J15" s="724"/>
      <c r="K15" s="724" t="s">
        <v>1046</v>
      </c>
      <c r="L15" s="727" t="s">
        <v>1810</v>
      </c>
    </row>
    <row r="16" spans="1:12" ht="20.25" customHeight="1">
      <c r="A16" s="724"/>
      <c r="B16" s="724"/>
      <c r="C16" s="725" t="s">
        <v>1047</v>
      </c>
      <c r="D16" s="724"/>
      <c r="E16" s="724"/>
      <c r="F16" s="724"/>
      <c r="G16" s="724"/>
      <c r="H16" s="805" t="s">
        <v>1812</v>
      </c>
      <c r="I16" s="724"/>
      <c r="J16" s="724"/>
      <c r="K16" s="724"/>
      <c r="L16" s="727"/>
    </row>
    <row r="17" spans="1:12" ht="20.25" customHeight="1">
      <c r="A17" s="617"/>
      <c r="B17" s="618" t="s">
        <v>1048</v>
      </c>
      <c r="C17" s="617"/>
      <c r="D17" s="617"/>
      <c r="E17" s="617"/>
      <c r="F17" s="617"/>
      <c r="G17" s="617"/>
      <c r="H17" s="617"/>
      <c r="I17" s="617"/>
      <c r="J17" s="617"/>
      <c r="K17" s="619"/>
      <c r="L17" s="619"/>
    </row>
    <row r="18" spans="1:12" s="1454" customFormat="1" ht="20.25" customHeight="1">
      <c r="A18" s="725"/>
      <c r="B18" s="725" t="s">
        <v>1724</v>
      </c>
      <c r="C18" s="725"/>
      <c r="D18" s="725"/>
      <c r="E18" s="725"/>
      <c r="F18" s="725"/>
      <c r="G18" s="725"/>
      <c r="H18" s="725"/>
      <c r="I18" s="725"/>
      <c r="J18" s="725"/>
    </row>
    <row r="19" spans="1:12" ht="20.25" customHeight="1">
      <c r="A19" s="724"/>
      <c r="B19" s="1907" t="s">
        <v>1725</v>
      </c>
      <c r="C19" s="725"/>
      <c r="D19" s="724"/>
      <c r="E19" s="730"/>
      <c r="F19" s="724"/>
      <c r="G19" s="724"/>
      <c r="H19" s="724"/>
      <c r="I19" s="724"/>
      <c r="J19" s="724"/>
    </row>
    <row r="20" spans="1:12" s="1454" customFormat="1" ht="20.25" customHeight="1">
      <c r="A20" s="725"/>
      <c r="B20" s="725" t="s">
        <v>1726</v>
      </c>
      <c r="C20" s="725"/>
      <c r="D20" s="725"/>
      <c r="E20" s="725"/>
      <c r="F20" s="725"/>
      <c r="G20" s="725"/>
      <c r="H20" s="725"/>
      <c r="I20" s="725"/>
      <c r="J20" s="725"/>
    </row>
    <row r="21" spans="1:12" ht="20.25" customHeight="1">
      <c r="A21" s="724"/>
      <c r="B21" s="1907" t="s">
        <v>1727</v>
      </c>
      <c r="C21" s="725"/>
      <c r="D21" s="724"/>
      <c r="E21" s="730"/>
      <c r="F21" s="724"/>
      <c r="G21" s="724"/>
      <c r="H21" s="724"/>
      <c r="I21" s="724"/>
      <c r="J21" s="724"/>
    </row>
    <row r="22" spans="1:12">
      <c r="A22" s="614"/>
      <c r="B22" s="614"/>
      <c r="C22" s="614"/>
      <c r="D22" s="614"/>
      <c r="E22" s="614"/>
      <c r="F22" s="614"/>
      <c r="G22" s="614"/>
      <c r="H22" s="614"/>
      <c r="I22" s="614"/>
      <c r="J22" s="614"/>
      <c r="K22" s="614"/>
    </row>
    <row r="23" spans="1:12">
      <c r="A23" s="614"/>
      <c r="B23" s="614"/>
      <c r="C23" s="614"/>
      <c r="D23" s="614"/>
      <c r="E23" s="614"/>
      <c r="F23" s="614"/>
      <c r="G23" s="614"/>
      <c r="H23" s="614"/>
      <c r="I23" s="614"/>
      <c r="J23" s="614"/>
      <c r="K23" s="614"/>
    </row>
    <row r="24" spans="1:12">
      <c r="A24" s="614"/>
      <c r="B24" s="614"/>
      <c r="C24" s="614"/>
      <c r="D24" s="614"/>
      <c r="E24" s="614"/>
      <c r="F24" s="614"/>
      <c r="G24" s="614"/>
      <c r="H24" s="614"/>
      <c r="I24" s="614"/>
      <c r="J24" s="614"/>
      <c r="K24" s="614"/>
    </row>
  </sheetData>
  <mergeCells count="1">
    <mergeCell ref="F11:G11"/>
  </mergeCells>
  <pageMargins left="0.7" right="0.7" top="0.75" bottom="0.75" header="0.3" footer="0.3"/>
  <pageSetup paperSize="9" orientation="portrait" r:id="rId1"/>
  <customProperties>
    <customPr name="Qube.Worksheet.ID" r:id="rId2"/>
    <customPr name="Qube.Worksheet.Visibility" r:id="rId3"/>
  </customPropertie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F126"/>
  <sheetViews>
    <sheetView showGridLines="0" zoomScaleNormal="100" workbookViewId="0"/>
  </sheetViews>
  <sheetFormatPr defaultColWidth="9" defaultRowHeight="14.25" outlineLevelRow="4" outlineLevelCol="3"/>
  <cols>
    <col min="1" max="1" width="26.75" style="514" customWidth="1"/>
    <col min="2" max="3" width="9" style="514" hidden="1" customWidth="1" outlineLevel="2" collapsed="1"/>
    <col min="4" max="6" width="9" style="514" hidden="1" customWidth="1" outlineLevel="2"/>
    <col min="7" max="7" width="9" style="514" hidden="1" customWidth="1" outlineLevel="1" collapsed="1"/>
    <col min="8" max="12" width="9" style="514" hidden="1" customWidth="1" outlineLevel="1"/>
    <col min="13" max="13" width="9" style="514" hidden="1" customWidth="1" outlineLevel="2"/>
    <col min="14" max="14" width="1.5" style="514" hidden="1" customWidth="1" outlineLevel="1" collapsed="1"/>
    <col min="15" max="15" width="9" style="514" hidden="1" customWidth="1" outlineLevel="2"/>
    <col min="16" max="16" width="9" style="514" hidden="1" customWidth="1" outlineLevel="2" collapsed="1"/>
    <col min="17" max="19" width="9" style="514" hidden="1" customWidth="1" outlineLevel="3"/>
    <col min="20" max="20" width="1.5" style="514" hidden="1" customWidth="1" outlineLevel="1" collapsed="1"/>
    <col min="21" max="28" width="9" style="514" hidden="1" customWidth="1" outlineLevel="1"/>
    <col min="29" max="29" width="1.5" style="514" hidden="1" customWidth="1" outlineLevel="1"/>
    <col min="30" max="30" width="9" style="514" hidden="1" customWidth="1" outlineLevel="1" collapsed="1"/>
    <col min="31" max="37" width="9" style="514" hidden="1" customWidth="1" outlineLevel="1"/>
    <col min="38" max="38" width="0" style="514" hidden="1" customWidth="1" outlineLevel="1" collapsed="1"/>
    <col min="39" max="41" width="0" style="514" hidden="1" customWidth="1" outlineLevel="1"/>
    <col min="42" max="44" width="9" style="514" hidden="1" customWidth="1" outlineLevel="1"/>
    <col min="45" max="45" width="0" style="514" hidden="1" customWidth="1" outlineLevel="1"/>
    <col min="46" max="46" width="9" style="514" collapsed="1"/>
    <col min="47" max="16384" width="9" style="514"/>
  </cols>
  <sheetData>
    <row r="1" spans="1:58" ht="20.25">
      <c r="A1" s="1047" t="s">
        <v>1107</v>
      </c>
      <c r="B1" s="1047"/>
      <c r="C1" s="1047"/>
      <c r="D1" s="1047"/>
      <c r="E1" s="1047"/>
      <c r="F1" s="1047"/>
      <c r="G1" s="1047"/>
      <c r="H1" s="1047"/>
      <c r="I1" s="1047"/>
      <c r="J1" s="1047"/>
      <c r="K1" s="1047"/>
      <c r="L1" s="1047"/>
      <c r="M1" s="1047"/>
      <c r="N1" s="1047"/>
      <c r="O1" s="1047"/>
      <c r="P1" s="1047"/>
      <c r="Q1" s="1047"/>
      <c r="R1" s="1047"/>
      <c r="S1" s="1047"/>
      <c r="T1" s="1047"/>
      <c r="U1" s="1048"/>
      <c r="V1" s="1048"/>
      <c r="W1" s="1048"/>
      <c r="X1" s="1048"/>
      <c r="Y1" s="1048"/>
      <c r="Z1" s="1048"/>
      <c r="AA1" s="1048"/>
      <c r="AB1" s="1048"/>
      <c r="AC1" s="1049"/>
      <c r="AD1" s="1050"/>
      <c r="AE1" s="1050"/>
      <c r="AF1" s="1050"/>
      <c r="AG1" s="1050"/>
      <c r="AH1" s="1050"/>
      <c r="AI1" s="1050"/>
      <c r="AJ1" s="1050"/>
      <c r="AK1" s="1050"/>
      <c r="AL1" s="1050"/>
      <c r="AM1" s="1050"/>
      <c r="AN1" s="1050"/>
      <c r="AO1" s="1050"/>
      <c r="AP1" s="1050"/>
      <c r="AQ1" s="1050"/>
      <c r="AR1" s="1050"/>
      <c r="AS1" s="1050"/>
      <c r="AT1" s="1050"/>
      <c r="AU1" s="1050"/>
      <c r="AV1" s="1050"/>
      <c r="AW1" s="1050"/>
      <c r="AX1" s="1050"/>
      <c r="AY1" s="1050"/>
      <c r="AZ1" s="1050"/>
      <c r="BA1" s="1050"/>
      <c r="BB1" s="1050"/>
      <c r="BC1" s="1050"/>
      <c r="BD1" s="1050"/>
      <c r="BE1" s="1050"/>
    </row>
    <row r="2" spans="1:58" ht="20.25">
      <c r="A2" s="1047" t="s">
        <v>994</v>
      </c>
      <c r="B2" s="1047"/>
      <c r="C2" s="1047"/>
      <c r="D2" s="1047"/>
      <c r="E2" s="1047"/>
      <c r="F2" s="1047"/>
      <c r="G2" s="1047"/>
      <c r="H2" s="1047"/>
      <c r="I2" s="1047"/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51"/>
      <c r="V2" s="1051"/>
      <c r="W2" s="1051"/>
      <c r="X2" s="1051"/>
      <c r="Y2" s="1051"/>
      <c r="Z2" s="1051"/>
      <c r="AA2" s="1051"/>
      <c r="AB2" s="1051"/>
      <c r="AC2" s="1049"/>
      <c r="AD2" s="1052"/>
      <c r="AE2" s="1052"/>
      <c r="AF2" s="1052"/>
      <c r="AG2" s="1052"/>
      <c r="AH2" s="1052"/>
      <c r="AI2" s="1052"/>
      <c r="AJ2" s="1052"/>
      <c r="AK2" s="1052"/>
      <c r="AL2" s="1052"/>
      <c r="AM2" s="1052"/>
      <c r="AN2" s="1052"/>
      <c r="AO2" s="1052"/>
      <c r="AP2" s="1052"/>
      <c r="AQ2" s="1052"/>
      <c r="AR2" s="1052"/>
      <c r="AS2" s="1052"/>
      <c r="AT2" s="1052"/>
      <c r="AU2" s="1052"/>
      <c r="AV2" s="1052"/>
      <c r="AW2" s="1052"/>
      <c r="AX2" s="1052"/>
      <c r="AY2" s="1052"/>
      <c r="AZ2" s="1052"/>
      <c r="BA2" s="1052"/>
      <c r="BB2" s="1052"/>
      <c r="BC2" s="1052"/>
      <c r="BD2" s="1052"/>
      <c r="BE2" s="1052"/>
    </row>
    <row r="3" spans="1:58" ht="25.5">
      <c r="A3" s="1053" t="s">
        <v>995</v>
      </c>
      <c r="B3" s="1054" t="s">
        <v>1025</v>
      </c>
      <c r="C3" s="1054" t="s">
        <v>1050</v>
      </c>
      <c r="D3" s="1054" t="s">
        <v>1058</v>
      </c>
      <c r="E3" s="1054" t="s">
        <v>1075</v>
      </c>
      <c r="F3" s="1054" t="s">
        <v>1242</v>
      </c>
      <c r="G3" s="1054" t="s">
        <v>1352</v>
      </c>
      <c r="H3" s="1054" t="s">
        <v>1353</v>
      </c>
      <c r="I3" s="1054" t="s">
        <v>1744</v>
      </c>
      <c r="J3" s="1054" t="s">
        <v>1072</v>
      </c>
      <c r="K3" s="1054" t="s">
        <v>1354</v>
      </c>
      <c r="L3" s="1054" t="s">
        <v>1642</v>
      </c>
      <c r="M3" s="1054" t="s">
        <v>1643</v>
      </c>
      <c r="N3" s="515"/>
      <c r="O3" s="1055" t="s">
        <v>1681</v>
      </c>
      <c r="P3" s="1055" t="s">
        <v>1705</v>
      </c>
      <c r="Q3" s="1055" t="s">
        <v>1682</v>
      </c>
      <c r="R3" s="1055" t="s">
        <v>1683</v>
      </c>
      <c r="S3" s="1055" t="s">
        <v>1684</v>
      </c>
      <c r="T3" s="516"/>
      <c r="U3" s="1056" t="s">
        <v>1067</v>
      </c>
      <c r="V3" s="1056" t="s">
        <v>1074</v>
      </c>
      <c r="W3" s="1056" t="s">
        <v>1094</v>
      </c>
      <c r="X3" s="1056" t="s">
        <v>1211</v>
      </c>
      <c r="Y3" s="1056" t="s">
        <v>1210</v>
      </c>
      <c r="Z3" s="1056" t="s">
        <v>1239</v>
      </c>
      <c r="AA3" s="1056" t="s">
        <v>1240</v>
      </c>
      <c r="AB3" s="1056" t="s">
        <v>1241</v>
      </c>
      <c r="AC3" s="516"/>
      <c r="AD3" s="1057" t="s">
        <v>1059</v>
      </c>
      <c r="AE3" s="1057" t="s">
        <v>1060</v>
      </c>
      <c r="AF3" s="1057" t="s">
        <v>1068</v>
      </c>
      <c r="AG3" s="1057" t="s">
        <v>1073</v>
      </c>
      <c r="AH3" s="1057" t="s">
        <v>1076</v>
      </c>
      <c r="AI3" s="1057" t="s">
        <v>1093</v>
      </c>
      <c r="AJ3" s="1057" t="s">
        <v>1100</v>
      </c>
      <c r="AK3" s="1057" t="s">
        <v>1231</v>
      </c>
      <c r="AL3" s="1057" t="s">
        <v>1209</v>
      </c>
      <c r="AM3" s="1057" t="s">
        <v>1232</v>
      </c>
      <c r="AN3" s="1057" t="s">
        <v>1229</v>
      </c>
      <c r="AO3" s="1057" t="s">
        <v>1276</v>
      </c>
      <c r="AP3" s="1057" t="s">
        <v>1273</v>
      </c>
      <c r="AQ3" s="1057" t="s">
        <v>1277</v>
      </c>
      <c r="AR3" s="1057" t="s">
        <v>1278</v>
      </c>
      <c r="AS3" s="1057" t="s">
        <v>1279</v>
      </c>
      <c r="AT3" s="1057" t="s">
        <v>1275</v>
      </c>
      <c r="AU3" s="1057" t="s">
        <v>1475</v>
      </c>
      <c r="AV3" s="1057" t="s">
        <v>1549</v>
      </c>
      <c r="AW3" s="1057" t="s">
        <v>1644</v>
      </c>
      <c r="AX3" s="1057" t="s">
        <v>1758</v>
      </c>
      <c r="AY3" s="1057" t="s">
        <v>1645</v>
      </c>
      <c r="AZ3" s="1057" t="s">
        <v>1646</v>
      </c>
      <c r="BA3" s="1057" t="s">
        <v>1647</v>
      </c>
      <c r="BB3" s="1057" t="s">
        <v>1787</v>
      </c>
      <c r="BC3" s="1057" t="s">
        <v>1784</v>
      </c>
      <c r="BD3" s="1057" t="s">
        <v>1785</v>
      </c>
      <c r="BE3" s="1057" t="s">
        <v>1786</v>
      </c>
    </row>
    <row r="4" spans="1:58">
      <c r="A4" s="516" t="s">
        <v>53</v>
      </c>
      <c r="B4" s="515"/>
      <c r="C4" s="515"/>
      <c r="D4" s="515"/>
      <c r="E4" s="515"/>
      <c r="F4" s="515"/>
      <c r="G4" s="515"/>
      <c r="H4" s="515"/>
      <c r="I4" s="515"/>
      <c r="J4" s="515"/>
      <c r="K4" s="515"/>
      <c r="L4" s="515"/>
      <c r="M4" s="515"/>
      <c r="N4" s="515"/>
      <c r="O4" s="517"/>
      <c r="P4" s="517"/>
      <c r="Q4" s="517"/>
      <c r="R4" s="517"/>
      <c r="S4" s="517"/>
      <c r="T4" s="516"/>
      <c r="U4" s="515"/>
      <c r="V4" s="515"/>
      <c r="W4" s="515"/>
      <c r="X4" s="515"/>
      <c r="Y4" s="515"/>
      <c r="Z4" s="515"/>
      <c r="AA4" s="515"/>
      <c r="AB4" s="515"/>
      <c r="AC4" s="516"/>
    </row>
    <row r="5" spans="1:58">
      <c r="A5" s="1784" t="str">
        <f>+Segment!B11</f>
        <v>Energy drinks</v>
      </c>
      <c r="B5" s="531">
        <f>+Segment!F11</f>
        <v>0</v>
      </c>
      <c r="C5" s="531">
        <f>+Segment!G11</f>
        <v>2885.4971</v>
      </c>
      <c r="D5" s="531">
        <f>+Segment!H11</f>
        <v>4003.0305000000003</v>
      </c>
      <c r="E5" s="531">
        <f>+Segment!I11</f>
        <v>4655.1538</v>
      </c>
      <c r="F5" s="531">
        <f>+Segment!J11</f>
        <v>6591.89787918</v>
      </c>
      <c r="G5" s="531">
        <f>+Segment!K11</f>
        <v>8172.3068279999998</v>
      </c>
      <c r="H5" s="531">
        <f>+Segment!L11</f>
        <v>10336.009</v>
      </c>
      <c r="I5" s="531">
        <f>+Segment!M11</f>
        <v>13303.58428814</v>
      </c>
      <c r="J5" s="531">
        <f>+Segment!N11</f>
        <v>15936.363618762907</v>
      </c>
      <c r="K5" s="531">
        <f>+Segment!O11</f>
        <v>18645.5454339526</v>
      </c>
      <c r="L5" s="531">
        <f>+Segment!P11</f>
        <v>21255.921794705966</v>
      </c>
      <c r="M5" s="531" t="e">
        <f>+Segment!#REF!</f>
        <v>#REF!</v>
      </c>
      <c r="N5" s="520"/>
      <c r="O5" s="542">
        <f>(H5/C5)^(1/5)-1</f>
        <v>0.2907033799204064</v>
      </c>
      <c r="P5" s="542" t="e">
        <f>(M5/H5)^(1/5)-1</f>
        <v>#REF!</v>
      </c>
      <c r="Q5" s="542">
        <f>(H5/F5)^(1/2)-1</f>
        <v>0.25219280504653208</v>
      </c>
      <c r="R5" s="542">
        <f>(K5/I5)^(1/2)-1</f>
        <v>0.18386781356703841</v>
      </c>
      <c r="S5" s="542">
        <f>(K5/H5)^(1/3)-1</f>
        <v>0.21732741989023885</v>
      </c>
      <c r="T5" s="522"/>
      <c r="U5" s="800">
        <f>+Segment!V11</f>
        <v>2272.3272999999999</v>
      </c>
      <c r="V5" s="800">
        <f>+Segment!W11</f>
        <v>2382.8265000000001</v>
      </c>
      <c r="W5" s="800">
        <f>+Segment!X11</f>
        <v>3547.2255999999998</v>
      </c>
      <c r="X5" s="800">
        <f>+Segment!Y11</f>
        <v>3044.6722791800003</v>
      </c>
      <c r="Y5" s="800">
        <f>+Segment!Z11</f>
        <v>4118.3335217599997</v>
      </c>
      <c r="Z5" s="800">
        <f>+Segment!AA11</f>
        <v>4053.9733062400001</v>
      </c>
      <c r="AA5" s="800">
        <f>+Segment!AB11</f>
        <v>5134.9885000000004</v>
      </c>
      <c r="AB5" s="800">
        <f>+Segment!AC11</f>
        <v>5201.0204999999996</v>
      </c>
      <c r="AC5" s="523"/>
      <c r="AD5" s="800">
        <f>+Segment!BB11</f>
        <v>0</v>
      </c>
      <c r="AE5" s="800">
        <f>+Segment!BC11</f>
        <v>0</v>
      </c>
      <c r="AF5" s="800">
        <f>+Segment!BD11</f>
        <v>1493.9187999999999</v>
      </c>
      <c r="AG5" s="800">
        <f>+Segment!BE11</f>
        <v>888.9077000000002</v>
      </c>
      <c r="AH5" s="800">
        <f>+Segment!BF11</f>
        <v>1645.0963999999999</v>
      </c>
      <c r="AI5" s="800">
        <f>+Segment!BG11</f>
        <v>1902.1291999999999</v>
      </c>
      <c r="AJ5" s="800">
        <f>+Segment!BH11</f>
        <v>1791.1180000000004</v>
      </c>
      <c r="AK5" s="800">
        <f>+Segment!BI11</f>
        <v>1253.5542791799999</v>
      </c>
      <c r="AL5" s="800">
        <f>+Segment!BJ11</f>
        <v>1906.5174999999999</v>
      </c>
      <c r="AM5" s="800">
        <f>+Segment!BK11</f>
        <v>2211.8160217599998</v>
      </c>
      <c r="AN5" s="800">
        <f>+Segment!BL11</f>
        <v>2273.5560782400007</v>
      </c>
      <c r="AO5" s="800">
        <f>+Segment!BM11</f>
        <v>1780.4172279999993</v>
      </c>
      <c r="AP5" s="800">
        <f>+Segment!BN11</f>
        <v>2383.1745999999998</v>
      </c>
      <c r="AQ5" s="800">
        <f>+Segment!BO11</f>
        <v>2751.8139000000006</v>
      </c>
      <c r="AR5" s="800">
        <f>+Segment!BP11</f>
        <v>2858.9588999999996</v>
      </c>
      <c r="AS5" s="800">
        <f>+Segment!BQ11</f>
        <v>2342.0616</v>
      </c>
      <c r="AT5" s="800">
        <f>+Segment!BR11</f>
        <v>3100.6925999999999</v>
      </c>
      <c r="AU5" s="800">
        <f>+Segment!BS11</f>
        <v>3755.2485999999999</v>
      </c>
      <c r="AV5" s="800">
        <f>+Segment!BT11</f>
        <v>3667.4569999999994</v>
      </c>
      <c r="AW5" s="800">
        <f>+Segment!BU11</f>
        <v>2778.0708881400005</v>
      </c>
      <c r="AX5" s="800">
        <f>+Segment!BV11</f>
        <v>3900.5288999999998</v>
      </c>
      <c r="AY5" s="800">
        <f>+Segment!BW11</f>
        <v>4459.9820958700002</v>
      </c>
      <c r="AZ5" s="800">
        <f>+Segment!BX11</f>
        <v>4202.6446041300005</v>
      </c>
      <c r="BA5" s="800">
        <f>+Segment!BY11</f>
        <v>3373.2080187629072</v>
      </c>
      <c r="BB5" s="800">
        <f>+Segment!BZ11</f>
        <v>4719.6399689999998</v>
      </c>
      <c r="BC5" s="800">
        <f>+Segment!CA11</f>
        <v>5351.9785150440002</v>
      </c>
      <c r="BD5" s="800">
        <f>+Segment!CB11</f>
        <v>5001.1470789147006</v>
      </c>
      <c r="BE5" s="800">
        <f>+Segment!CC11</f>
        <v>3572.7798709938997</v>
      </c>
      <c r="BF5" s="704"/>
    </row>
    <row r="6" spans="1:58">
      <c r="A6" s="1784" t="str">
        <f>+Segment!B12</f>
        <v>Other beverage</v>
      </c>
      <c r="B6" s="531">
        <f>+Segment!F12</f>
        <v>0</v>
      </c>
      <c r="C6" s="531">
        <f>+Segment!G12</f>
        <v>135.6807</v>
      </c>
      <c r="D6" s="531">
        <f>+Segment!H12</f>
        <v>188.77680000000001</v>
      </c>
      <c r="E6" s="531">
        <f>+Segment!I12</f>
        <v>280.5093</v>
      </c>
      <c r="F6" s="531">
        <f>+Segment!J12</f>
        <v>371.94956093000002</v>
      </c>
      <c r="G6" s="531">
        <f>+Segment!K12</f>
        <v>319.02572300000003</v>
      </c>
      <c r="H6" s="531">
        <f>+Segment!L12</f>
        <v>914.47520785999995</v>
      </c>
      <c r="I6" s="531">
        <f>+Segment!M12</f>
        <v>2518.1798534899999</v>
      </c>
      <c r="J6" s="531">
        <f>+Segment!N12</f>
        <v>5031.826983243719</v>
      </c>
      <c r="K6" s="531">
        <f>+Segment!O12</f>
        <v>6725.0367631052313</v>
      </c>
      <c r="L6" s="531">
        <f>+Segment!P12</f>
        <v>8490.3589134203539</v>
      </c>
      <c r="M6" s="531" t="e">
        <f>+Segment!#REF!</f>
        <v>#REF!</v>
      </c>
      <c r="N6" s="520"/>
      <c r="O6" s="542">
        <f>(H6/C6)^(1/5)-1</f>
        <v>0.46463959979307146</v>
      </c>
      <c r="P6" s="542" t="e">
        <f>(M6/H6)^(1/5)-1</f>
        <v>#REF!</v>
      </c>
      <c r="Q6" s="542">
        <f>(H6/F6)^(1/2)-1</f>
        <v>0.56799236180100032</v>
      </c>
      <c r="R6" s="542">
        <f>(K6/I6)^(1/2)-1</f>
        <v>0.63419530656528345</v>
      </c>
      <c r="S6" s="542">
        <f>(K6/H6)^(1/3)-1</f>
        <v>0.94464758656043357</v>
      </c>
      <c r="T6" s="522"/>
      <c r="U6" s="800">
        <f>+Segment!V12</f>
        <v>186.88729999999998</v>
      </c>
      <c r="V6" s="800">
        <f>+Segment!W12</f>
        <v>134.20440000000002</v>
      </c>
      <c r="W6" s="800">
        <f>+Segment!X12</f>
        <v>125.26</v>
      </c>
      <c r="X6" s="800">
        <f>+Segment!Y12</f>
        <v>246.68956093000003</v>
      </c>
      <c r="Y6" s="800">
        <f>+Segment!Z12</f>
        <v>165.92805397000001</v>
      </c>
      <c r="Z6" s="800">
        <f>+Segment!AA12</f>
        <v>153.09766903000002</v>
      </c>
      <c r="AA6" s="800">
        <f>+Segment!AB12</f>
        <v>319.98480000000001</v>
      </c>
      <c r="AB6" s="800">
        <f>+Segment!AC12</f>
        <v>594.49040786</v>
      </c>
      <c r="AC6" s="523"/>
      <c r="AD6" s="800">
        <f>+Segment!BB12</f>
        <v>0</v>
      </c>
      <c r="AE6" s="800">
        <f>+Segment!BC12</f>
        <v>0</v>
      </c>
      <c r="AF6" s="800">
        <f>+Segment!BD12</f>
        <v>73.643599999999992</v>
      </c>
      <c r="AG6" s="800">
        <f>+Segment!BE12</f>
        <v>60.560800000000029</v>
      </c>
      <c r="AH6" s="800">
        <f>+Segment!BF12</f>
        <v>61.590499999999999</v>
      </c>
      <c r="AI6" s="800">
        <f>+Segment!BG12</f>
        <v>63.669500000000006</v>
      </c>
      <c r="AJ6" s="800">
        <f>+Segment!BH12</f>
        <v>85.614999999999995</v>
      </c>
      <c r="AK6" s="800">
        <f>+Segment!BI12</f>
        <v>161.07456093000002</v>
      </c>
      <c r="AL6" s="800">
        <f>+Segment!BJ12</f>
        <v>92.709699999999998</v>
      </c>
      <c r="AM6" s="800">
        <f>+Segment!BK12</f>
        <v>73.21835397000001</v>
      </c>
      <c r="AN6" s="800">
        <f>+Segment!BL12</f>
        <v>75.190346030000001</v>
      </c>
      <c r="AO6" s="800">
        <f>+Segment!BM12</f>
        <v>77.907323000000019</v>
      </c>
      <c r="AP6" s="800">
        <f>+Segment!BN12</f>
        <v>105.57080000000001</v>
      </c>
      <c r="AQ6" s="800">
        <f>+Segment!BO12</f>
        <v>214.41399999999999</v>
      </c>
      <c r="AR6" s="800">
        <f>+Segment!BP12</f>
        <v>319.81109999999995</v>
      </c>
      <c r="AS6" s="800">
        <f>+Segment!BQ12</f>
        <v>274.67930786000005</v>
      </c>
      <c r="AT6" s="800">
        <f>+Segment!BR12</f>
        <v>376.89359999999999</v>
      </c>
      <c r="AU6" s="800">
        <f>+Segment!BS12</f>
        <v>628.80639999999994</v>
      </c>
      <c r="AV6" s="800">
        <f>+Segment!BT12</f>
        <v>1016.293</v>
      </c>
      <c r="AW6" s="800">
        <f>+Segment!BU12</f>
        <v>498.30205348999982</v>
      </c>
      <c r="AX6" s="800">
        <f>+Segment!BV12</f>
        <v>944.63840000000005</v>
      </c>
      <c r="AY6" s="800">
        <f>+Segment!BW12</f>
        <v>1425.4038648699996</v>
      </c>
      <c r="AZ6" s="800">
        <f>+Segment!BX12</f>
        <v>1901.0519351300006</v>
      </c>
      <c r="BA6" s="800">
        <f>+Segment!BY12</f>
        <v>760.73278324371881</v>
      </c>
      <c r="BB6" s="800">
        <f>+Segment!BZ12</f>
        <v>1243.4882276949011</v>
      </c>
      <c r="BC6" s="800">
        <f>+Segment!CA12</f>
        <v>1832.0599926164005</v>
      </c>
      <c r="BD6" s="800">
        <f>+Segment!CB12</f>
        <v>2510.881166472298</v>
      </c>
      <c r="BE6" s="800">
        <f>+Segment!CC12</f>
        <v>1138.6073763216318</v>
      </c>
      <c r="BF6" s="704"/>
    </row>
    <row r="7" spans="1:58">
      <c r="A7" s="1776" t="s">
        <v>1260</v>
      </c>
      <c r="B7" s="800">
        <f>+Segment!F14</f>
        <v>0</v>
      </c>
      <c r="C7" s="800"/>
      <c r="D7" s="800"/>
      <c r="E7" s="800"/>
      <c r="F7" s="800"/>
      <c r="G7" s="800"/>
      <c r="H7" s="800">
        <f>+Segment!L188</f>
        <v>393.04205623208981</v>
      </c>
      <c r="I7" s="800">
        <f>+Segment!M188</f>
        <v>1495.01406929</v>
      </c>
      <c r="J7" s="800">
        <f>+Segment!N188</f>
        <v>3303.9810931308998</v>
      </c>
      <c r="K7" s="800">
        <f>+Segment!O188</f>
        <v>4493.4142866580232</v>
      </c>
      <c r="L7" s="800">
        <f>+Segment!P188</f>
        <v>5684.1690726223997</v>
      </c>
      <c r="M7" s="800" t="e">
        <f>+Segment!#REF!</f>
        <v>#REF!</v>
      </c>
      <c r="N7" s="520"/>
      <c r="O7" s="542"/>
      <c r="P7" s="542"/>
      <c r="Q7" s="542"/>
      <c r="R7" s="542">
        <f>(K7/I7)^(1/2)-1</f>
        <v>0.73366663462154658</v>
      </c>
      <c r="S7" s="542">
        <f>(K7/H7)^(1/3)-1</f>
        <v>1.2527473087902155</v>
      </c>
      <c r="T7" s="522"/>
      <c r="U7" s="800">
        <f>+Segment!V14</f>
        <v>0</v>
      </c>
      <c r="V7" s="800">
        <f>+Segment!W14</f>
        <v>0</v>
      </c>
      <c r="W7" s="800">
        <f>+Segment!X14</f>
        <v>0</v>
      </c>
      <c r="X7" s="800">
        <f>+Segment!Y14</f>
        <v>0</v>
      </c>
      <c r="Y7" s="800">
        <f>+Segment!Z14</f>
        <v>0</v>
      </c>
      <c r="Z7" s="800">
        <f>+Segment!AA14</f>
        <v>0</v>
      </c>
      <c r="AA7" s="800">
        <f>+Segment!AB14</f>
        <v>0</v>
      </c>
      <c r="AB7" s="800">
        <f>+Segment!AC14</f>
        <v>0</v>
      </c>
      <c r="AC7" s="523"/>
      <c r="AD7" s="800">
        <f>+Segment!BB14</f>
        <v>0</v>
      </c>
      <c r="AE7" s="800">
        <f>+Segment!BC14</f>
        <v>0</v>
      </c>
      <c r="AF7" s="800">
        <f>+Segment!BD14</f>
        <v>0</v>
      </c>
      <c r="AG7" s="800">
        <f>+Segment!BE14</f>
        <v>0</v>
      </c>
      <c r="AH7" s="800">
        <f>+Segment!BF14</f>
        <v>0</v>
      </c>
      <c r="AI7" s="800">
        <f>+Segment!BG14</f>
        <v>0</v>
      </c>
      <c r="AJ7" s="800">
        <f>+Segment!BH14</f>
        <v>0</v>
      </c>
      <c r="AK7" s="800">
        <f>+Segment!BI14</f>
        <v>0</v>
      </c>
      <c r="AL7" s="800"/>
      <c r="AM7" s="800"/>
      <c r="AN7" s="800"/>
      <c r="AO7" s="800"/>
      <c r="AP7" s="800"/>
      <c r="AQ7" s="800"/>
      <c r="AR7" s="800"/>
      <c r="AS7" s="800"/>
      <c r="AT7" s="800">
        <f>Segment!BR13</f>
        <v>157.65</v>
      </c>
      <c r="AU7" s="800">
        <f>Segment!BS13</f>
        <v>318.18780000000004</v>
      </c>
      <c r="AV7" s="800">
        <f>Segment!BT13</f>
        <v>736.66669999999999</v>
      </c>
      <c r="AW7" s="800">
        <f>Segment!BU13</f>
        <v>282.50956928999994</v>
      </c>
      <c r="AX7" s="800">
        <f>Segment!BV13</f>
        <v>569.8415</v>
      </c>
      <c r="AY7" s="800">
        <f>Segment!BW13</f>
        <v>922.89694311999983</v>
      </c>
      <c r="AZ7" s="800">
        <f>Segment!BX13</f>
        <v>1354.0318568800003</v>
      </c>
      <c r="BA7" s="800">
        <f>Segment!BY13</f>
        <v>457.21079313089967</v>
      </c>
      <c r="BB7" s="800">
        <f>Segment!BZ13</f>
        <v>769.286025</v>
      </c>
      <c r="BC7" s="800">
        <f>Segment!CA13</f>
        <v>1236.6819037807998</v>
      </c>
      <c r="BD7" s="800">
        <f>Segment!CB13</f>
        <v>1787.3220510816004</v>
      </c>
      <c r="BE7" s="800">
        <f>Segment!CC13</f>
        <v>700.12430679562306</v>
      </c>
    </row>
    <row r="8" spans="1:58">
      <c r="A8" s="1776" t="str">
        <f>+Segment!B16</f>
        <v>Others</v>
      </c>
      <c r="B8" s="800">
        <f>+Segment!F16</f>
        <v>0</v>
      </c>
      <c r="C8" s="800"/>
      <c r="D8" s="800"/>
      <c r="E8" s="800"/>
      <c r="F8" s="800"/>
      <c r="G8" s="800"/>
      <c r="H8" s="800">
        <f>Segment!L190</f>
        <v>521.43315162791009</v>
      </c>
      <c r="I8" s="800">
        <f>I6-I7</f>
        <v>1023.1657842</v>
      </c>
      <c r="J8" s="800">
        <f>J6-J7</f>
        <v>1727.8458901128192</v>
      </c>
      <c r="K8" s="800">
        <f>K6-K7</f>
        <v>2231.6224764472081</v>
      </c>
      <c r="L8" s="800">
        <f>L6-L7</f>
        <v>2806.1898407979543</v>
      </c>
      <c r="M8" s="800" t="e">
        <f>M6-M7</f>
        <v>#REF!</v>
      </c>
      <c r="N8" s="520"/>
      <c r="O8" s="542"/>
      <c r="P8" s="542"/>
      <c r="Q8" s="542"/>
      <c r="R8" s="542">
        <f>(K8/I8)^(1/2)-1</f>
        <v>0.47685330500375622</v>
      </c>
      <c r="S8" s="542">
        <f>(K8/H8)^(1/3)-1</f>
        <v>0.6235812575101205</v>
      </c>
      <c r="T8" s="522"/>
      <c r="U8" s="520">
        <f>+Segment!V16</f>
        <v>10.248172140000001</v>
      </c>
      <c r="V8" s="520">
        <f>+Segment!W16</f>
        <v>12.59122786</v>
      </c>
      <c r="W8" s="520">
        <f>+Segment!X16</f>
        <v>9.7761563800000015</v>
      </c>
      <c r="X8" s="520">
        <f>+Segment!Y16</f>
        <v>4.1988779199999993</v>
      </c>
      <c r="Y8" s="520">
        <f>+Segment!Z16</f>
        <v>7.0124213299999996</v>
      </c>
      <c r="Z8" s="520">
        <f>+Segment!AA16</f>
        <v>7.0447581699993362</v>
      </c>
      <c r="AA8" s="520">
        <f>+Segment!AB16</f>
        <v>5.2116288999988569</v>
      </c>
      <c r="AB8" s="520">
        <f>+Segment!AC16</f>
        <v>7.0982465300015178</v>
      </c>
      <c r="AC8" s="523"/>
      <c r="AD8" s="800">
        <f>+Segment!BB16</f>
        <v>0</v>
      </c>
      <c r="AE8" s="800">
        <f>+Segment!BC16</f>
        <v>0</v>
      </c>
      <c r="AF8" s="800">
        <f>+Segment!BD16</f>
        <v>6.5718274299997574</v>
      </c>
      <c r="AG8" s="800">
        <f>+Segment!BE16</f>
        <v>6.0194004300002426</v>
      </c>
      <c r="AH8" s="800">
        <f>+Segment!BF16</f>
        <v>4.5748271900001996</v>
      </c>
      <c r="AI8" s="800">
        <f>+Segment!BG16</f>
        <v>5.2013271500001892</v>
      </c>
      <c r="AJ8" s="800">
        <f>+Segment!BH16</f>
        <v>1.2177030799991968</v>
      </c>
      <c r="AK8" s="800">
        <f>+Segment!BI16</f>
        <v>2.9811768800001914</v>
      </c>
      <c r="AL8" s="800"/>
      <c r="AM8" s="800"/>
      <c r="AN8" s="800"/>
      <c r="AO8" s="800"/>
      <c r="AP8" s="800"/>
      <c r="AQ8" s="800"/>
      <c r="AR8" s="800"/>
      <c r="AS8" s="800"/>
      <c r="AT8" s="800">
        <f>+Segment!BR15</f>
        <v>217.1284</v>
      </c>
      <c r="AU8" s="800">
        <f>+Segment!BS15</f>
        <v>310.61859999999996</v>
      </c>
      <c r="AV8" s="800">
        <f>+Segment!BT15</f>
        <v>279.62630000000001</v>
      </c>
      <c r="AW8" s="800">
        <f>+Segment!BU15</f>
        <v>215.79248419999999</v>
      </c>
      <c r="AX8" s="800">
        <f>+Segment!BV15</f>
        <v>374.79690000000005</v>
      </c>
      <c r="AY8" s="800">
        <f>+Segment!BW15</f>
        <v>502.50692174999995</v>
      </c>
      <c r="AZ8" s="800">
        <f>+Segment!BX15</f>
        <v>547.0200782500001</v>
      </c>
      <c r="BA8" s="800">
        <f>+Segment!BY15</f>
        <v>303.52199011281914</v>
      </c>
      <c r="BB8" s="800">
        <f>+Segment!BZ15</f>
        <v>474.20220269490108</v>
      </c>
      <c r="BC8" s="800">
        <f>+Segment!CA15</f>
        <v>595.37808883560069</v>
      </c>
      <c r="BD8" s="800">
        <f>+Segment!CB15</f>
        <v>723.55911539069757</v>
      </c>
      <c r="BE8" s="800">
        <f>+Segment!CC15</f>
        <v>438.48306952600876</v>
      </c>
    </row>
    <row r="9" spans="1:58">
      <c r="A9" s="570" t="s">
        <v>827</v>
      </c>
      <c r="B9" s="857">
        <f>+Segment!F9</f>
        <v>2843.8076000000001</v>
      </c>
      <c r="C9" s="857">
        <f>+Segment!G9</f>
        <v>3037.53599962</v>
      </c>
      <c r="D9" s="857">
        <f>+Segment!H9</f>
        <v>4208.7284792700002</v>
      </c>
      <c r="E9" s="857">
        <f>+Segment!I9</f>
        <v>4958.50261873</v>
      </c>
      <c r="F9" s="857">
        <f>+Segment!J9</f>
        <v>6977.8224744099998</v>
      </c>
      <c r="G9" s="857">
        <f>+Segment!K9</f>
        <v>8505.3897304999991</v>
      </c>
      <c r="H9" s="857">
        <f>+Segment!L9</f>
        <v>11262.79408329</v>
      </c>
      <c r="I9" s="857">
        <f>+Segment!M9</f>
        <v>15838.851828270001</v>
      </c>
      <c r="J9" s="857">
        <f>+Segment!N9</f>
        <v>20991.91050367153</v>
      </c>
      <c r="K9" s="857">
        <f>+Segment!O9</f>
        <v>25403.508464190782</v>
      </c>
      <c r="L9" s="857">
        <f>+Segment!P9</f>
        <v>29791.986591844819</v>
      </c>
      <c r="M9" s="857" t="e">
        <f>+Segment!#REF!</f>
        <v>#REF!</v>
      </c>
      <c r="N9" s="528"/>
      <c r="O9" s="859">
        <f>(H9/C9)^(1/5)-1</f>
        <v>0.29964560374596716</v>
      </c>
      <c r="P9" s="859" t="e">
        <f>(M9/H9)^(1/5)-1</f>
        <v>#REF!</v>
      </c>
      <c r="Q9" s="859">
        <f>(H9/F9)^(1/2)-1</f>
        <v>0.2704661956689498</v>
      </c>
      <c r="R9" s="858">
        <f>(K9/I9)^(1/2)-1</f>
        <v>0.26644111792594827</v>
      </c>
      <c r="S9" s="858">
        <f>(K9/H9)^(1/3)-1</f>
        <v>0.31144229426638548</v>
      </c>
      <c r="T9" s="516"/>
      <c r="U9" s="857">
        <f>+Segment!V9</f>
        <v>2469.4627</v>
      </c>
      <c r="V9" s="857">
        <f>+Segment!W9</f>
        <v>2489.03991873</v>
      </c>
      <c r="W9" s="857">
        <f>+Segment!X9</f>
        <v>3682.2617543400002</v>
      </c>
      <c r="X9" s="857">
        <f>+Segment!Y9</f>
        <v>3295.5607200699997</v>
      </c>
      <c r="Y9" s="857">
        <f>+Segment!Z9</f>
        <v>4291.2739970599996</v>
      </c>
      <c r="Z9" s="857">
        <f>+Segment!AA9</f>
        <v>4214.1157334399995</v>
      </c>
      <c r="AA9" s="857">
        <f>+Segment!AB9</f>
        <v>5460.1849288999992</v>
      </c>
      <c r="AB9" s="857">
        <f>+Segment!AC9</f>
        <v>5802.6091543900011</v>
      </c>
      <c r="AC9" s="516"/>
      <c r="AD9" s="857">
        <f>+Segment!BB9</f>
        <v>933.21618977999992</v>
      </c>
      <c r="AE9" s="857">
        <f>+Segment!BC9</f>
        <v>1536.2465102200001</v>
      </c>
      <c r="AF9" s="857">
        <f>+Segment!BD9</f>
        <v>1574.13422743</v>
      </c>
      <c r="AG9" s="857">
        <f>+Segment!BE9</f>
        <v>914.90569129999994</v>
      </c>
      <c r="AH9" s="857">
        <f>+Segment!BF9</f>
        <v>1711.2617271900001</v>
      </c>
      <c r="AI9" s="857">
        <f>+Segment!BG9</f>
        <v>1971.0000271500001</v>
      </c>
      <c r="AJ9" s="857">
        <f>+Segment!BH9</f>
        <v>1877.9507030799996</v>
      </c>
      <c r="AK9" s="857">
        <f>+Segment!BI9</f>
        <v>1417.6100169900001</v>
      </c>
      <c r="AL9" s="857">
        <f>+Segment!BJ9</f>
        <v>2006.5428683299999</v>
      </c>
      <c r="AM9" s="857">
        <f>+Segment!BK9</f>
        <v>2284.7311287299999</v>
      </c>
      <c r="AN9" s="857">
        <f>+Segment!BL9</f>
        <v>2353.0738183200001</v>
      </c>
      <c r="AO9" s="857">
        <f>+Segment!BM9</f>
        <v>1861.0419151199994</v>
      </c>
      <c r="AP9" s="857">
        <f>+Segment!BN9</f>
        <v>2490.8660470100003</v>
      </c>
      <c r="AQ9" s="857">
        <f>+Segment!BO9</f>
        <v>2969.3188818899989</v>
      </c>
      <c r="AR9" s="857">
        <f>+Segment!BP9</f>
        <v>3180.7274410200016</v>
      </c>
      <c r="AS9" s="857">
        <f>+Segment!BQ9</f>
        <v>2621.8817133699995</v>
      </c>
      <c r="AT9" s="857">
        <f>+Segment!BR9</f>
        <v>3482.1677627899999</v>
      </c>
      <c r="AU9" s="857">
        <f>+Segment!BS9</f>
        <v>4391.1200893100004</v>
      </c>
      <c r="AV9" s="857">
        <f>+Segment!BT9</f>
        <v>4684.9936501600005</v>
      </c>
      <c r="AW9" s="857">
        <f>+Segment!BU9</f>
        <v>3280.5703260099999</v>
      </c>
      <c r="AX9" s="857">
        <f>+Segment!BV9</f>
        <v>4848.0717046300006</v>
      </c>
      <c r="AY9" s="857">
        <f>+Segment!BW9</f>
        <v>5888.5561538200009</v>
      </c>
      <c r="AZ9" s="857">
        <f>+Segment!BX9</f>
        <v>6107.3400368999992</v>
      </c>
      <c r="BA9" s="857">
        <f>+Segment!BY9</f>
        <v>4147.9426083215294</v>
      </c>
      <c r="BB9" s="857">
        <f>+Segment!BZ9</f>
        <v>5963.1281966949009</v>
      </c>
      <c r="BC9" s="857">
        <f>+Segment!CA9</f>
        <v>7184.0385076604007</v>
      </c>
      <c r="BD9" s="857">
        <f>+Segment!CB9</f>
        <v>7512.0282453869986</v>
      </c>
      <c r="BE9" s="857">
        <f>+Segment!CC9</f>
        <v>4744.3135144484804</v>
      </c>
      <c r="BF9" s="704"/>
    </row>
    <row r="10" spans="1:58" hidden="1" outlineLevel="2">
      <c r="A10" s="523"/>
      <c r="B10" s="800"/>
      <c r="C10" s="800"/>
      <c r="D10" s="800"/>
      <c r="E10" s="800"/>
      <c r="F10" s="800"/>
      <c r="G10" s="800"/>
      <c r="H10" s="800"/>
      <c r="I10" s="800"/>
      <c r="J10" s="800"/>
      <c r="K10" s="800"/>
      <c r="L10" s="800"/>
      <c r="M10" s="800"/>
      <c r="N10" s="520"/>
      <c r="O10" s="542"/>
      <c r="P10" s="542"/>
      <c r="Q10" s="542"/>
      <c r="R10" s="542"/>
      <c r="S10" s="542"/>
      <c r="T10" s="523"/>
      <c r="U10" s="800"/>
      <c r="V10" s="800"/>
      <c r="W10" s="800"/>
      <c r="X10" s="800"/>
      <c r="Y10" s="800"/>
      <c r="Z10" s="800"/>
      <c r="AA10" s="800"/>
      <c r="AB10" s="800"/>
      <c r="AC10" s="523"/>
    </row>
    <row r="11" spans="1:58" hidden="1" outlineLevel="2">
      <c r="A11" s="516" t="s">
        <v>996</v>
      </c>
      <c r="B11" s="531"/>
      <c r="C11" s="531"/>
      <c r="D11" s="531"/>
      <c r="E11" s="531"/>
      <c r="F11" s="531"/>
      <c r="G11" s="531"/>
      <c r="H11" s="531"/>
      <c r="I11" s="531"/>
      <c r="J11" s="531"/>
      <c r="K11" s="531"/>
      <c r="L11" s="531"/>
      <c r="M11" s="531"/>
      <c r="N11" s="528"/>
      <c r="O11" s="548"/>
      <c r="P11" s="548"/>
      <c r="Q11" s="548"/>
      <c r="R11" s="548"/>
      <c r="S11" s="548"/>
      <c r="T11" s="516"/>
      <c r="U11" s="531"/>
      <c r="V11" s="531"/>
      <c r="W11" s="531"/>
      <c r="X11" s="531"/>
      <c r="Y11" s="531"/>
      <c r="Z11" s="531"/>
      <c r="AA11" s="531"/>
      <c r="AB11" s="531"/>
      <c r="AC11" s="516"/>
      <c r="BA11" s="514">
        <f>SUM(AZ9:BA9)/SUM(AV9:AW9)-1</f>
        <v>0.2874521723636283</v>
      </c>
    </row>
    <row r="12" spans="1:58" hidden="1" outlineLevel="2">
      <c r="A12" s="550" t="str">
        <f>+A5</f>
        <v>Energy drinks</v>
      </c>
      <c r="B12" s="800">
        <f>+Segment!F30</f>
        <v>0</v>
      </c>
      <c r="C12" s="800">
        <f>+Segment!G30</f>
        <v>1387.4148</v>
      </c>
      <c r="D12" s="800">
        <f>+Segment!H30</f>
        <v>1961.9362000000006</v>
      </c>
      <c r="E12" s="800">
        <f>+Segment!I30</f>
        <v>2265.5033999999996</v>
      </c>
      <c r="F12" s="800">
        <f>+Segment!J30</f>
        <v>3038.1215259000001</v>
      </c>
      <c r="G12" s="800">
        <f>+Segment!K30</f>
        <v>3535.6389441199999</v>
      </c>
      <c r="H12" s="800">
        <f>+Segment!L30</f>
        <v>4684.7677205190002</v>
      </c>
      <c r="I12" s="800">
        <f>+Segment!M30</f>
        <v>6413.264823202001</v>
      </c>
      <c r="J12" s="800">
        <f>+Segment!N30</f>
        <v>8106.0179576445962</v>
      </c>
      <c r="K12" s="800">
        <f>+Segment!O30</f>
        <v>9713.0786210318893</v>
      </c>
      <c r="L12" s="800">
        <f>+Segment!P30</f>
        <v>11072.909627976354</v>
      </c>
      <c r="M12" s="800" t="e">
        <f>+Segment!#REF!</f>
        <v>#REF!</v>
      </c>
      <c r="N12" s="520"/>
      <c r="O12" s="542">
        <f>(H12/C12)^(1/5)-1</f>
        <v>0.27554665423424796</v>
      </c>
      <c r="P12" s="542" t="e">
        <f>(M12/H12)^(1/5)-1</f>
        <v>#REF!</v>
      </c>
      <c r="Q12" s="542">
        <f>(H12/F12)^(1/2)-1</f>
        <v>0.24177084899408419</v>
      </c>
      <c r="R12" s="542">
        <f>(K12/I12)^(1/2)-1</f>
        <v>0.23066221092041328</v>
      </c>
      <c r="S12" s="542">
        <f>(K12/H12)^(1/3)-1</f>
        <v>0.27513533479213925</v>
      </c>
      <c r="T12" s="522"/>
      <c r="U12" s="800"/>
      <c r="V12" s="800"/>
      <c r="W12" s="800"/>
      <c r="X12" s="800"/>
      <c r="Y12" s="800"/>
      <c r="Z12" s="800"/>
      <c r="AA12" s="800"/>
      <c r="AB12" s="800"/>
      <c r="AC12" s="523"/>
    </row>
    <row r="13" spans="1:58" hidden="1" outlineLevel="2">
      <c r="A13" s="550" t="str">
        <f>+A6</f>
        <v>Other beverage</v>
      </c>
      <c r="B13" s="800">
        <f>+Segment!F31</f>
        <v>0</v>
      </c>
      <c r="C13" s="800">
        <f>+Segment!G31</f>
        <v>-3.4809999999999945</v>
      </c>
      <c r="D13" s="800">
        <f>+Segment!H31</f>
        <v>-8.9699999999999989</v>
      </c>
      <c r="E13" s="800">
        <f>+Segment!I31</f>
        <v>22.271000000000015</v>
      </c>
      <c r="F13" s="800">
        <f>+Segment!J31</f>
        <v>48.353631930000006</v>
      </c>
      <c r="G13" s="800">
        <f>+Segment!K31</f>
        <v>54.449432000000002</v>
      </c>
      <c r="H13" s="800">
        <f>+Segment!L31</f>
        <v>157.75568985999996</v>
      </c>
      <c r="I13" s="800">
        <f>+Segment!M31</f>
        <v>672.0646217699998</v>
      </c>
      <c r="J13" s="800">
        <f>+Segment!N31</f>
        <v>1304.8895534473822</v>
      </c>
      <c r="K13" s="800">
        <f>+Segment!O31</f>
        <v>1920.082681740304</v>
      </c>
      <c r="L13" s="800">
        <f>+Segment!P31</f>
        <v>2664.3520897653798</v>
      </c>
      <c r="M13" s="800" t="e">
        <f>+Segment!#REF!</f>
        <v>#REF!</v>
      </c>
      <c r="N13" s="520"/>
      <c r="O13" s="542">
        <f>(H13/C13)^(1/5)-1</f>
        <v>-3.1441551217567008</v>
      </c>
      <c r="P13" s="542" t="e">
        <f>(M13/H13)^(1/5)-1</f>
        <v>#REF!</v>
      </c>
      <c r="Q13" s="542">
        <f>(H13/F13)^(1/2)-1</f>
        <v>0.80625044009457625</v>
      </c>
      <c r="R13" s="542">
        <f>(K13/I13)^(1/2)-1</f>
        <v>0.69026363553480841</v>
      </c>
      <c r="S13" s="542">
        <f>(K13/H13)^(1/3)-1</f>
        <v>1.3002672671567828</v>
      </c>
      <c r="T13" s="522"/>
      <c r="U13" s="800"/>
      <c r="V13" s="800"/>
      <c r="W13" s="800"/>
      <c r="X13" s="800"/>
      <c r="Y13" s="800"/>
      <c r="Z13" s="800"/>
      <c r="AA13" s="800"/>
      <c r="AB13" s="800"/>
      <c r="AC13" s="523"/>
    </row>
    <row r="14" spans="1:58" hidden="1" outlineLevel="2">
      <c r="A14" s="1776" t="s">
        <v>1260</v>
      </c>
      <c r="B14" s="800"/>
      <c r="C14" s="800"/>
      <c r="D14" s="800"/>
      <c r="E14" s="800"/>
      <c r="F14" s="800"/>
      <c r="G14" s="800"/>
      <c r="H14" s="800">
        <f>Segment!L232</f>
        <v>104.03546889780296</v>
      </c>
      <c r="I14" s="800">
        <f>Segment!M232</f>
        <v>444.24391905999983</v>
      </c>
      <c r="J14" s="800">
        <f>Segment!N232</f>
        <v>1063.8819119881498</v>
      </c>
      <c r="K14" s="800">
        <f>Segment!O232</f>
        <v>1545.7345146103601</v>
      </c>
      <c r="L14" s="800">
        <f>Segment!P232</f>
        <v>2069.0375424345539</v>
      </c>
      <c r="M14" s="800" t="e">
        <f>Segment!#REF!</f>
        <v>#REF!</v>
      </c>
      <c r="N14" s="520"/>
      <c r="O14" s="542"/>
      <c r="P14" s="542"/>
      <c r="Q14" s="542"/>
      <c r="R14" s="542"/>
      <c r="S14" s="542"/>
      <c r="T14" s="522"/>
      <c r="U14" s="800"/>
      <c r="V14" s="800"/>
      <c r="W14" s="800"/>
      <c r="X14" s="800"/>
      <c r="Y14" s="800"/>
      <c r="Z14" s="800"/>
      <c r="AA14" s="800"/>
      <c r="AB14" s="800"/>
      <c r="AC14" s="523"/>
    </row>
    <row r="15" spans="1:58" hidden="1" outlineLevel="4">
      <c r="A15" s="1776" t="str">
        <f>+A7</f>
        <v>Bushuila</v>
      </c>
      <c r="B15" s="800">
        <f>+Segment!F32</f>
        <v>0</v>
      </c>
      <c r="C15" s="800">
        <f>+Segment!G32</f>
        <v>-0.96629999999999683</v>
      </c>
      <c r="D15" s="800">
        <f>+Segment!H32</f>
        <v>2.9420999999999964</v>
      </c>
      <c r="E15" s="800">
        <f>+Segment!I32</f>
        <v>6.5172000000000025</v>
      </c>
      <c r="F15" s="800">
        <f>+Segment!J32</f>
        <v>0</v>
      </c>
      <c r="G15" s="800">
        <f>+Segment!K32</f>
        <v>0</v>
      </c>
      <c r="H15" s="800">
        <f>+Segment!L32</f>
        <v>0</v>
      </c>
      <c r="I15" s="800">
        <f>+Segment!M32</f>
        <v>0</v>
      </c>
      <c r="J15" s="800">
        <f>+Segment!N32</f>
        <v>0</v>
      </c>
      <c r="K15" s="800">
        <f>+Segment!O32</f>
        <v>0</v>
      </c>
      <c r="L15" s="800">
        <f>+Segment!P32</f>
        <v>0</v>
      </c>
      <c r="M15" s="800" t="e">
        <f>+Segment!#REF!</f>
        <v>#REF!</v>
      </c>
      <c r="N15" s="520"/>
      <c r="O15" s="542"/>
      <c r="P15" s="542"/>
      <c r="Q15" s="542"/>
      <c r="R15" s="542"/>
      <c r="S15" s="542" t="s">
        <v>1351</v>
      </c>
      <c r="T15" s="522"/>
      <c r="U15" s="800"/>
      <c r="V15" s="800"/>
      <c r="W15" s="800"/>
      <c r="X15" s="800"/>
      <c r="Y15" s="800"/>
      <c r="Z15" s="800"/>
      <c r="AA15" s="800"/>
      <c r="AB15" s="800"/>
      <c r="AC15" s="523"/>
    </row>
    <row r="16" spans="1:58" hidden="1" outlineLevel="4">
      <c r="A16" s="1776" t="s">
        <v>207</v>
      </c>
      <c r="B16" s="800"/>
      <c r="C16" s="800"/>
      <c r="D16" s="800"/>
      <c r="E16" s="800"/>
      <c r="F16" s="800"/>
      <c r="G16" s="800"/>
      <c r="H16" s="800">
        <f>Segment!L235</f>
        <v>63.04742084005926</v>
      </c>
      <c r="I16" s="800">
        <f>Segment!M235</f>
        <v>227.82070270999998</v>
      </c>
      <c r="J16" s="800">
        <f>Segment!N235</f>
        <v>241.00764145923245</v>
      </c>
      <c r="K16" s="800">
        <f>Segment!O235</f>
        <v>374.34816712994393</v>
      </c>
      <c r="L16" s="800">
        <f>Segment!P235</f>
        <v>595.31454733082592</v>
      </c>
      <c r="M16" s="800" t="e">
        <f>Segment!#REF!</f>
        <v>#REF!</v>
      </c>
      <c r="N16" s="520"/>
      <c r="O16" s="542"/>
      <c r="P16" s="542"/>
      <c r="Q16" s="542"/>
      <c r="R16" s="542"/>
      <c r="S16" s="542"/>
      <c r="T16" s="522"/>
      <c r="U16" s="800"/>
      <c r="V16" s="800"/>
      <c r="W16" s="800"/>
      <c r="X16" s="800"/>
      <c r="Y16" s="800"/>
      <c r="Z16" s="800"/>
      <c r="AA16" s="800"/>
      <c r="AB16" s="800"/>
      <c r="AC16" s="523"/>
    </row>
    <row r="17" spans="1:57" hidden="1" outlineLevel="4">
      <c r="A17" s="522" t="s">
        <v>207</v>
      </c>
      <c r="B17" s="800">
        <f>+Segment!F33</f>
        <v>0</v>
      </c>
      <c r="C17" s="800">
        <f>+Segment!G33</f>
        <v>12.360142690000306</v>
      </c>
      <c r="D17" s="800">
        <f>+Segment!H33</f>
        <v>14.04294044999958</v>
      </c>
      <c r="E17" s="800">
        <f>+Segment!I33</f>
        <v>22.88059401000071</v>
      </c>
      <c r="F17" s="800">
        <f>+Segment!J33</f>
        <v>9.7825240099999995</v>
      </c>
      <c r="G17" s="800">
        <f>+Segment!K33</f>
        <v>9.840025649999534</v>
      </c>
      <c r="H17" s="800">
        <f>+Segment!L33</f>
        <v>8.6169128010002609</v>
      </c>
      <c r="I17" s="800">
        <f>+Segment!M33</f>
        <v>11.961380648000249</v>
      </c>
      <c r="J17" s="800">
        <f>+Segment!N33</f>
        <v>16.603931165433931</v>
      </c>
      <c r="K17" s="800">
        <f>+Segment!O33</f>
        <v>23.048386993064991</v>
      </c>
      <c r="L17" s="800">
        <f>+Segment!P33</f>
        <v>31.994118602948578</v>
      </c>
      <c r="M17" s="800" t="e">
        <f>+Segment!#REF!</f>
        <v>#REF!</v>
      </c>
      <c r="N17" s="520"/>
      <c r="O17" s="542"/>
      <c r="P17" s="542"/>
      <c r="Q17" s="542"/>
      <c r="R17" s="542"/>
      <c r="S17" s="542">
        <f>(K17/H17)^(1/3)-1</f>
        <v>0.38812831512136881</v>
      </c>
      <c r="T17" s="522"/>
      <c r="U17" s="520"/>
      <c r="V17" s="520"/>
      <c r="W17" s="520"/>
      <c r="X17" s="520"/>
      <c r="Y17" s="520"/>
      <c r="Z17" s="520"/>
      <c r="AA17" s="520"/>
      <c r="AB17" s="520"/>
      <c r="AC17" s="523"/>
    </row>
    <row r="18" spans="1:57" hidden="1" outlineLevel="2">
      <c r="A18" s="570" t="s">
        <v>827</v>
      </c>
      <c r="B18" s="571">
        <f>+Segment!F29</f>
        <v>1362.8128000000002</v>
      </c>
      <c r="C18" s="571">
        <f>+Segment!G29</f>
        <v>1396.2939423100001</v>
      </c>
      <c r="D18" s="571">
        <f>+Segment!H29</f>
        <v>1967.0092197200001</v>
      </c>
      <c r="E18" s="571">
        <f>+Segment!I29</f>
        <v>2310.6551127400003</v>
      </c>
      <c r="F18" s="571">
        <f>+Segment!J29</f>
        <v>3096.2576818399998</v>
      </c>
      <c r="G18" s="571">
        <f>+Segment!K29</f>
        <v>3599.9284017699993</v>
      </c>
      <c r="H18" s="571">
        <f>+Segment!L29</f>
        <v>4851.1403231800005</v>
      </c>
      <c r="I18" s="571">
        <f>+Segment!M29</f>
        <v>7097.2908256200008</v>
      </c>
      <c r="J18" s="571">
        <f>+Segment!N29</f>
        <v>9427.5114422574115</v>
      </c>
      <c r="K18" s="571">
        <f>+Segment!O29</f>
        <v>11656.209689765257</v>
      </c>
      <c r="L18" s="571">
        <f>+Segment!P29</f>
        <v>13769.255836344684</v>
      </c>
      <c r="M18" s="571" t="e">
        <f>+Segment!#REF!</f>
        <v>#REF!</v>
      </c>
      <c r="N18" s="528"/>
      <c r="O18" s="859">
        <f>(H18/C18)^(1/5)-1</f>
        <v>0.28284266888024323</v>
      </c>
      <c r="P18" s="859" t="e">
        <f>(M18/H18)^(1/5)-1</f>
        <v>#REF!</v>
      </c>
      <c r="Q18" s="859">
        <f>(H18/F18)^(1/2)-1</f>
        <v>0.25170898596072067</v>
      </c>
      <c r="R18" s="859">
        <f>(K18/I18)^(1/2)-1</f>
        <v>0.28154061622932414</v>
      </c>
      <c r="S18" s="859">
        <f>(K18/H18)^(1/3)-1</f>
        <v>0.3393821439575182</v>
      </c>
      <c r="T18" s="516"/>
      <c r="U18" s="527"/>
      <c r="V18" s="527"/>
      <c r="W18" s="527"/>
      <c r="X18" s="527"/>
      <c r="Y18" s="527"/>
      <c r="Z18" s="527"/>
      <c r="AA18" s="527"/>
      <c r="AB18" s="527"/>
      <c r="AC18" s="516"/>
    </row>
    <row r="19" spans="1:57" hidden="1" outlineLevel="1">
      <c r="A19" s="523"/>
      <c r="B19" s="527"/>
      <c r="C19" s="527"/>
      <c r="D19" s="527"/>
      <c r="E19" s="527"/>
      <c r="F19" s="527"/>
      <c r="G19" s="527"/>
      <c r="H19" s="527"/>
      <c r="I19" s="527"/>
      <c r="J19" s="527"/>
      <c r="K19" s="527"/>
      <c r="L19" s="527"/>
      <c r="M19" s="527"/>
      <c r="N19" s="527"/>
      <c r="O19" s="529"/>
      <c r="P19" s="529"/>
      <c r="Q19" s="529"/>
      <c r="R19" s="529"/>
      <c r="S19" s="529"/>
      <c r="T19" s="516"/>
      <c r="U19" s="527"/>
      <c r="V19" s="527"/>
      <c r="W19" s="527"/>
      <c r="X19" s="527"/>
      <c r="Y19" s="527"/>
      <c r="Z19" s="527"/>
      <c r="AA19" s="527"/>
      <c r="AB19" s="527"/>
      <c r="AC19" s="516"/>
    </row>
    <row r="20" spans="1:57" hidden="1" outlineLevel="1">
      <c r="A20" s="516" t="s">
        <v>997</v>
      </c>
      <c r="B20" s="531">
        <f t="shared" ref="B20:H20" si="0">B70</f>
        <v>380.82960000000003</v>
      </c>
      <c r="C20" s="531">
        <f t="shared" si="0"/>
        <v>243.64618644000006</v>
      </c>
      <c r="D20" s="531">
        <f t="shared" si="0"/>
        <v>709.85219645000006</v>
      </c>
      <c r="E20" s="531">
        <f t="shared" si="0"/>
        <v>1000.5112679400004</v>
      </c>
      <c r="F20" s="531">
        <f t="shared" si="0"/>
        <v>1356.6212465699998</v>
      </c>
      <c r="G20" s="531">
        <f t="shared" si="0"/>
        <v>1758.7333427599995</v>
      </c>
      <c r="H20" s="531">
        <f t="shared" si="0"/>
        <v>2351.4729968900006</v>
      </c>
      <c r="I20" s="531">
        <f>I70</f>
        <v>3768.0932155500013</v>
      </c>
      <c r="J20" s="531">
        <f>J70</f>
        <v>5235.5979425369569</v>
      </c>
      <c r="K20" s="531">
        <f>K70</f>
        <v>6717.9746149002203</v>
      </c>
      <c r="L20" s="531">
        <f>L70</f>
        <v>8085.1875195405109</v>
      </c>
      <c r="M20" s="531" t="e">
        <f>M70</f>
        <v>#REF!</v>
      </c>
      <c r="N20" s="528"/>
      <c r="O20" s="548">
        <f>(H20/C20)^(1/5)-1</f>
        <v>0.57367873236531652</v>
      </c>
      <c r="P20" s="548" t="e">
        <f>(M20/H20)^(1/5)-1</f>
        <v>#REF!</v>
      </c>
      <c r="Q20" s="548">
        <f>(H20/F20)^(1/2)-1</f>
        <v>0.31656010488541853</v>
      </c>
      <c r="R20" s="548">
        <f>(K20/I20)^(1/2)-1</f>
        <v>0.3352370060084624</v>
      </c>
      <c r="S20" s="548">
        <f>(K20/H20)^(1/3)-1</f>
        <v>0.41894682586251908</v>
      </c>
      <c r="T20" s="516"/>
      <c r="U20" s="531"/>
      <c r="V20" s="531"/>
      <c r="W20" s="531"/>
      <c r="X20" s="531"/>
      <c r="Y20" s="531"/>
      <c r="Z20" s="531"/>
      <c r="AA20" s="531"/>
      <c r="AB20" s="531"/>
      <c r="AC20" s="516"/>
    </row>
    <row r="21" spans="1:57" hidden="1" outlineLevel="1">
      <c r="A21" s="516"/>
      <c r="B21" s="515"/>
      <c r="C21" s="515"/>
      <c r="D21" s="515"/>
      <c r="E21" s="515"/>
      <c r="F21" s="515"/>
      <c r="G21" s="515"/>
      <c r="H21" s="515"/>
      <c r="I21" s="515"/>
      <c r="J21" s="515"/>
      <c r="K21" s="515"/>
      <c r="L21" s="515"/>
      <c r="M21" s="515"/>
      <c r="N21" s="515"/>
      <c r="O21" s="517"/>
      <c r="P21" s="517"/>
      <c r="Q21" s="517"/>
      <c r="R21" s="517"/>
      <c r="S21" s="517"/>
      <c r="T21" s="516"/>
      <c r="U21" s="533"/>
      <c r="V21" s="533"/>
      <c r="W21" s="533"/>
      <c r="X21" s="533"/>
      <c r="Y21" s="533"/>
      <c r="Z21" s="533"/>
      <c r="AA21" s="533"/>
      <c r="AB21" s="533"/>
      <c r="AC21" s="516"/>
    </row>
    <row r="22" spans="1:57" hidden="1" outlineLevel="1" collapsed="1">
      <c r="A22" s="1074" t="s">
        <v>998</v>
      </c>
      <c r="B22" s="1075"/>
      <c r="C22" s="1075"/>
      <c r="D22" s="1075"/>
      <c r="E22" s="1075"/>
      <c r="F22" s="1075"/>
      <c r="G22" s="1075"/>
      <c r="H22" s="1075"/>
      <c r="I22" s="1075"/>
      <c r="J22" s="1075"/>
      <c r="K22" s="1075"/>
      <c r="L22" s="1075"/>
      <c r="M22" s="1075"/>
      <c r="N22" s="515"/>
      <c r="O22" s="542"/>
      <c r="P22" s="542"/>
      <c r="Q22" s="542"/>
      <c r="R22" s="542"/>
      <c r="S22" s="542"/>
      <c r="T22" s="516"/>
      <c r="U22" s="1076"/>
      <c r="V22" s="1076"/>
      <c r="W22" s="1076"/>
      <c r="X22" s="1076"/>
      <c r="Y22" s="1076"/>
      <c r="Z22" s="1076"/>
      <c r="AA22" s="1076"/>
      <c r="AB22" s="1076"/>
      <c r="AC22" s="516"/>
      <c r="AD22" s="1077"/>
      <c r="AE22" s="1077"/>
      <c r="AF22" s="1077"/>
      <c r="AG22" s="1077"/>
      <c r="AH22" s="1077"/>
      <c r="AI22" s="1077"/>
      <c r="AJ22" s="1077"/>
      <c r="AK22" s="1077"/>
      <c r="AL22" s="1077"/>
      <c r="AM22" s="1077"/>
      <c r="AN22" s="1077"/>
      <c r="AO22" s="1077"/>
      <c r="AP22" s="1077"/>
      <c r="AQ22" s="1077"/>
      <c r="AR22" s="1077"/>
      <c r="AS22" s="1077"/>
      <c r="AT22" s="1077"/>
      <c r="AU22" s="1077"/>
      <c r="AV22" s="1077"/>
      <c r="AW22" s="1077"/>
      <c r="AX22" s="1077"/>
      <c r="AY22" s="1077"/>
      <c r="AZ22" s="1077"/>
      <c r="BA22" s="1077"/>
      <c r="BB22" s="1077"/>
      <c r="BC22" s="1077"/>
      <c r="BD22" s="1077"/>
      <c r="BE22" s="1077"/>
    </row>
    <row r="23" spans="1:57" hidden="1" outlineLevel="1">
      <c r="A23" s="516" t="s">
        <v>1192</v>
      </c>
      <c r="B23" s="534"/>
      <c r="C23" s="534"/>
      <c r="D23" s="534"/>
      <c r="E23" s="534"/>
      <c r="F23" s="534"/>
      <c r="G23" s="534"/>
      <c r="H23" s="534"/>
      <c r="I23" s="534"/>
      <c r="J23" s="534"/>
      <c r="K23" s="534"/>
      <c r="L23" s="534"/>
      <c r="M23" s="534"/>
      <c r="N23" s="534"/>
      <c r="O23" s="521"/>
      <c r="P23" s="521"/>
      <c r="Q23" s="521"/>
      <c r="R23" s="521"/>
      <c r="S23" s="521"/>
      <c r="T23" s="516"/>
      <c r="U23" s="534"/>
      <c r="V23" s="534"/>
      <c r="W23" s="534"/>
      <c r="X23" s="534"/>
      <c r="Y23" s="534"/>
      <c r="Z23" s="534"/>
      <c r="AA23" s="534"/>
      <c r="AB23" s="534"/>
      <c r="AC23" s="523"/>
    </row>
    <row r="24" spans="1:57" hidden="1" outlineLevel="1">
      <c r="A24" s="518" t="str">
        <f>+A5</f>
        <v>Energy drinks</v>
      </c>
      <c r="B24" s="530">
        <f t="shared" ref="B24:M24" si="1">B5/B$9</f>
        <v>0</v>
      </c>
      <c r="C24" s="530">
        <f t="shared" si="1"/>
        <v>0.94994663449617711</v>
      </c>
      <c r="D24" s="530">
        <f t="shared" si="1"/>
        <v>0.95112586134193244</v>
      </c>
      <c r="E24" s="530">
        <f t="shared" si="1"/>
        <v>0.93882249500400683</v>
      </c>
      <c r="F24" s="530">
        <f t="shared" si="1"/>
        <v>0.94469268935325967</v>
      </c>
      <c r="G24" s="530">
        <f t="shared" si="1"/>
        <v>0.96083860786466058</v>
      </c>
      <c r="H24" s="530">
        <f t="shared" si="1"/>
        <v>0.91771268510848292</v>
      </c>
      <c r="I24" s="530">
        <f t="shared" si="1"/>
        <v>0.83993362854718268</v>
      </c>
      <c r="J24" s="530">
        <f t="shared" si="1"/>
        <v>0.75916689983865948</v>
      </c>
      <c r="K24" s="530">
        <f t="shared" si="1"/>
        <v>0.73397520898484081</v>
      </c>
      <c r="L24" s="530">
        <f t="shared" si="1"/>
        <v>0.71347782495728251</v>
      </c>
      <c r="M24" s="530" t="e">
        <f t="shared" si="1"/>
        <v>#REF!</v>
      </c>
      <c r="N24" s="535"/>
      <c r="O24" s="590"/>
      <c r="P24" s="590"/>
      <c r="Q24" s="590"/>
      <c r="R24" s="590"/>
      <c r="S24" s="590"/>
      <c r="T24" s="536"/>
      <c r="U24" s="530"/>
      <c r="V24" s="530"/>
      <c r="W24" s="530"/>
      <c r="X24" s="530"/>
      <c r="Y24" s="530"/>
      <c r="Z24" s="530"/>
      <c r="AA24" s="530"/>
      <c r="AB24" s="530"/>
      <c r="AC24" s="523"/>
    </row>
    <row r="25" spans="1:57" hidden="1" outlineLevel="1">
      <c r="A25" s="799" t="str">
        <f>+A6</f>
        <v>Other beverage</v>
      </c>
      <c r="B25" s="590">
        <f t="shared" ref="B25:M25" si="2">B6/B$9</f>
        <v>0</v>
      </c>
      <c r="C25" s="590">
        <f t="shared" si="2"/>
        <v>4.466801381678237E-2</v>
      </c>
      <c r="D25" s="590">
        <f t="shared" si="2"/>
        <v>4.4853641884910374E-2</v>
      </c>
      <c r="E25" s="590">
        <f t="shared" si="2"/>
        <v>5.6571372764918623E-2</v>
      </c>
      <c r="F25" s="590">
        <f t="shared" si="2"/>
        <v>5.330453193586724E-2</v>
      </c>
      <c r="G25" s="590">
        <f t="shared" si="2"/>
        <v>3.7508654289642493E-2</v>
      </c>
      <c r="H25" s="590">
        <f t="shared" si="2"/>
        <v>8.1194346722254063E-2</v>
      </c>
      <c r="I25" s="590">
        <f t="shared" si="2"/>
        <v>0.15898752515604839</v>
      </c>
      <c r="J25" s="590">
        <f t="shared" si="2"/>
        <v>0.23970314576006038</v>
      </c>
      <c r="K25" s="590">
        <f t="shared" si="2"/>
        <v>0.26472866031811937</v>
      </c>
      <c r="L25" s="590">
        <f t="shared" si="2"/>
        <v>0.28498800800831731</v>
      </c>
      <c r="M25" s="590" t="e">
        <f t="shared" si="2"/>
        <v>#REF!</v>
      </c>
      <c r="N25" s="535"/>
      <c r="O25" s="590"/>
      <c r="P25" s="590"/>
      <c r="Q25" s="590"/>
      <c r="R25" s="590"/>
      <c r="S25" s="590"/>
      <c r="T25" s="536"/>
      <c r="U25" s="530"/>
      <c r="V25" s="530"/>
      <c r="W25" s="530"/>
      <c r="X25" s="530"/>
      <c r="Y25" s="530"/>
      <c r="Z25" s="530"/>
      <c r="AA25" s="530"/>
      <c r="AB25" s="530"/>
      <c r="AC25" s="523"/>
    </row>
    <row r="26" spans="1:57" hidden="1" outlineLevel="1">
      <c r="A26" s="1984" t="s">
        <v>1260</v>
      </c>
      <c r="B26" s="590"/>
      <c r="C26" s="590"/>
      <c r="D26" s="590"/>
      <c r="E26" s="590"/>
      <c r="F26" s="590"/>
      <c r="G26" s="590"/>
      <c r="H26" s="590">
        <f t="shared" ref="H26:M26" si="3">H7/H5</f>
        <v>3.8026481617042883E-2</v>
      </c>
      <c r="I26" s="590">
        <f t="shared" si="3"/>
        <v>0.11237678785729863</v>
      </c>
      <c r="J26" s="590">
        <f t="shared" si="3"/>
        <v>0.20732340025430332</v>
      </c>
      <c r="K26" s="590">
        <f t="shared" si="3"/>
        <v>0.24099130285970299</v>
      </c>
      <c r="L26" s="590">
        <f t="shared" si="3"/>
        <v>0.26741578782238973</v>
      </c>
      <c r="M26" s="590" t="e">
        <f t="shared" si="3"/>
        <v>#REF!</v>
      </c>
      <c r="N26" s="535"/>
      <c r="O26" s="590"/>
      <c r="P26" s="590"/>
      <c r="Q26" s="590"/>
      <c r="R26" s="590"/>
      <c r="S26" s="590"/>
      <c r="T26" s="536"/>
      <c r="U26" s="530"/>
      <c r="V26" s="530"/>
      <c r="W26" s="530"/>
      <c r="X26" s="530"/>
      <c r="Y26" s="530"/>
      <c r="Z26" s="530"/>
      <c r="AA26" s="530"/>
      <c r="AB26" s="530"/>
      <c r="AC26" s="523"/>
    </row>
    <row r="27" spans="1:57" hidden="1" outlineLevel="3">
      <c r="A27" s="799" t="str">
        <f>+A7</f>
        <v>Bushuila</v>
      </c>
      <c r="B27" s="590">
        <f t="shared" ref="B27:M27" si="4">B7/B$9</f>
        <v>0</v>
      </c>
      <c r="C27" s="590">
        <f t="shared" si="4"/>
        <v>0</v>
      </c>
      <c r="D27" s="590">
        <f t="shared" si="4"/>
        <v>0</v>
      </c>
      <c r="E27" s="590">
        <f t="shared" si="4"/>
        <v>0</v>
      </c>
      <c r="F27" s="590">
        <f t="shared" si="4"/>
        <v>0</v>
      </c>
      <c r="G27" s="590">
        <f t="shared" si="4"/>
        <v>0</v>
      </c>
      <c r="H27" s="590">
        <f t="shared" si="4"/>
        <v>3.4897384550004788E-2</v>
      </c>
      <c r="I27" s="590">
        <f t="shared" si="4"/>
        <v>9.4389043189457816E-2</v>
      </c>
      <c r="J27" s="590">
        <f t="shared" si="4"/>
        <v>0.15739306303506898</v>
      </c>
      <c r="K27" s="590">
        <f t="shared" si="4"/>
        <v>0.17688164187997957</v>
      </c>
      <c r="L27" s="590">
        <f t="shared" si="4"/>
        <v>0.19079523465475676</v>
      </c>
      <c r="M27" s="590" t="e">
        <f t="shared" si="4"/>
        <v>#REF!</v>
      </c>
      <c r="N27" s="535"/>
      <c r="O27" s="590"/>
      <c r="P27" s="590"/>
      <c r="Q27" s="590"/>
      <c r="R27" s="590"/>
      <c r="S27" s="590"/>
      <c r="T27" s="536"/>
      <c r="U27" s="530"/>
      <c r="V27" s="530"/>
      <c r="W27" s="530"/>
      <c r="X27" s="530"/>
      <c r="Y27" s="530"/>
      <c r="Z27" s="530"/>
      <c r="AA27" s="530"/>
      <c r="AB27" s="530"/>
      <c r="AC27" s="523"/>
    </row>
    <row r="28" spans="1:57" hidden="1" outlineLevel="3">
      <c r="A28" s="799" t="s">
        <v>207</v>
      </c>
      <c r="B28" s="590">
        <f t="shared" ref="B28:M28" si="5">B8/B$9</f>
        <v>0</v>
      </c>
      <c r="C28" s="590">
        <f t="shared" si="5"/>
        <v>0</v>
      </c>
      <c r="D28" s="590">
        <f t="shared" si="5"/>
        <v>0</v>
      </c>
      <c r="E28" s="590">
        <f t="shared" si="5"/>
        <v>0</v>
      </c>
      <c r="F28" s="590">
        <f t="shared" si="5"/>
        <v>0</v>
      </c>
      <c r="G28" s="590">
        <f t="shared" si="5"/>
        <v>0</v>
      </c>
      <c r="H28" s="590">
        <f t="shared" si="5"/>
        <v>4.6296962172249274E-2</v>
      </c>
      <c r="I28" s="590">
        <f t="shared" si="5"/>
        <v>6.4598481966590585E-2</v>
      </c>
      <c r="J28" s="590">
        <f t="shared" si="5"/>
        <v>8.2310082724991393E-2</v>
      </c>
      <c r="K28" s="590">
        <f t="shared" si="5"/>
        <v>8.7847018438139801E-2</v>
      </c>
      <c r="L28" s="590">
        <f t="shared" si="5"/>
        <v>9.4192773353560563E-2</v>
      </c>
      <c r="M28" s="590" t="e">
        <f t="shared" si="5"/>
        <v>#REF!</v>
      </c>
      <c r="N28" s="535"/>
      <c r="O28" s="590"/>
      <c r="P28" s="590"/>
      <c r="Q28" s="590"/>
      <c r="R28" s="590"/>
      <c r="S28" s="590"/>
      <c r="T28" s="536"/>
      <c r="U28" s="590"/>
      <c r="V28" s="590"/>
      <c r="W28" s="590"/>
      <c r="X28" s="590"/>
      <c r="Y28" s="590"/>
      <c r="Z28" s="590"/>
      <c r="AA28" s="590"/>
      <c r="AB28" s="590"/>
      <c r="AC28" s="523"/>
    </row>
    <row r="29" spans="1:57" hidden="1" outlineLevel="2">
      <c r="A29" s="1985" t="s">
        <v>207</v>
      </c>
      <c r="B29" s="1986"/>
      <c r="C29" s="1986"/>
      <c r="D29" s="1986"/>
      <c r="E29" s="1986"/>
      <c r="F29" s="1986"/>
      <c r="G29" s="1986"/>
      <c r="H29" s="1986">
        <f t="shared" ref="H29:M29" si="6">H8/H9</f>
        <v>4.6296962172249274E-2</v>
      </c>
      <c r="I29" s="1986">
        <f t="shared" si="6"/>
        <v>6.4598481966590585E-2</v>
      </c>
      <c r="J29" s="1986">
        <f t="shared" si="6"/>
        <v>8.2310082724991393E-2</v>
      </c>
      <c r="K29" s="1986">
        <f t="shared" si="6"/>
        <v>8.7847018438139801E-2</v>
      </c>
      <c r="L29" s="1986">
        <f t="shared" si="6"/>
        <v>9.4192773353560563E-2</v>
      </c>
      <c r="M29" s="1986" t="e">
        <f t="shared" si="6"/>
        <v>#REF!</v>
      </c>
      <c r="N29" s="535"/>
      <c r="O29" s="590"/>
      <c r="P29" s="590"/>
      <c r="Q29" s="590"/>
      <c r="R29" s="590"/>
      <c r="S29" s="590"/>
      <c r="T29" s="536"/>
      <c r="U29" s="590"/>
      <c r="V29" s="590"/>
      <c r="W29" s="590"/>
      <c r="X29" s="590"/>
      <c r="Y29" s="590"/>
      <c r="Z29" s="590"/>
      <c r="AA29" s="590"/>
      <c r="AB29" s="590"/>
      <c r="AC29" s="523"/>
    </row>
    <row r="30" spans="1:57" hidden="1" outlineLevel="2">
      <c r="A30" s="516" t="s">
        <v>827</v>
      </c>
      <c r="B30" s="538">
        <f t="shared" ref="B30:G30" si="7">+SUM(B24:B28)</f>
        <v>0</v>
      </c>
      <c r="C30" s="538">
        <f t="shared" si="7"/>
        <v>0.99461464831295943</v>
      </c>
      <c r="D30" s="538">
        <f t="shared" si="7"/>
        <v>0.99597950322684281</v>
      </c>
      <c r="E30" s="538">
        <f t="shared" si="7"/>
        <v>0.99539386776892547</v>
      </c>
      <c r="F30" s="538">
        <f t="shared" si="7"/>
        <v>0.99799722128912693</v>
      </c>
      <c r="G30" s="538">
        <f t="shared" si="7"/>
        <v>0.99834726215430303</v>
      </c>
      <c r="H30" s="538">
        <f t="shared" ref="H30:M30" si="8">+SUM(H24:H25)</f>
        <v>0.99890703183073692</v>
      </c>
      <c r="I30" s="538">
        <f t="shared" si="8"/>
        <v>0.99892115370323109</v>
      </c>
      <c r="J30" s="538">
        <f t="shared" si="8"/>
        <v>0.99887004559871984</v>
      </c>
      <c r="K30" s="538">
        <f t="shared" si="8"/>
        <v>0.99870386930296018</v>
      </c>
      <c r="L30" s="538">
        <f t="shared" si="8"/>
        <v>0.99846583296559976</v>
      </c>
      <c r="M30" s="538" t="e">
        <f t="shared" si="8"/>
        <v>#REF!</v>
      </c>
      <c r="N30" s="539"/>
      <c r="O30" s="591"/>
      <c r="P30" s="591"/>
      <c r="Q30" s="591"/>
      <c r="R30" s="591"/>
      <c r="S30" s="591"/>
      <c r="T30" s="540"/>
      <c r="U30" s="538"/>
      <c r="V30" s="538"/>
      <c r="W30" s="538"/>
      <c r="X30" s="538"/>
      <c r="Y30" s="538"/>
      <c r="Z30" s="538"/>
      <c r="AA30" s="538"/>
      <c r="AB30" s="538"/>
      <c r="AC30" s="516"/>
    </row>
    <row r="31" spans="1:57" hidden="1" outlineLevel="2">
      <c r="A31" s="523"/>
      <c r="B31" s="534"/>
      <c r="C31" s="534"/>
      <c r="D31" s="534"/>
      <c r="E31" s="534"/>
      <c r="F31" s="534"/>
      <c r="G31" s="534"/>
      <c r="H31" s="534"/>
      <c r="I31" s="534"/>
      <c r="J31" s="534"/>
      <c r="K31" s="534"/>
      <c r="L31" s="534"/>
      <c r="M31" s="534"/>
      <c r="N31" s="534"/>
      <c r="O31" s="534"/>
      <c r="P31" s="534"/>
      <c r="Q31" s="534"/>
      <c r="R31" s="534"/>
      <c r="S31" s="534"/>
      <c r="T31" s="541"/>
      <c r="U31" s="530"/>
      <c r="V31" s="530"/>
      <c r="W31" s="530"/>
      <c r="X31" s="530"/>
      <c r="Y31" s="530"/>
      <c r="Z31" s="530"/>
      <c r="AA31" s="530"/>
      <c r="AB31" s="530"/>
      <c r="AC31" s="523"/>
    </row>
    <row r="32" spans="1:57" hidden="1" outlineLevel="3">
      <c r="A32" s="516" t="s">
        <v>996</v>
      </c>
      <c r="B32" s="534"/>
      <c r="C32" s="534"/>
      <c r="D32" s="534"/>
      <c r="E32" s="534"/>
      <c r="F32" s="534"/>
      <c r="G32" s="534"/>
      <c r="H32" s="534"/>
      <c r="I32" s="534"/>
      <c r="J32" s="534"/>
      <c r="K32" s="534"/>
      <c r="L32" s="534"/>
      <c r="M32" s="534"/>
      <c r="N32" s="534"/>
      <c r="O32" s="534"/>
      <c r="P32" s="534"/>
      <c r="Q32" s="534"/>
      <c r="R32" s="534"/>
      <c r="S32" s="534"/>
      <c r="T32" s="540"/>
      <c r="U32" s="534"/>
      <c r="V32" s="534"/>
      <c r="W32" s="534"/>
      <c r="X32" s="534"/>
      <c r="Y32" s="534"/>
      <c r="Z32" s="534"/>
      <c r="AA32" s="534"/>
      <c r="AB32" s="534"/>
      <c r="AC32" s="523"/>
    </row>
    <row r="33" spans="1:57" hidden="1" outlineLevel="3">
      <c r="A33" s="518" t="str">
        <f>+A24</f>
        <v>Energy drinks</v>
      </c>
      <c r="B33" s="530">
        <f t="shared" ref="B33:M33" si="9">B12/B$18</f>
        <v>0</v>
      </c>
      <c r="C33" s="530">
        <f t="shared" si="9"/>
        <v>0.99364092184249497</v>
      </c>
      <c r="D33" s="530">
        <f t="shared" si="9"/>
        <v>0.997420947665552</v>
      </c>
      <c r="E33" s="530">
        <f t="shared" si="9"/>
        <v>0.98045934571063731</v>
      </c>
      <c r="F33" s="530">
        <f t="shared" si="9"/>
        <v>0.98122373461324719</v>
      </c>
      <c r="G33" s="530">
        <f t="shared" si="9"/>
        <v>0.98214146214174991</v>
      </c>
      <c r="H33" s="530">
        <f t="shared" si="9"/>
        <v>0.96570443409644757</v>
      </c>
      <c r="I33" s="530">
        <f t="shared" si="9"/>
        <v>0.90362153401565803</v>
      </c>
      <c r="J33" s="530">
        <f t="shared" si="9"/>
        <v>0.85982584134669748</v>
      </c>
      <c r="K33" s="530">
        <f t="shared" si="9"/>
        <v>0.83329648998683203</v>
      </c>
      <c r="L33" s="530">
        <f t="shared" si="9"/>
        <v>0.80417633019417212</v>
      </c>
      <c r="M33" s="530" t="e">
        <f t="shared" si="9"/>
        <v>#REF!</v>
      </c>
      <c r="N33" s="535"/>
      <c r="O33" s="590"/>
      <c r="P33" s="590"/>
      <c r="Q33" s="590"/>
      <c r="R33" s="590"/>
      <c r="S33" s="590"/>
      <c r="T33" s="536"/>
      <c r="U33" s="530"/>
      <c r="V33" s="530"/>
      <c r="W33" s="530"/>
      <c r="X33" s="530"/>
      <c r="Y33" s="530"/>
      <c r="Z33" s="530"/>
      <c r="AA33" s="530"/>
      <c r="AB33" s="530"/>
      <c r="AC33" s="541"/>
    </row>
    <row r="34" spans="1:57" hidden="1" outlineLevel="3">
      <c r="A34" s="518" t="str">
        <f>+A25</f>
        <v>Other beverage</v>
      </c>
      <c r="B34" s="530">
        <f t="shared" ref="B34:M34" si="10">B13/B$18</f>
        <v>0</v>
      </c>
      <c r="C34" s="530">
        <f t="shared" si="10"/>
        <v>-2.4930280756221713E-3</v>
      </c>
      <c r="D34" s="530">
        <f t="shared" si="10"/>
        <v>-4.5602226517661472E-3</v>
      </c>
      <c r="E34" s="530">
        <f t="shared" si="10"/>
        <v>9.6383921067263126E-3</v>
      </c>
      <c r="F34" s="530">
        <f t="shared" si="10"/>
        <v>1.5616798373598252E-2</v>
      </c>
      <c r="G34" s="530">
        <f t="shared" si="10"/>
        <v>1.512514303707499E-2</v>
      </c>
      <c r="H34" s="530">
        <f t="shared" si="10"/>
        <v>3.251930048409496E-2</v>
      </c>
      <c r="I34" s="530">
        <f t="shared" si="10"/>
        <v>9.4693121401191835E-2</v>
      </c>
      <c r="J34" s="537">
        <f t="shared" si="10"/>
        <v>0.1384129376495275</v>
      </c>
      <c r="K34" s="537">
        <f t="shared" si="10"/>
        <v>0.16472616166353235</v>
      </c>
      <c r="L34" s="537">
        <f t="shared" si="10"/>
        <v>0.1935000788301631</v>
      </c>
      <c r="M34" s="537" t="e">
        <f t="shared" si="10"/>
        <v>#REF!</v>
      </c>
      <c r="N34" s="535"/>
      <c r="O34" s="590"/>
      <c r="P34" s="590"/>
      <c r="Q34" s="590"/>
      <c r="R34" s="590"/>
      <c r="S34" s="590"/>
      <c r="T34" s="536"/>
      <c r="U34" s="530"/>
      <c r="V34" s="530"/>
      <c r="W34" s="530"/>
      <c r="X34" s="530"/>
      <c r="Y34" s="530"/>
      <c r="Z34" s="530"/>
      <c r="AA34" s="530"/>
      <c r="AB34" s="530"/>
      <c r="AC34" s="541"/>
    </row>
    <row r="35" spans="1:57" hidden="1" outlineLevel="3">
      <c r="A35" s="518" t="str">
        <f>+A27</f>
        <v>Bushuila</v>
      </c>
      <c r="B35" s="530">
        <f t="shared" ref="B35:M35" si="11">B15/B$18</f>
        <v>0</v>
      </c>
      <c r="C35" s="530">
        <f t="shared" si="11"/>
        <v>-6.920462595442976E-4</v>
      </c>
      <c r="D35" s="530">
        <f t="shared" si="11"/>
        <v>1.4957225266177443E-3</v>
      </c>
      <c r="E35" s="530">
        <f t="shared" si="11"/>
        <v>2.820498811816115E-3</v>
      </c>
      <c r="F35" s="530">
        <f t="shared" si="11"/>
        <v>0</v>
      </c>
      <c r="G35" s="530">
        <f t="shared" si="11"/>
        <v>0</v>
      </c>
      <c r="H35" s="530">
        <f t="shared" si="11"/>
        <v>0</v>
      </c>
      <c r="I35" s="530">
        <f t="shared" si="11"/>
        <v>0</v>
      </c>
      <c r="J35" s="530">
        <f t="shared" si="11"/>
        <v>0</v>
      </c>
      <c r="K35" s="530">
        <f t="shared" si="11"/>
        <v>0</v>
      </c>
      <c r="L35" s="530">
        <f t="shared" si="11"/>
        <v>0</v>
      </c>
      <c r="M35" s="530" t="e">
        <f t="shared" si="11"/>
        <v>#REF!</v>
      </c>
      <c r="N35" s="535"/>
      <c r="O35" s="590"/>
      <c r="P35" s="590"/>
      <c r="Q35" s="590"/>
      <c r="R35" s="590"/>
      <c r="S35" s="590"/>
      <c r="T35" s="536"/>
      <c r="U35" s="530"/>
      <c r="V35" s="530"/>
      <c r="W35" s="530"/>
      <c r="X35" s="530"/>
      <c r="Y35" s="530"/>
      <c r="Z35" s="530"/>
      <c r="AA35" s="530"/>
      <c r="AB35" s="530"/>
      <c r="AC35" s="541"/>
    </row>
    <row r="36" spans="1:57" hidden="1" outlineLevel="4">
      <c r="A36" s="518" t="s">
        <v>207</v>
      </c>
      <c r="B36" s="590">
        <f t="shared" ref="B36:M36" si="12">B17/B$18</f>
        <v>0</v>
      </c>
      <c r="C36" s="590">
        <f t="shared" si="12"/>
        <v>8.8521065052763453E-3</v>
      </c>
      <c r="D36" s="590">
        <f t="shared" si="12"/>
        <v>7.1392346864538672E-3</v>
      </c>
      <c r="E36" s="590">
        <f t="shared" si="12"/>
        <v>9.9022107989403269E-3</v>
      </c>
      <c r="F36" s="590">
        <f t="shared" si="12"/>
        <v>3.1594670131545968E-3</v>
      </c>
      <c r="G36" s="590">
        <f t="shared" si="12"/>
        <v>2.7333948211751731E-3</v>
      </c>
      <c r="H36" s="590">
        <f t="shared" si="12"/>
        <v>1.7762654194574475E-3</v>
      </c>
      <c r="I36" s="590">
        <f t="shared" si="12"/>
        <v>1.6853445831501957E-3</v>
      </c>
      <c r="J36" s="537">
        <f t="shared" si="12"/>
        <v>1.7612210037751097E-3</v>
      </c>
      <c r="K36" s="537">
        <f t="shared" si="12"/>
        <v>1.9773483496357005E-3</v>
      </c>
      <c r="L36" s="537">
        <f t="shared" si="12"/>
        <v>2.3235909756646688E-3</v>
      </c>
      <c r="M36" s="537" t="e">
        <f t="shared" si="12"/>
        <v>#REF!</v>
      </c>
      <c r="N36" s="535"/>
      <c r="O36" s="590"/>
      <c r="P36" s="590"/>
      <c r="Q36" s="590"/>
      <c r="R36" s="590"/>
      <c r="S36" s="590"/>
      <c r="T36" s="536"/>
      <c r="U36" s="590"/>
      <c r="V36" s="590"/>
      <c r="W36" s="590"/>
      <c r="X36" s="590"/>
      <c r="Y36" s="590"/>
      <c r="Z36" s="590"/>
      <c r="AA36" s="590"/>
      <c r="AB36" s="590"/>
      <c r="AC36" s="541"/>
    </row>
    <row r="37" spans="1:57" hidden="1" outlineLevel="3">
      <c r="A37" s="570" t="s">
        <v>827</v>
      </c>
      <c r="B37" s="801">
        <f t="shared" ref="B37:M37" si="13">+SUM(B33:B36)</f>
        <v>0</v>
      </c>
      <c r="C37" s="801">
        <f t="shared" si="13"/>
        <v>0.99930795401260486</v>
      </c>
      <c r="D37" s="801">
        <f t="shared" si="13"/>
        <v>1.0014956822268575</v>
      </c>
      <c r="E37" s="801">
        <f t="shared" si="13"/>
        <v>1.0028204474281202</v>
      </c>
      <c r="F37" s="801">
        <f t="shared" si="13"/>
        <v>1</v>
      </c>
      <c r="G37" s="801">
        <f t="shared" si="13"/>
        <v>1</v>
      </c>
      <c r="H37" s="801">
        <f t="shared" si="13"/>
        <v>0.99999999999999989</v>
      </c>
      <c r="I37" s="801">
        <f t="shared" si="13"/>
        <v>1</v>
      </c>
      <c r="J37" s="538">
        <f t="shared" si="13"/>
        <v>1.0000000000000002</v>
      </c>
      <c r="K37" s="538">
        <f t="shared" si="13"/>
        <v>1.0000000000000002</v>
      </c>
      <c r="L37" s="538">
        <f t="shared" si="13"/>
        <v>0.99999999999999989</v>
      </c>
      <c r="M37" s="538" t="e">
        <f t="shared" si="13"/>
        <v>#REF!</v>
      </c>
      <c r="N37" s="539"/>
      <c r="O37" s="591"/>
      <c r="P37" s="591"/>
      <c r="Q37" s="591"/>
      <c r="R37" s="591"/>
      <c r="S37" s="591"/>
      <c r="T37" s="540"/>
      <c r="U37" s="538"/>
      <c r="V37" s="538"/>
      <c r="W37" s="538"/>
      <c r="X37" s="538"/>
      <c r="Y37" s="538"/>
      <c r="Z37" s="538"/>
      <c r="AA37" s="538"/>
      <c r="AB37" s="538"/>
      <c r="AC37" s="540"/>
    </row>
    <row r="38" spans="1:57" hidden="1" outlineLevel="2">
      <c r="A38" s="523"/>
      <c r="B38" s="534"/>
      <c r="C38" s="534"/>
      <c r="D38" s="534"/>
      <c r="E38" s="549"/>
      <c r="F38" s="534"/>
      <c r="G38" s="534"/>
      <c r="H38" s="534"/>
      <c r="I38" s="534"/>
      <c r="J38" s="534"/>
      <c r="K38" s="534"/>
      <c r="L38" s="534"/>
      <c r="M38" s="534"/>
      <c r="N38" s="534"/>
      <c r="O38" s="521"/>
      <c r="P38" s="521"/>
      <c r="Q38" s="521"/>
      <c r="R38" s="521"/>
      <c r="S38" s="521"/>
      <c r="T38" s="523"/>
      <c r="U38" s="538"/>
      <c r="V38" s="538"/>
      <c r="W38" s="538"/>
      <c r="X38" s="538"/>
      <c r="Y38" s="538"/>
      <c r="Z38" s="538"/>
      <c r="AA38" s="538"/>
      <c r="AB38" s="538"/>
      <c r="AC38" s="523"/>
    </row>
    <row r="39" spans="1:57" hidden="1" outlineLevel="1">
      <c r="A39" s="1074" t="s">
        <v>999</v>
      </c>
      <c r="B39" s="1075" t="s">
        <v>1025</v>
      </c>
      <c r="C39" s="1075" t="str">
        <f t="shared" ref="C39:M39" si="14">+C3</f>
        <v>FY18</v>
      </c>
      <c r="D39" s="1075" t="str">
        <f t="shared" si="14"/>
        <v>FY19</v>
      </c>
      <c r="E39" s="1075" t="str">
        <f t="shared" si="14"/>
        <v>FY20</v>
      </c>
      <c r="F39" s="1075" t="str">
        <f t="shared" si="14"/>
        <v>FY21</v>
      </c>
      <c r="G39" s="1075" t="str">
        <f t="shared" si="14"/>
        <v>FY22</v>
      </c>
      <c r="H39" s="1075" t="str">
        <f t="shared" si="14"/>
        <v>FY23</v>
      </c>
      <c r="I39" s="1075" t="str">
        <f t="shared" si="14"/>
        <v>FY24</v>
      </c>
      <c r="J39" s="1075" t="str">
        <f t="shared" si="14"/>
        <v>FY25E</v>
      </c>
      <c r="K39" s="1075" t="str">
        <f t="shared" si="14"/>
        <v>FY26E</v>
      </c>
      <c r="L39" s="1075" t="str">
        <f t="shared" si="14"/>
        <v>FY27E</v>
      </c>
      <c r="M39" s="1075" t="str">
        <f t="shared" si="14"/>
        <v>FY28E</v>
      </c>
      <c r="N39" s="515"/>
      <c r="O39" s="542"/>
      <c r="P39" s="542"/>
      <c r="Q39" s="542"/>
      <c r="R39" s="542"/>
      <c r="S39" s="542"/>
      <c r="T39" s="516"/>
      <c r="U39" s="1078" t="str">
        <f t="shared" ref="U39:AB39" si="15">+U3</f>
        <v>1H20</v>
      </c>
      <c r="V39" s="1078" t="str">
        <f t="shared" si="15"/>
        <v>2H20</v>
      </c>
      <c r="W39" s="1078" t="str">
        <f t="shared" si="15"/>
        <v>1H21</v>
      </c>
      <c r="X39" s="1078" t="str">
        <f t="shared" si="15"/>
        <v>2H21</v>
      </c>
      <c r="Y39" s="1078" t="str">
        <f t="shared" si="15"/>
        <v>1H22</v>
      </c>
      <c r="Z39" s="1078" t="str">
        <f t="shared" si="15"/>
        <v>2H22</v>
      </c>
      <c r="AA39" s="1078" t="str">
        <f t="shared" si="15"/>
        <v>1H23</v>
      </c>
      <c r="AB39" s="1078" t="str">
        <f t="shared" si="15"/>
        <v>2H23</v>
      </c>
      <c r="AC39" s="516"/>
      <c r="AD39" s="1075" t="str">
        <f t="shared" ref="AD39:BE39" si="16">+AD3</f>
        <v>1Q20</v>
      </c>
      <c r="AE39" s="1075" t="str">
        <f t="shared" si="16"/>
        <v>2Q20</v>
      </c>
      <c r="AF39" s="1075" t="str">
        <f t="shared" si="16"/>
        <v>3Q20</v>
      </c>
      <c r="AG39" s="1075" t="str">
        <f t="shared" si="16"/>
        <v>4Q20</v>
      </c>
      <c r="AH39" s="1075" t="str">
        <f t="shared" si="16"/>
        <v>1Q21</v>
      </c>
      <c r="AI39" s="1075" t="str">
        <f t="shared" si="16"/>
        <v>2Q21</v>
      </c>
      <c r="AJ39" s="1075" t="str">
        <f t="shared" si="16"/>
        <v>3Q21</v>
      </c>
      <c r="AK39" s="1075" t="str">
        <f t="shared" si="16"/>
        <v>4Q21</v>
      </c>
      <c r="AL39" s="1075" t="str">
        <f t="shared" si="16"/>
        <v>1Q22</v>
      </c>
      <c r="AM39" s="1075" t="str">
        <f t="shared" si="16"/>
        <v>2Q22</v>
      </c>
      <c r="AN39" s="1075" t="str">
        <f t="shared" si="16"/>
        <v>3Q22</v>
      </c>
      <c r="AO39" s="1075" t="str">
        <f t="shared" si="16"/>
        <v>4Q22</v>
      </c>
      <c r="AP39" s="1075" t="str">
        <f t="shared" si="16"/>
        <v>1Q23</v>
      </c>
      <c r="AQ39" s="1075" t="str">
        <f t="shared" si="16"/>
        <v>2Q23</v>
      </c>
      <c r="AR39" s="1075" t="str">
        <f t="shared" si="16"/>
        <v>3Q23</v>
      </c>
      <c r="AS39" s="1075" t="str">
        <f t="shared" si="16"/>
        <v>4Q23</v>
      </c>
      <c r="AT39" s="1075" t="str">
        <f t="shared" si="16"/>
        <v>1Q24</v>
      </c>
      <c r="AU39" s="1075" t="str">
        <f t="shared" si="16"/>
        <v>2Q24</v>
      </c>
      <c r="AV39" s="1075" t="str">
        <f t="shared" si="16"/>
        <v>3Q24</v>
      </c>
      <c r="AW39" s="1075" t="str">
        <f t="shared" si="16"/>
        <v>4Q24</v>
      </c>
      <c r="AX39" s="1075" t="str">
        <f t="shared" si="16"/>
        <v>1Q25</v>
      </c>
      <c r="AY39" s="1075" t="str">
        <f t="shared" si="16"/>
        <v>2Q25E</v>
      </c>
      <c r="AZ39" s="1075" t="str">
        <f t="shared" si="16"/>
        <v>3Q25E</v>
      </c>
      <c r="BA39" s="1075" t="str">
        <f t="shared" si="16"/>
        <v>4Q25E</v>
      </c>
      <c r="BB39" s="1075" t="str">
        <f t="shared" si="16"/>
        <v>1Q26E</v>
      </c>
      <c r="BC39" s="1075" t="str">
        <f t="shared" si="16"/>
        <v>2Q26E</v>
      </c>
      <c r="BD39" s="1075" t="str">
        <f t="shared" si="16"/>
        <v>3Q26E</v>
      </c>
      <c r="BE39" s="1075" t="str">
        <f t="shared" si="16"/>
        <v>4Q26E</v>
      </c>
    </row>
    <row r="40" spans="1:57" hidden="1" outlineLevel="1">
      <c r="A40" s="516" t="s">
        <v>1098</v>
      </c>
      <c r="B40" s="534"/>
      <c r="C40" s="534"/>
      <c r="D40" s="534"/>
      <c r="E40" s="534"/>
      <c r="F40" s="534"/>
      <c r="G40" s="534"/>
      <c r="H40" s="534"/>
      <c r="I40" s="534"/>
      <c r="J40" s="534"/>
      <c r="K40" s="534"/>
      <c r="L40" s="534"/>
      <c r="M40" s="534"/>
      <c r="N40" s="534"/>
      <c r="O40" s="542"/>
      <c r="P40" s="542"/>
      <c r="Q40" s="542"/>
      <c r="R40" s="542"/>
      <c r="S40" s="542"/>
      <c r="T40" s="516"/>
      <c r="U40" s="530"/>
      <c r="V40" s="530"/>
      <c r="W40" s="530"/>
      <c r="X40" s="530"/>
      <c r="Y40" s="530"/>
      <c r="Z40" s="530"/>
      <c r="AA40" s="530"/>
      <c r="AB40" s="530"/>
      <c r="AC40" s="523"/>
    </row>
    <row r="41" spans="1:57" hidden="1" outlineLevel="1">
      <c r="A41" s="518" t="str">
        <f>+A33</f>
        <v>Energy drinks</v>
      </c>
      <c r="B41" s="530"/>
      <c r="C41" s="530"/>
      <c r="D41" s="530">
        <f t="shared" ref="D41:M41" si="17">D5/C5-1</f>
        <v>0.387293198111341</v>
      </c>
      <c r="E41" s="530">
        <f t="shared" si="17"/>
        <v>0.16290740227934797</v>
      </c>
      <c r="F41" s="530">
        <f t="shared" si="17"/>
        <v>0.41604298426831776</v>
      </c>
      <c r="G41" s="530">
        <f t="shared" si="17"/>
        <v>0.2397502172798518</v>
      </c>
      <c r="H41" s="530">
        <f t="shared" si="17"/>
        <v>0.26476027118643075</v>
      </c>
      <c r="I41" s="530">
        <f t="shared" si="17"/>
        <v>0.28711036224329911</v>
      </c>
      <c r="J41" s="530">
        <f t="shared" si="17"/>
        <v>0.19789999999999996</v>
      </c>
      <c r="K41" s="530">
        <f t="shared" si="17"/>
        <v>0.16999999999999993</v>
      </c>
      <c r="L41" s="530">
        <f t="shared" si="17"/>
        <v>0.14000000000000012</v>
      </c>
      <c r="M41" s="530" t="e">
        <f t="shared" si="17"/>
        <v>#REF!</v>
      </c>
      <c r="N41" s="535"/>
      <c r="O41" s="541"/>
      <c r="P41" s="541"/>
      <c r="Q41" s="541"/>
      <c r="R41" s="541"/>
      <c r="S41" s="541"/>
      <c r="T41" s="522"/>
      <c r="U41" s="530"/>
      <c r="V41" s="530"/>
      <c r="W41" s="530"/>
      <c r="X41" s="530"/>
      <c r="Y41" s="530"/>
      <c r="Z41" s="530"/>
      <c r="AA41" s="530"/>
      <c r="AB41" s="530"/>
      <c r="AC41" s="543"/>
      <c r="AD41" s="651"/>
      <c r="AE41" s="651"/>
      <c r="AF41" s="651"/>
      <c r="AG41" s="651"/>
      <c r="AH41" s="651"/>
      <c r="AX41" s="704">
        <f t="shared" ref="AX41:AX42" si="18">AX5/AT5-1</f>
        <v>0.25795407774379187</v>
      </c>
      <c r="AY41" s="704">
        <f t="shared" ref="AY41:AY42" si="19">AY5/AU5-1</f>
        <v>0.18766626951675058</v>
      </c>
      <c r="AZ41" s="704">
        <f t="shared" ref="AZ41:AZ42" si="20">AZ5/AV5-1</f>
        <v>0.14592880138199327</v>
      </c>
      <c r="BA41" s="704">
        <f t="shared" ref="BA41:BA45" si="21">BA5/AW5-1</f>
        <v>0.21422676187408896</v>
      </c>
      <c r="BB41" s="704">
        <f t="shared" ref="BB41:BB45" si="22">BB5/AX5-1</f>
        <v>0.20999999999999996</v>
      </c>
      <c r="BC41" s="704">
        <f t="shared" ref="BC41:BC45" si="23">BC5/AY5-1</f>
        <v>0.19999999999999996</v>
      </c>
      <c r="BD41" s="704">
        <f t="shared" ref="BD41:BD45" si="24">BD5/AZ5-1</f>
        <v>0.18999999999999995</v>
      </c>
      <c r="BE41" s="704">
        <f t="shared" ref="BE41:BE45" si="25">BE5/BA5-1</f>
        <v>5.9163814126169445E-2</v>
      </c>
    </row>
    <row r="42" spans="1:57" hidden="1" outlineLevel="1">
      <c r="A42" s="518" t="str">
        <f>+A34</f>
        <v>Other beverage</v>
      </c>
      <c r="B42" s="530"/>
      <c r="C42" s="530"/>
      <c r="D42" s="530">
        <f t="shared" ref="D42:M42" si="26">D6/C6-1</f>
        <v>0.39133126524258799</v>
      </c>
      <c r="E42" s="530">
        <f t="shared" si="26"/>
        <v>0.48593100423357094</v>
      </c>
      <c r="F42" s="530">
        <f t="shared" si="26"/>
        <v>0.32597942717050743</v>
      </c>
      <c r="G42" s="530">
        <f t="shared" si="26"/>
        <v>-0.14228767416117516</v>
      </c>
      <c r="H42" s="530">
        <f t="shared" si="26"/>
        <v>1.866462300470987</v>
      </c>
      <c r="I42" s="530">
        <f t="shared" si="26"/>
        <v>1.7536884891421969</v>
      </c>
      <c r="J42" s="530">
        <f t="shared" si="26"/>
        <v>0.99820000000000042</v>
      </c>
      <c r="K42" s="530">
        <f t="shared" si="26"/>
        <v>0.33650000000000024</v>
      </c>
      <c r="L42" s="530">
        <f t="shared" si="26"/>
        <v>0.26249999999999996</v>
      </c>
      <c r="M42" s="530" t="e">
        <f t="shared" si="26"/>
        <v>#REF!</v>
      </c>
      <c r="N42" s="535"/>
      <c r="O42" s="541"/>
      <c r="P42" s="541"/>
      <c r="Q42" s="541"/>
      <c r="R42" s="541"/>
      <c r="S42" s="541"/>
      <c r="T42" s="522"/>
      <c r="U42" s="530"/>
      <c r="V42" s="530"/>
      <c r="W42" s="530"/>
      <c r="X42" s="530"/>
      <c r="Y42" s="530"/>
      <c r="Z42" s="530"/>
      <c r="AA42" s="530"/>
      <c r="AB42" s="530"/>
      <c r="AC42" s="543"/>
      <c r="AD42" s="651"/>
      <c r="AE42" s="651"/>
      <c r="AF42" s="651"/>
      <c r="AG42" s="651"/>
      <c r="AH42" s="651"/>
      <c r="AX42" s="704">
        <f t="shared" si="18"/>
        <v>1.5063795193126124</v>
      </c>
      <c r="AY42" s="704">
        <f t="shared" si="19"/>
        <v>1.266840580614319</v>
      </c>
      <c r="AZ42" s="704">
        <f t="shared" si="20"/>
        <v>0.87057466215943702</v>
      </c>
      <c r="BA42" s="704">
        <f t="shared" si="21"/>
        <v>0.52664990624804964</v>
      </c>
      <c r="BB42" s="704">
        <f t="shared" si="22"/>
        <v>0.31636425927095591</v>
      </c>
      <c r="BC42" s="704">
        <f t="shared" si="23"/>
        <v>0.28529186553278296</v>
      </c>
      <c r="BD42" s="704">
        <f t="shared" si="24"/>
        <v>0.32078515061746327</v>
      </c>
      <c r="BE42" s="704">
        <f t="shared" si="25"/>
        <v>0.49672447592790525</v>
      </c>
    </row>
    <row r="43" spans="1:57" hidden="1" outlineLevel="2">
      <c r="A43" s="1785" t="str">
        <f>+A35</f>
        <v>Bushuila</v>
      </c>
      <c r="B43" s="530"/>
      <c r="C43" s="530"/>
      <c r="D43" s="530"/>
      <c r="E43" s="530"/>
      <c r="F43" s="530"/>
      <c r="G43" s="530"/>
      <c r="H43" s="530"/>
      <c r="I43" s="530">
        <f t="shared" ref="I43:M45" si="27">I7/H7-1</f>
        <v>2.8037000000000001</v>
      </c>
      <c r="J43" s="530">
        <f t="shared" si="27"/>
        <v>1.21</v>
      </c>
      <c r="K43" s="530">
        <f t="shared" si="27"/>
        <v>0.35999999999999988</v>
      </c>
      <c r="L43" s="530">
        <f t="shared" si="27"/>
        <v>0.26500000000000012</v>
      </c>
      <c r="M43" s="530" t="e">
        <f t="shared" si="27"/>
        <v>#REF!</v>
      </c>
      <c r="N43" s="535"/>
      <c r="O43" s="541"/>
      <c r="P43" s="541"/>
      <c r="Q43" s="541"/>
      <c r="R43" s="541"/>
      <c r="S43" s="541"/>
      <c r="T43" s="522"/>
      <c r="U43" s="530"/>
      <c r="V43" s="530"/>
      <c r="W43" s="530"/>
      <c r="X43" s="530"/>
      <c r="Y43" s="530"/>
      <c r="Z43" s="530"/>
      <c r="AA43" s="530"/>
      <c r="AB43" s="530"/>
      <c r="AC43" s="543"/>
      <c r="AD43" s="651"/>
      <c r="AE43" s="651"/>
      <c r="AF43" s="651"/>
      <c r="AG43" s="651"/>
      <c r="AH43" s="651"/>
      <c r="AX43" s="704">
        <f t="shared" ref="AX43:AZ44" si="28">AX7/AT7-1</f>
        <v>2.6145987947986042</v>
      </c>
      <c r="AY43" s="704">
        <f t="shared" si="28"/>
        <v>1.9004787208057623</v>
      </c>
      <c r="AZ43" s="704">
        <f t="shared" si="28"/>
        <v>0.83805221123745688</v>
      </c>
      <c r="BA43" s="704">
        <f t="shared" si="21"/>
        <v>0.61839046471932613</v>
      </c>
      <c r="BB43" s="704">
        <f t="shared" si="22"/>
        <v>0.35000000000000009</v>
      </c>
      <c r="BC43" s="704">
        <f t="shared" si="23"/>
        <v>0.34000000000000008</v>
      </c>
      <c r="BD43" s="704">
        <f t="shared" si="24"/>
        <v>0.32000000000000006</v>
      </c>
      <c r="BE43" s="704">
        <f t="shared" si="25"/>
        <v>0.53129435550130832</v>
      </c>
    </row>
    <row r="44" spans="1:57" hidden="1" outlineLevel="2">
      <c r="A44" s="1786" t="s">
        <v>207</v>
      </c>
      <c r="B44" s="590"/>
      <c r="C44" s="590"/>
      <c r="D44" s="590"/>
      <c r="E44" s="590"/>
      <c r="F44" s="590"/>
      <c r="G44" s="590"/>
      <c r="H44" s="590"/>
      <c r="I44" s="590">
        <f t="shared" si="27"/>
        <v>0.96221851450312412</v>
      </c>
      <c r="J44" s="590">
        <f t="shared" si="27"/>
        <v>0.6887252455024182</v>
      </c>
      <c r="K44" s="590">
        <f t="shared" si="27"/>
        <v>0.2915633791283867</v>
      </c>
      <c r="L44" s="590">
        <f t="shared" si="27"/>
        <v>0.25746620246694674</v>
      </c>
      <c r="M44" s="590" t="e">
        <f t="shared" si="27"/>
        <v>#REF!</v>
      </c>
      <c r="N44" s="535"/>
      <c r="O44" s="541"/>
      <c r="P44" s="541"/>
      <c r="Q44" s="541"/>
      <c r="R44" s="541"/>
      <c r="S44" s="541"/>
      <c r="T44" s="522"/>
      <c r="U44" s="590"/>
      <c r="V44" s="590"/>
      <c r="W44" s="590"/>
      <c r="X44" s="590"/>
      <c r="Y44" s="590"/>
      <c r="Z44" s="590"/>
      <c r="AA44" s="590"/>
      <c r="AB44" s="590"/>
      <c r="AC44" s="543"/>
      <c r="AD44" s="651"/>
      <c r="AE44" s="651"/>
      <c r="AF44" s="651"/>
      <c r="AG44" s="651"/>
      <c r="AH44" s="651"/>
      <c r="AX44" s="704">
        <f t="shared" si="28"/>
        <v>0.7261532807315858</v>
      </c>
      <c r="AY44" s="704">
        <f t="shared" si="28"/>
        <v>0.61776185247760451</v>
      </c>
      <c r="AZ44" s="704">
        <f t="shared" si="28"/>
        <v>0.95625403708449475</v>
      </c>
      <c r="BA44" s="704">
        <f t="shared" si="21"/>
        <v>0.40654569707585364</v>
      </c>
      <c r="BB44" s="704">
        <f t="shared" si="22"/>
        <v>0.26522445275001205</v>
      </c>
      <c r="BC44" s="704">
        <f t="shared" si="23"/>
        <v>0.1848156971891517</v>
      </c>
      <c r="BD44" s="704">
        <f t="shared" si="24"/>
        <v>0.32272862397569124</v>
      </c>
      <c r="BE44" s="704">
        <f t="shared" si="25"/>
        <v>0.44465008733971656</v>
      </c>
    </row>
    <row r="45" spans="1:57" ht="15" hidden="1" outlineLevel="1">
      <c r="A45" s="860" t="s">
        <v>827</v>
      </c>
      <c r="B45" s="801"/>
      <c r="C45" s="801">
        <f t="shared" ref="C45:H45" si="29">C9/B9-1</f>
        <v>6.8122892568400095E-2</v>
      </c>
      <c r="D45" s="801">
        <f t="shared" si="29"/>
        <v>0.38557320136996509</v>
      </c>
      <c r="E45" s="801">
        <f t="shared" si="29"/>
        <v>0.17814742460888033</v>
      </c>
      <c r="F45" s="801">
        <f t="shared" si="29"/>
        <v>0.40724388206478346</v>
      </c>
      <c r="G45" s="801">
        <f t="shared" si="29"/>
        <v>0.21891747198959233</v>
      </c>
      <c r="H45" s="801">
        <f t="shared" si="29"/>
        <v>0.32419494463634702</v>
      </c>
      <c r="I45" s="801">
        <f t="shared" si="27"/>
        <v>0.40629862458102206</v>
      </c>
      <c r="J45" s="801">
        <f t="shared" si="27"/>
        <v>0.32534294349569493</v>
      </c>
      <c r="K45" s="801">
        <f t="shared" si="27"/>
        <v>0.2101570488187654</v>
      </c>
      <c r="L45" s="801">
        <f t="shared" si="27"/>
        <v>0.17275086761500336</v>
      </c>
      <c r="M45" s="801" t="e">
        <f t="shared" si="27"/>
        <v>#REF!</v>
      </c>
      <c r="N45" s="547"/>
      <c r="O45" s="548"/>
      <c r="P45" s="548"/>
      <c r="Q45" s="548"/>
      <c r="R45" s="548"/>
      <c r="S45" s="548"/>
      <c r="T45" s="545"/>
      <c r="U45" s="538"/>
      <c r="V45" s="538"/>
      <c r="W45" s="538"/>
      <c r="X45" s="538"/>
      <c r="Y45" s="538"/>
      <c r="Z45" s="538"/>
      <c r="AA45" s="538"/>
      <c r="AB45" s="538"/>
      <c r="AC45" s="545"/>
      <c r="AX45" s="2018">
        <f t="shared" ref="AX45" si="30">AX9/AT9-1</f>
        <v>0.39225678798014152</v>
      </c>
      <c r="AY45" s="2018">
        <f t="shared" ref="AY45" si="31">AY9/AU9-1</f>
        <v>0.3410146008430619</v>
      </c>
      <c r="AZ45" s="2018">
        <f t="shared" ref="AZ45" si="32">AZ9/AV9-1</f>
        <v>0.30359622508590234</v>
      </c>
      <c r="BA45" s="2018">
        <f t="shared" si="21"/>
        <v>0.26439679571401631</v>
      </c>
      <c r="BB45" s="2018">
        <f t="shared" si="22"/>
        <v>0.22999999999999998</v>
      </c>
      <c r="BC45" s="2018">
        <f t="shared" si="23"/>
        <v>0.21999999999999997</v>
      </c>
      <c r="BD45" s="2018">
        <f t="shared" si="24"/>
        <v>0.22999999999999998</v>
      </c>
      <c r="BE45" s="2018">
        <f t="shared" si="25"/>
        <v>0.14377511032349433</v>
      </c>
    </row>
    <row r="46" spans="1:57" hidden="1" outlineLevel="2">
      <c r="A46" s="543"/>
      <c r="B46" s="549"/>
      <c r="C46" s="549"/>
      <c r="D46" s="549"/>
      <c r="E46" s="549"/>
      <c r="F46" s="549"/>
      <c r="G46" s="549"/>
      <c r="H46" s="549"/>
      <c r="I46" s="549"/>
      <c r="J46" s="549"/>
      <c r="K46" s="549"/>
      <c r="L46" s="549"/>
      <c r="M46" s="549"/>
      <c r="N46" s="549"/>
      <c r="O46" s="541"/>
      <c r="P46" s="541"/>
      <c r="Q46" s="541"/>
      <c r="R46" s="541"/>
      <c r="S46" s="541"/>
      <c r="T46" s="543"/>
      <c r="U46" s="549"/>
      <c r="V46" s="549"/>
      <c r="W46" s="549"/>
      <c r="X46" s="549"/>
      <c r="Y46" s="549"/>
      <c r="Z46" s="549"/>
      <c r="AA46" s="549"/>
      <c r="AB46" s="549"/>
      <c r="AC46" s="543"/>
    </row>
    <row r="47" spans="1:57" hidden="1" outlineLevel="2">
      <c r="A47" s="545" t="s">
        <v>996</v>
      </c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41"/>
      <c r="P47" s="541"/>
      <c r="Q47" s="541"/>
      <c r="R47" s="541"/>
      <c r="S47" s="541"/>
      <c r="T47" s="545"/>
      <c r="U47" s="549"/>
      <c r="V47" s="549"/>
      <c r="W47" s="549"/>
      <c r="X47" s="549"/>
      <c r="Y47" s="549"/>
      <c r="Z47" s="549"/>
      <c r="AA47" s="549"/>
      <c r="AB47" s="549"/>
      <c r="AC47" s="543"/>
    </row>
    <row r="48" spans="1:57" hidden="1" outlineLevel="2">
      <c r="A48" s="518" t="str">
        <f>+A41</f>
        <v>Energy drinks</v>
      </c>
      <c r="B48" s="530"/>
      <c r="C48" s="530"/>
      <c r="D48" s="530">
        <f t="shared" ref="D48:M48" si="33">D12/C12-1</f>
        <v>0.41409490514300451</v>
      </c>
      <c r="E48" s="530">
        <f t="shared" si="33"/>
        <v>0.15472837495938907</v>
      </c>
      <c r="F48" s="530">
        <f t="shared" si="33"/>
        <v>0.34103595955759802</v>
      </c>
      <c r="G48" s="530">
        <f t="shared" si="33"/>
        <v>0.16375823481011587</v>
      </c>
      <c r="H48" s="530">
        <f t="shared" si="33"/>
        <v>0.32501304419391497</v>
      </c>
      <c r="I48" s="530">
        <f t="shared" si="33"/>
        <v>0.36896111094522088</v>
      </c>
      <c r="J48" s="530">
        <f t="shared" si="33"/>
        <v>0.2639456160173721</v>
      </c>
      <c r="K48" s="530">
        <f t="shared" si="33"/>
        <v>0.19825525575991487</v>
      </c>
      <c r="L48" s="530">
        <f t="shared" si="33"/>
        <v>0.14000000000000012</v>
      </c>
      <c r="M48" s="530" t="e">
        <f t="shared" si="33"/>
        <v>#REF!</v>
      </c>
      <c r="N48" s="535"/>
      <c r="O48" s="541"/>
      <c r="P48" s="541"/>
      <c r="Q48" s="541"/>
      <c r="R48" s="541"/>
      <c r="S48" s="541"/>
      <c r="T48" s="522"/>
      <c r="U48" s="530"/>
      <c r="V48" s="530"/>
      <c r="W48" s="530"/>
      <c r="X48" s="530"/>
      <c r="Y48" s="530"/>
      <c r="Z48" s="530"/>
      <c r="AA48" s="530"/>
      <c r="AB48" s="530"/>
      <c r="AC48" s="543"/>
    </row>
    <row r="49" spans="1:57" hidden="1" outlineLevel="2">
      <c r="A49" s="518" t="str">
        <f>+A42</f>
        <v>Other beverage</v>
      </c>
      <c r="B49" s="530"/>
      <c r="C49" s="530"/>
      <c r="D49" s="530">
        <f t="shared" ref="D49:M49" si="34">D13/C13-1</f>
        <v>1.576845733984491</v>
      </c>
      <c r="E49" s="530">
        <f t="shared" si="34"/>
        <v>-3.4828316610925327</v>
      </c>
      <c r="F49" s="530">
        <f t="shared" si="34"/>
        <v>1.1711477675003357</v>
      </c>
      <c r="G49" s="530">
        <f t="shared" si="34"/>
        <v>0.1260670569446507</v>
      </c>
      <c r="H49" s="530">
        <f t="shared" si="34"/>
        <v>1.8972880719857641</v>
      </c>
      <c r="I49" s="530">
        <f t="shared" si="34"/>
        <v>3.2601609004811332</v>
      </c>
      <c r="J49" s="530">
        <f t="shared" si="34"/>
        <v>0.94161321869722481</v>
      </c>
      <c r="K49" s="530">
        <f t="shared" si="34"/>
        <v>0.47145225944038383</v>
      </c>
      <c r="L49" s="530">
        <f t="shared" si="34"/>
        <v>0.3876236242860609</v>
      </c>
      <c r="M49" s="530" t="e">
        <f t="shared" si="34"/>
        <v>#REF!</v>
      </c>
      <c r="N49" s="535"/>
      <c r="O49" s="541"/>
      <c r="P49" s="541"/>
      <c r="Q49" s="541"/>
      <c r="R49" s="541"/>
      <c r="S49" s="541"/>
      <c r="T49" s="522"/>
      <c r="U49" s="530"/>
      <c r="V49" s="530"/>
      <c r="W49" s="530"/>
      <c r="X49" s="530"/>
      <c r="Y49" s="530"/>
      <c r="Z49" s="530"/>
      <c r="AA49" s="530"/>
      <c r="AB49" s="530"/>
      <c r="AC49" s="543"/>
    </row>
    <row r="50" spans="1:57" hidden="1" outlineLevel="2">
      <c r="A50" s="518" t="str">
        <f>+A43</f>
        <v>Bushuila</v>
      </c>
      <c r="B50" s="530"/>
      <c r="C50" s="530"/>
      <c r="D50" s="530">
        <f t="shared" ref="D50:M50" si="35">D15/C15-1</f>
        <v>-4.0447066128531572</v>
      </c>
      <c r="E50" s="530">
        <f t="shared" si="35"/>
        <v>1.2151524421331739</v>
      </c>
      <c r="F50" s="530">
        <f t="shared" si="35"/>
        <v>-1</v>
      </c>
      <c r="G50" s="530" t="e">
        <f t="shared" si="35"/>
        <v>#DIV/0!</v>
      </c>
      <c r="H50" s="530" t="e">
        <f t="shared" si="35"/>
        <v>#DIV/0!</v>
      </c>
      <c r="I50" s="530" t="e">
        <f t="shared" si="35"/>
        <v>#DIV/0!</v>
      </c>
      <c r="J50" s="530" t="e">
        <f t="shared" si="35"/>
        <v>#DIV/0!</v>
      </c>
      <c r="K50" s="530" t="e">
        <f t="shared" si="35"/>
        <v>#DIV/0!</v>
      </c>
      <c r="L50" s="530" t="e">
        <f t="shared" si="35"/>
        <v>#DIV/0!</v>
      </c>
      <c r="M50" s="530" t="e">
        <f t="shared" si="35"/>
        <v>#REF!</v>
      </c>
      <c r="N50" s="535"/>
      <c r="O50" s="541"/>
      <c r="P50" s="541"/>
      <c r="Q50" s="541"/>
      <c r="R50" s="541"/>
      <c r="S50" s="541"/>
      <c r="T50" s="522"/>
      <c r="U50" s="530"/>
      <c r="V50" s="530"/>
      <c r="W50" s="530"/>
      <c r="X50" s="530"/>
      <c r="Y50" s="530"/>
      <c r="Z50" s="530"/>
      <c r="AA50" s="530"/>
      <c r="AB50" s="530"/>
      <c r="AC50" s="543"/>
    </row>
    <row r="51" spans="1:57" hidden="1" outlineLevel="2">
      <c r="A51" s="799" t="s">
        <v>207</v>
      </c>
      <c r="B51" s="590"/>
      <c r="C51" s="590"/>
      <c r="D51" s="590">
        <f t="shared" ref="D51:M51" si="36">D17/C17-1</f>
        <v>0.13614711433393922</v>
      </c>
      <c r="E51" s="590">
        <f t="shared" si="36"/>
        <v>0.62933070117814194</v>
      </c>
      <c r="F51" s="590">
        <f t="shared" si="36"/>
        <v>-0.57245323238879953</v>
      </c>
      <c r="G51" s="590">
        <f t="shared" si="36"/>
        <v>5.8779963065518359E-3</v>
      </c>
      <c r="H51" s="590">
        <f t="shared" si="36"/>
        <v>-0.12429976226731998</v>
      </c>
      <c r="I51" s="590">
        <f t="shared" si="36"/>
        <v>0.38812831512136903</v>
      </c>
      <c r="J51" s="590">
        <f t="shared" si="36"/>
        <v>0.38812831512136858</v>
      </c>
      <c r="K51" s="590">
        <f t="shared" si="36"/>
        <v>0.38812831512136903</v>
      </c>
      <c r="L51" s="590">
        <f t="shared" si="36"/>
        <v>0.38812831512136881</v>
      </c>
      <c r="M51" s="590" t="e">
        <f t="shared" si="36"/>
        <v>#REF!</v>
      </c>
      <c r="N51" s="535"/>
      <c r="O51" s="541"/>
      <c r="P51" s="541"/>
      <c r="Q51" s="541"/>
      <c r="R51" s="541"/>
      <c r="S51" s="541"/>
      <c r="T51" s="522"/>
      <c r="U51" s="590"/>
      <c r="V51" s="590"/>
      <c r="W51" s="590"/>
      <c r="X51" s="590"/>
      <c r="Y51" s="590"/>
      <c r="Z51" s="590"/>
      <c r="AA51" s="590"/>
      <c r="AB51" s="590"/>
      <c r="AC51" s="543"/>
    </row>
    <row r="52" spans="1:57" hidden="1" outlineLevel="2">
      <c r="A52" s="860" t="s">
        <v>827</v>
      </c>
      <c r="B52" s="801"/>
      <c r="C52" s="801">
        <f>C18/B18-1</f>
        <v>2.4567675259580701E-2</v>
      </c>
      <c r="D52" s="801">
        <f t="shared" ref="D52:M52" si="37">D18/C18-1</f>
        <v>0.4087357683911601</v>
      </c>
      <c r="E52" s="801">
        <f t="shared" si="37"/>
        <v>0.17470476984796113</v>
      </c>
      <c r="F52" s="801">
        <f t="shared" si="37"/>
        <v>0.33999127120638239</v>
      </c>
      <c r="G52" s="801">
        <f t="shared" si="37"/>
        <v>0.16267080187934657</v>
      </c>
      <c r="H52" s="801">
        <f t="shared" si="37"/>
        <v>0.34756577958461898</v>
      </c>
      <c r="I52" s="801">
        <f t="shared" si="37"/>
        <v>0.46301495170265716</v>
      </c>
      <c r="J52" s="801">
        <f t="shared" si="37"/>
        <v>0.3283253672268458</v>
      </c>
      <c r="K52" s="801">
        <f t="shared" si="37"/>
        <v>0.23640366401657587</v>
      </c>
      <c r="L52" s="801">
        <f t="shared" si="37"/>
        <v>0.18128072528025885</v>
      </c>
      <c r="M52" s="801" t="e">
        <f t="shared" si="37"/>
        <v>#REF!</v>
      </c>
      <c r="N52" s="539"/>
      <c r="O52" s="541"/>
      <c r="P52" s="541"/>
      <c r="Q52" s="541"/>
      <c r="R52" s="541"/>
      <c r="S52" s="541"/>
      <c r="T52" s="543"/>
      <c r="U52" s="538"/>
      <c r="V52" s="538"/>
      <c r="W52" s="538"/>
      <c r="X52" s="538"/>
      <c r="Y52" s="538"/>
      <c r="Z52" s="538"/>
      <c r="AA52" s="538"/>
      <c r="AB52" s="538"/>
      <c r="AC52" s="543"/>
    </row>
    <row r="53" spans="1:57" hidden="1" outlineLevel="1">
      <c r="A53" s="543"/>
      <c r="B53" s="549"/>
      <c r="C53" s="549"/>
      <c r="D53" s="549"/>
      <c r="E53" s="549"/>
      <c r="F53" s="549"/>
      <c r="G53" s="549"/>
      <c r="H53" s="549"/>
      <c r="I53" s="549"/>
      <c r="J53" s="549"/>
      <c r="K53" s="549"/>
      <c r="L53" s="549"/>
      <c r="M53" s="549"/>
      <c r="N53" s="549"/>
      <c r="O53" s="544"/>
      <c r="P53" s="544"/>
      <c r="Q53" s="544"/>
      <c r="R53" s="544"/>
      <c r="S53" s="544"/>
      <c r="T53" s="543"/>
      <c r="U53" s="549"/>
      <c r="V53" s="549"/>
      <c r="W53" s="549"/>
      <c r="X53" s="549"/>
      <c r="Y53" s="549"/>
      <c r="Z53" s="549"/>
      <c r="AA53" s="549"/>
      <c r="AB53" s="549"/>
      <c r="AC53" s="543"/>
    </row>
    <row r="54" spans="1:57" hidden="1" outlineLevel="1">
      <c r="A54" s="1074" t="s">
        <v>1099</v>
      </c>
      <c r="B54" s="1075" t="s">
        <v>1025</v>
      </c>
      <c r="C54" s="1075" t="str">
        <f t="shared" ref="C54:J54" si="38">+C39</f>
        <v>FY18</v>
      </c>
      <c r="D54" s="1075" t="str">
        <f t="shared" si="38"/>
        <v>FY19</v>
      </c>
      <c r="E54" s="1075" t="str">
        <f t="shared" si="38"/>
        <v>FY20</v>
      </c>
      <c r="F54" s="1075" t="str">
        <f t="shared" si="38"/>
        <v>FY21</v>
      </c>
      <c r="G54" s="1075" t="str">
        <f t="shared" si="38"/>
        <v>FY22</v>
      </c>
      <c r="H54" s="1075" t="str">
        <f t="shared" si="38"/>
        <v>FY23</v>
      </c>
      <c r="I54" s="1075" t="str">
        <f>+I39</f>
        <v>FY24</v>
      </c>
      <c r="J54" s="1075" t="str">
        <f t="shared" si="38"/>
        <v>FY25E</v>
      </c>
      <c r="K54" s="1075" t="str">
        <f>+K39</f>
        <v>FY26E</v>
      </c>
      <c r="L54" s="1075" t="str">
        <f>+L39</f>
        <v>FY27E</v>
      </c>
      <c r="M54" s="1075" t="str">
        <f>+M39</f>
        <v>FY28E</v>
      </c>
      <c r="N54" s="515"/>
      <c r="O54" s="1079"/>
      <c r="P54" s="1079"/>
      <c r="Q54" s="1079"/>
      <c r="R54" s="1079"/>
      <c r="S54" s="1079"/>
      <c r="T54" s="516"/>
      <c r="U54" s="1078" t="str">
        <f t="shared" ref="U54:AB54" si="39">U39</f>
        <v>1H20</v>
      </c>
      <c r="V54" s="1078" t="str">
        <f t="shared" si="39"/>
        <v>2H20</v>
      </c>
      <c r="W54" s="1078" t="str">
        <f t="shared" si="39"/>
        <v>1H21</v>
      </c>
      <c r="X54" s="1078" t="str">
        <f t="shared" si="39"/>
        <v>2H21</v>
      </c>
      <c r="Y54" s="1078" t="str">
        <f t="shared" si="39"/>
        <v>1H22</v>
      </c>
      <c r="Z54" s="1078" t="str">
        <f t="shared" si="39"/>
        <v>2H22</v>
      </c>
      <c r="AA54" s="1078" t="str">
        <f t="shared" si="39"/>
        <v>1H23</v>
      </c>
      <c r="AB54" s="1078" t="str">
        <f t="shared" si="39"/>
        <v>2H23</v>
      </c>
      <c r="AC54" s="523"/>
      <c r="AD54" s="1075" t="str">
        <f t="shared" ref="AD54:AK54" si="40">+AD39</f>
        <v>1Q20</v>
      </c>
      <c r="AE54" s="1075" t="str">
        <f t="shared" si="40"/>
        <v>2Q20</v>
      </c>
      <c r="AF54" s="1075" t="str">
        <f t="shared" si="40"/>
        <v>3Q20</v>
      </c>
      <c r="AG54" s="1075" t="str">
        <f t="shared" si="40"/>
        <v>4Q20</v>
      </c>
      <c r="AH54" s="1075" t="str">
        <f t="shared" si="40"/>
        <v>1Q21</v>
      </c>
      <c r="AI54" s="1075" t="str">
        <f t="shared" si="40"/>
        <v>2Q21</v>
      </c>
      <c r="AJ54" s="1075" t="str">
        <f t="shared" si="40"/>
        <v>3Q21</v>
      </c>
      <c r="AK54" s="1075" t="str">
        <f t="shared" si="40"/>
        <v>4Q21</v>
      </c>
      <c r="AL54" s="1075" t="str">
        <f t="shared" ref="AL54:AS54" si="41">+AL39</f>
        <v>1Q22</v>
      </c>
      <c r="AM54" s="1075" t="str">
        <f t="shared" si="41"/>
        <v>2Q22</v>
      </c>
      <c r="AN54" s="1075" t="str">
        <f t="shared" si="41"/>
        <v>3Q22</v>
      </c>
      <c r="AO54" s="1075" t="str">
        <f t="shared" si="41"/>
        <v>4Q22</v>
      </c>
      <c r="AP54" s="1075" t="str">
        <f t="shared" si="41"/>
        <v>1Q23</v>
      </c>
      <c r="AQ54" s="1075" t="str">
        <f t="shared" si="41"/>
        <v>2Q23</v>
      </c>
      <c r="AR54" s="1075" t="str">
        <f t="shared" si="41"/>
        <v>3Q23</v>
      </c>
      <c r="AS54" s="1075" t="str">
        <f t="shared" si="41"/>
        <v>4Q23</v>
      </c>
      <c r="AT54" s="1075" t="str">
        <f t="shared" ref="AT54:BE54" si="42">+AT39</f>
        <v>1Q24</v>
      </c>
      <c r="AU54" s="1075" t="str">
        <f t="shared" si="42"/>
        <v>2Q24</v>
      </c>
      <c r="AV54" s="1075" t="str">
        <f t="shared" si="42"/>
        <v>3Q24</v>
      </c>
      <c r="AW54" s="1075" t="str">
        <f t="shared" si="42"/>
        <v>4Q24</v>
      </c>
      <c r="AX54" s="1075" t="str">
        <f t="shared" si="42"/>
        <v>1Q25</v>
      </c>
      <c r="AY54" s="1075" t="str">
        <f t="shared" si="42"/>
        <v>2Q25E</v>
      </c>
      <c r="AZ54" s="1075" t="str">
        <f t="shared" si="42"/>
        <v>3Q25E</v>
      </c>
      <c r="BA54" s="1075" t="str">
        <f t="shared" si="42"/>
        <v>4Q25E</v>
      </c>
      <c r="BB54" s="1075" t="str">
        <f t="shared" si="42"/>
        <v>1Q26E</v>
      </c>
      <c r="BC54" s="1075" t="str">
        <f t="shared" si="42"/>
        <v>2Q26E</v>
      </c>
      <c r="BD54" s="1075" t="str">
        <f t="shared" si="42"/>
        <v>3Q26E</v>
      </c>
      <c r="BE54" s="1075" t="str">
        <f t="shared" si="42"/>
        <v>4Q26E</v>
      </c>
    </row>
    <row r="55" spans="1:57" hidden="1" outlineLevel="1">
      <c r="A55" s="516" t="s">
        <v>1098</v>
      </c>
      <c r="B55" s="534"/>
      <c r="C55" s="534"/>
      <c r="D55" s="534"/>
      <c r="E55" s="534"/>
      <c r="F55" s="534"/>
      <c r="G55" s="534"/>
      <c r="H55" s="534"/>
      <c r="I55" s="534"/>
      <c r="J55" s="534"/>
      <c r="K55" s="534"/>
      <c r="L55" s="534"/>
      <c r="M55" s="534"/>
      <c r="N55" s="534"/>
      <c r="O55" s="524"/>
      <c r="P55" s="524"/>
      <c r="Q55" s="524"/>
      <c r="R55" s="524"/>
      <c r="S55" s="524"/>
      <c r="T55" s="516"/>
      <c r="U55" s="534"/>
      <c r="V55" s="534"/>
      <c r="W55" s="534"/>
      <c r="X55" s="534"/>
      <c r="Y55" s="534"/>
      <c r="Z55" s="534"/>
      <c r="AA55" s="534"/>
      <c r="AB55" s="534"/>
      <c r="AC55" s="523"/>
    </row>
    <row r="56" spans="1:57" hidden="1" outlineLevel="1">
      <c r="A56" s="550" t="str">
        <f>+A48</f>
        <v>Energy drinks</v>
      </c>
      <c r="B56" s="546"/>
      <c r="C56" s="546">
        <f t="shared" ref="C56:M56" si="43">C12/C5</f>
        <v>0.48082349484946629</v>
      </c>
      <c r="D56" s="546">
        <f t="shared" si="43"/>
        <v>0.49011272834418834</v>
      </c>
      <c r="E56" s="546">
        <f t="shared" si="43"/>
        <v>0.48666563927490419</v>
      </c>
      <c r="F56" s="546">
        <f t="shared" si="43"/>
        <v>0.46088722574050672</v>
      </c>
      <c r="G56" s="546">
        <f t="shared" si="43"/>
        <v>0.43263658824044338</v>
      </c>
      <c r="H56" s="546">
        <f t="shared" si="43"/>
        <v>0.45324725631711432</v>
      </c>
      <c r="I56" s="546">
        <f t="shared" si="43"/>
        <v>0.48207044690349776</v>
      </c>
      <c r="J56" s="546">
        <f t="shared" si="43"/>
        <v>0.50864915934152377</v>
      </c>
      <c r="K56" s="546">
        <f t="shared" si="43"/>
        <v>0.52093293035798571</v>
      </c>
      <c r="L56" s="546">
        <f t="shared" si="43"/>
        <v>0.52093293035798571</v>
      </c>
      <c r="M56" s="546" t="e">
        <f t="shared" si="43"/>
        <v>#REF!</v>
      </c>
      <c r="N56" s="547"/>
      <c r="O56" s="524"/>
      <c r="P56" s="524"/>
      <c r="Q56" s="524"/>
      <c r="R56" s="524"/>
      <c r="S56" s="524"/>
      <c r="T56" s="522"/>
      <c r="U56" s="546"/>
      <c r="V56" s="546"/>
      <c r="W56" s="546"/>
      <c r="X56" s="546"/>
      <c r="Y56" s="546"/>
      <c r="Z56" s="546"/>
      <c r="AA56" s="546"/>
      <c r="AB56" s="546"/>
      <c r="AC56" s="523"/>
    </row>
    <row r="57" spans="1:57" hidden="1" outlineLevel="1">
      <c r="A57" s="550" t="str">
        <f>+A49</f>
        <v>Other beverage</v>
      </c>
      <c r="B57" s="546"/>
      <c r="C57" s="546">
        <f t="shared" ref="C57:M57" si="44">C13/C6</f>
        <v>-2.5655822825206492E-2</v>
      </c>
      <c r="D57" s="546">
        <f t="shared" si="44"/>
        <v>-4.7516432103944968E-2</v>
      </c>
      <c r="E57" s="546">
        <f t="shared" si="44"/>
        <v>7.9394872112974565E-2</v>
      </c>
      <c r="F57" s="546">
        <f t="shared" si="44"/>
        <v>0.13000050815787906</v>
      </c>
      <c r="G57" s="546">
        <f t="shared" si="44"/>
        <v>0.1706741120683864</v>
      </c>
      <c r="H57" s="546">
        <f t="shared" si="44"/>
        <v>0.17250953170088706</v>
      </c>
      <c r="I57" s="546">
        <f t="shared" si="44"/>
        <v>0.26688507607531325</v>
      </c>
      <c r="J57" s="546">
        <f t="shared" si="44"/>
        <v>0.25932719026165674</v>
      </c>
      <c r="K57" s="546">
        <f t="shared" si="44"/>
        <v>0.2855125926261437</v>
      </c>
      <c r="L57" s="546">
        <f t="shared" si="44"/>
        <v>0.31380912361124691</v>
      </c>
      <c r="M57" s="546" t="e">
        <f t="shared" si="44"/>
        <v>#REF!</v>
      </c>
      <c r="N57" s="547"/>
      <c r="O57" s="524"/>
      <c r="P57" s="524"/>
      <c r="Q57" s="524"/>
      <c r="R57" s="524"/>
      <c r="S57" s="524"/>
      <c r="T57" s="522"/>
      <c r="U57" s="546"/>
      <c r="V57" s="546"/>
      <c r="W57" s="546"/>
      <c r="X57" s="546"/>
      <c r="Y57" s="546"/>
      <c r="Z57" s="546"/>
      <c r="AA57" s="546"/>
      <c r="AB57" s="546"/>
      <c r="AC57" s="523"/>
    </row>
    <row r="58" spans="1:57" hidden="1" outlineLevel="2">
      <c r="A58" s="1776" t="str">
        <f>+A50</f>
        <v>Bushuila</v>
      </c>
      <c r="B58" s="546"/>
      <c r="C58" s="546"/>
      <c r="D58" s="546"/>
      <c r="E58" s="546"/>
      <c r="F58" s="546"/>
      <c r="G58" s="546"/>
      <c r="H58" s="546">
        <f t="shared" ref="H58:M58" si="45">H14/H7</f>
        <v>0.26469296923373109</v>
      </c>
      <c r="I58" s="546">
        <f t="shared" si="45"/>
        <v>0.29715032666614072</v>
      </c>
      <c r="J58" s="546">
        <f t="shared" si="45"/>
        <v>0.32200000000000001</v>
      </c>
      <c r="K58" s="546">
        <f t="shared" si="45"/>
        <v>0.34400000000000003</v>
      </c>
      <c r="L58" s="546">
        <f t="shared" si="45"/>
        <v>0.36400000000000005</v>
      </c>
      <c r="M58" s="546" t="e">
        <f t="shared" si="45"/>
        <v>#REF!</v>
      </c>
      <c r="N58" s="547"/>
      <c r="O58" s="524"/>
      <c r="P58" s="524"/>
      <c r="Q58" s="524"/>
      <c r="R58" s="524"/>
      <c r="S58" s="524"/>
      <c r="T58" s="522"/>
      <c r="U58" s="546"/>
      <c r="V58" s="546"/>
      <c r="W58" s="546"/>
      <c r="X58" s="546"/>
      <c r="Y58" s="546"/>
      <c r="Z58" s="546"/>
      <c r="AA58" s="546"/>
      <c r="AB58" s="546"/>
      <c r="AC58" s="523"/>
    </row>
    <row r="59" spans="1:57" hidden="1" outlineLevel="2">
      <c r="A59" s="1776" t="s">
        <v>207</v>
      </c>
      <c r="B59" s="589"/>
      <c r="C59" s="589"/>
      <c r="D59" s="589"/>
      <c r="E59" s="589"/>
      <c r="F59" s="589"/>
      <c r="G59" s="589"/>
      <c r="H59" s="589">
        <f t="shared" ref="H59:M59" si="46">H16/H8</f>
        <v>0.12091179980257435</v>
      </c>
      <c r="I59" s="589">
        <f t="shared" si="46"/>
        <v>0.22266255012439654</v>
      </c>
      <c r="J59" s="589">
        <f t="shared" si="46"/>
        <v>0.13948445450971089</v>
      </c>
      <c r="K59" s="589">
        <f t="shared" si="46"/>
        <v>0.16774708584487572</v>
      </c>
      <c r="L59" s="589">
        <f t="shared" si="46"/>
        <v>0.2121433620333916</v>
      </c>
      <c r="M59" s="589" t="e">
        <f t="shared" si="46"/>
        <v>#REF!</v>
      </c>
      <c r="N59" s="547"/>
      <c r="O59" s="524"/>
      <c r="P59" s="524"/>
      <c r="Q59" s="524"/>
      <c r="R59" s="524"/>
      <c r="S59" s="524"/>
      <c r="T59" s="522"/>
      <c r="U59" s="589"/>
      <c r="V59" s="589"/>
      <c r="W59" s="589"/>
      <c r="X59" s="589"/>
      <c r="Y59" s="589"/>
      <c r="Z59" s="589"/>
      <c r="AA59" s="589"/>
      <c r="AB59" s="589"/>
      <c r="AC59" s="523"/>
    </row>
    <row r="60" spans="1:57" hidden="1" outlineLevel="1">
      <c r="A60" s="570" t="s">
        <v>827</v>
      </c>
      <c r="B60" s="861">
        <f t="shared" ref="B60:M60" si="47">B18/B9</f>
        <v>0.47922116812684518</v>
      </c>
      <c r="C60" s="861">
        <f t="shared" si="47"/>
        <v>0.45967980049773188</v>
      </c>
      <c r="D60" s="861">
        <f t="shared" si="47"/>
        <v>0.46736424775522128</v>
      </c>
      <c r="E60" s="861">
        <f t="shared" si="47"/>
        <v>0.46599856658577676</v>
      </c>
      <c r="F60" s="861">
        <f t="shared" si="47"/>
        <v>0.44372835410975392</v>
      </c>
      <c r="G60" s="861">
        <f t="shared" si="47"/>
        <v>0.42325260991401664</v>
      </c>
      <c r="H60" s="861">
        <f t="shared" si="47"/>
        <v>0.4307226330611314</v>
      </c>
      <c r="I60" s="861">
        <f t="shared" si="47"/>
        <v>0.44809376983705279</v>
      </c>
      <c r="J60" s="861">
        <f t="shared" si="47"/>
        <v>0.44910211677057787</v>
      </c>
      <c r="K60" s="861">
        <f t="shared" si="47"/>
        <v>0.45884251406438797</v>
      </c>
      <c r="L60" s="861">
        <f t="shared" si="47"/>
        <v>0.46217984805732437</v>
      </c>
      <c r="M60" s="861" t="e">
        <f t="shared" si="47"/>
        <v>#REF!</v>
      </c>
      <c r="N60" s="552"/>
      <c r="O60" s="859"/>
      <c r="P60" s="859"/>
      <c r="Q60" s="859"/>
      <c r="R60" s="859"/>
      <c r="S60" s="859"/>
      <c r="T60" s="516"/>
      <c r="U60" s="551"/>
      <c r="V60" s="551"/>
      <c r="W60" s="551"/>
      <c r="X60" s="551"/>
      <c r="Y60" s="551"/>
      <c r="Z60" s="551"/>
      <c r="AA60" s="551"/>
      <c r="AB60" s="551"/>
      <c r="AC60" s="516"/>
    </row>
    <row r="61" spans="1:57" collapsed="1">
      <c r="A61" s="523"/>
      <c r="B61" s="534"/>
      <c r="C61" s="534"/>
      <c r="D61" s="534"/>
      <c r="E61" s="534"/>
      <c r="F61" s="534"/>
      <c r="G61" s="534"/>
      <c r="H61" s="534"/>
      <c r="I61" s="534"/>
      <c r="J61" s="534"/>
      <c r="K61" s="534"/>
      <c r="L61" s="534"/>
      <c r="M61" s="534"/>
      <c r="N61" s="534"/>
      <c r="O61" s="524"/>
      <c r="P61" s="524"/>
      <c r="Q61" s="524"/>
      <c r="R61" s="524"/>
      <c r="S61" s="524"/>
      <c r="T61" s="523"/>
      <c r="U61" s="534"/>
      <c r="V61" s="534"/>
      <c r="W61" s="534"/>
      <c r="X61" s="534"/>
      <c r="Y61" s="534"/>
      <c r="Z61" s="534"/>
      <c r="AA61" s="534"/>
      <c r="AB61" s="534"/>
      <c r="AC61" s="523"/>
    </row>
    <row r="62" spans="1:57" ht="25.5">
      <c r="A62" s="1053" t="s">
        <v>1001</v>
      </c>
      <c r="B62" s="1059" t="str">
        <f t="shared" ref="B62:M62" si="48">B54</f>
        <v>FY17</v>
      </c>
      <c r="C62" s="1059" t="str">
        <f t="shared" si="48"/>
        <v>FY18</v>
      </c>
      <c r="D62" s="1059" t="str">
        <f t="shared" si="48"/>
        <v>FY19</v>
      </c>
      <c r="E62" s="1059" t="str">
        <f t="shared" si="48"/>
        <v>FY20</v>
      </c>
      <c r="F62" s="1059" t="str">
        <f t="shared" si="48"/>
        <v>FY21</v>
      </c>
      <c r="G62" s="1059" t="str">
        <f t="shared" si="48"/>
        <v>FY22</v>
      </c>
      <c r="H62" s="1059" t="str">
        <f t="shared" si="48"/>
        <v>FY23</v>
      </c>
      <c r="I62" s="1059" t="str">
        <f t="shared" si="48"/>
        <v>FY24</v>
      </c>
      <c r="J62" s="1059" t="str">
        <f t="shared" si="48"/>
        <v>FY25E</v>
      </c>
      <c r="K62" s="1059" t="str">
        <f t="shared" si="48"/>
        <v>FY26E</v>
      </c>
      <c r="L62" s="1059" t="str">
        <f t="shared" si="48"/>
        <v>FY27E</v>
      </c>
      <c r="M62" s="1059" t="str">
        <f t="shared" si="48"/>
        <v>FY28E</v>
      </c>
      <c r="N62" s="553"/>
      <c r="O62" s="1055" t="s">
        <v>1681</v>
      </c>
      <c r="P62" s="1055" t="s">
        <v>1705</v>
      </c>
      <c r="Q62" s="1055" t="s">
        <v>1682</v>
      </c>
      <c r="R62" s="1055" t="s">
        <v>1683</v>
      </c>
      <c r="S62" s="1055" t="s">
        <v>1684</v>
      </c>
      <c r="T62" s="516"/>
      <c r="U62" s="1058" t="str">
        <f t="shared" ref="U62:AB62" si="49">U54</f>
        <v>1H20</v>
      </c>
      <c r="V62" s="1058" t="str">
        <f t="shared" si="49"/>
        <v>2H20</v>
      </c>
      <c r="W62" s="1058" t="str">
        <f t="shared" si="49"/>
        <v>1H21</v>
      </c>
      <c r="X62" s="1058" t="str">
        <f t="shared" si="49"/>
        <v>2H21</v>
      </c>
      <c r="Y62" s="1058" t="str">
        <f t="shared" si="49"/>
        <v>1H22</v>
      </c>
      <c r="Z62" s="1058" t="str">
        <f t="shared" si="49"/>
        <v>2H22</v>
      </c>
      <c r="AA62" s="1058" t="str">
        <f t="shared" si="49"/>
        <v>1H23</v>
      </c>
      <c r="AB62" s="1058" t="str">
        <f t="shared" si="49"/>
        <v>2H23</v>
      </c>
      <c r="AC62" s="545"/>
      <c r="AD62" s="1054" t="str">
        <f t="shared" ref="AD62:BE62" si="50">+AD54</f>
        <v>1Q20</v>
      </c>
      <c r="AE62" s="1054" t="str">
        <f t="shared" si="50"/>
        <v>2Q20</v>
      </c>
      <c r="AF62" s="1054" t="str">
        <f t="shared" si="50"/>
        <v>3Q20</v>
      </c>
      <c r="AG62" s="1054" t="str">
        <f t="shared" si="50"/>
        <v>4Q20</v>
      </c>
      <c r="AH62" s="1054" t="str">
        <f t="shared" si="50"/>
        <v>1Q21</v>
      </c>
      <c r="AI62" s="1054" t="str">
        <f t="shared" si="50"/>
        <v>2Q21</v>
      </c>
      <c r="AJ62" s="1054" t="str">
        <f t="shared" si="50"/>
        <v>3Q21</v>
      </c>
      <c r="AK62" s="1054" t="str">
        <f t="shared" si="50"/>
        <v>4Q21</v>
      </c>
      <c r="AL62" s="1054" t="str">
        <f t="shared" si="50"/>
        <v>1Q22</v>
      </c>
      <c r="AM62" s="1054" t="str">
        <f t="shared" si="50"/>
        <v>2Q22</v>
      </c>
      <c r="AN62" s="1054" t="str">
        <f t="shared" si="50"/>
        <v>3Q22</v>
      </c>
      <c r="AO62" s="1054" t="str">
        <f t="shared" si="50"/>
        <v>4Q22</v>
      </c>
      <c r="AP62" s="1054" t="str">
        <f t="shared" si="50"/>
        <v>1Q23</v>
      </c>
      <c r="AQ62" s="1054" t="str">
        <f t="shared" si="50"/>
        <v>2Q23</v>
      </c>
      <c r="AR62" s="1054" t="str">
        <f t="shared" si="50"/>
        <v>3Q23</v>
      </c>
      <c r="AS62" s="1054" t="str">
        <f t="shared" si="50"/>
        <v>4Q23</v>
      </c>
      <c r="AT62" s="1054" t="str">
        <f t="shared" si="50"/>
        <v>1Q24</v>
      </c>
      <c r="AU62" s="1054" t="str">
        <f t="shared" si="50"/>
        <v>2Q24</v>
      </c>
      <c r="AV62" s="1054" t="str">
        <f t="shared" si="50"/>
        <v>3Q24</v>
      </c>
      <c r="AW62" s="1054" t="str">
        <f t="shared" si="50"/>
        <v>4Q24</v>
      </c>
      <c r="AX62" s="1054" t="str">
        <f t="shared" si="50"/>
        <v>1Q25</v>
      </c>
      <c r="AY62" s="1054" t="str">
        <f t="shared" si="50"/>
        <v>2Q25E</v>
      </c>
      <c r="AZ62" s="1054" t="str">
        <f t="shared" si="50"/>
        <v>3Q25E</v>
      </c>
      <c r="BA62" s="1054" t="str">
        <f t="shared" si="50"/>
        <v>4Q25E</v>
      </c>
      <c r="BB62" s="1054" t="str">
        <f t="shared" si="50"/>
        <v>1Q26E</v>
      </c>
      <c r="BC62" s="1054" t="str">
        <f t="shared" si="50"/>
        <v>2Q26E</v>
      </c>
      <c r="BD62" s="1054" t="str">
        <f t="shared" si="50"/>
        <v>3Q26E</v>
      </c>
      <c r="BE62" s="1054" t="str">
        <f t="shared" si="50"/>
        <v>4Q26E</v>
      </c>
    </row>
    <row r="63" spans="1:57">
      <c r="A63" s="523"/>
      <c r="B63" s="534"/>
      <c r="C63" s="534"/>
      <c r="D63" s="534"/>
      <c r="E63" s="534"/>
      <c r="F63" s="534"/>
      <c r="G63" s="534"/>
      <c r="H63" s="534"/>
      <c r="I63" s="534"/>
      <c r="J63" s="534"/>
      <c r="K63" s="534"/>
      <c r="L63" s="534"/>
      <c r="M63" s="534"/>
      <c r="N63" s="534"/>
      <c r="O63" s="524"/>
      <c r="P63" s="524"/>
      <c r="Q63" s="524"/>
      <c r="R63" s="524"/>
      <c r="S63" s="524"/>
      <c r="T63" s="523"/>
      <c r="U63" s="534"/>
      <c r="V63" s="534"/>
      <c r="W63" s="534"/>
      <c r="X63" s="534"/>
      <c r="Y63" s="534"/>
      <c r="Z63" s="534"/>
      <c r="AA63" s="534"/>
      <c r="AB63" s="534"/>
      <c r="AC63" s="523"/>
    </row>
    <row r="64" spans="1:57" s="1413" customFormat="1" ht="15">
      <c r="A64" s="516" t="s">
        <v>53</v>
      </c>
      <c r="B64" s="527">
        <f>+Model!C13</f>
        <v>2843.8076000000001</v>
      </c>
      <c r="C64" s="527">
        <f>+Model!D13</f>
        <v>3037.53599962</v>
      </c>
      <c r="D64" s="527">
        <f>+Model!E13</f>
        <v>4208.7284792700002</v>
      </c>
      <c r="E64" s="527">
        <f>+Model!F13</f>
        <v>4958.50261873</v>
      </c>
      <c r="F64" s="527">
        <f>+Model!G13</f>
        <v>6977.8224744099998</v>
      </c>
      <c r="G64" s="527">
        <f>+Model!H13</f>
        <v>8505.3897304999991</v>
      </c>
      <c r="H64" s="527">
        <f>+Model!I13</f>
        <v>11262.79408329</v>
      </c>
      <c r="I64" s="527">
        <f>+Model!J13</f>
        <v>15838.851828270001</v>
      </c>
      <c r="J64" s="527">
        <f>+Model!K13</f>
        <v>20991.91050367153</v>
      </c>
      <c r="K64" s="527">
        <f>+Model!L13</f>
        <v>25403.508464190782</v>
      </c>
      <c r="L64" s="527">
        <f>+Model!M13</f>
        <v>29791.986591844819</v>
      </c>
      <c r="M64" s="527" t="e">
        <f>+Model!#REF!</f>
        <v>#REF!</v>
      </c>
      <c r="N64" s="528"/>
      <c r="O64" s="548">
        <f t="shared" ref="O64:O70" si="51">(H64/C64)^(1/5)-1</f>
        <v>0.29964560374596716</v>
      </c>
      <c r="P64" s="548" t="e">
        <f t="shared" ref="P64:P70" si="52">(M64/H64)^(1/5)-1</f>
        <v>#REF!</v>
      </c>
      <c r="Q64" s="548">
        <f t="shared" ref="Q64:Q70" si="53">(H64/F64)^(1/2)-1</f>
        <v>0.2704661956689498</v>
      </c>
      <c r="R64" s="548">
        <f t="shared" ref="R64:R70" si="54">(K64/I64)^(1/2)-1</f>
        <v>0.26644111792594827</v>
      </c>
      <c r="S64" s="548">
        <f t="shared" ref="S64:S70" si="55">(K64/H64)^(1/3)-1</f>
        <v>0.31144229426638548</v>
      </c>
      <c r="T64" s="516"/>
      <c r="U64" s="527">
        <f>+Segment!V9</f>
        <v>2469.4627</v>
      </c>
      <c r="V64" s="527">
        <f>+Segment!W9</f>
        <v>2489.03991873</v>
      </c>
      <c r="W64" s="527">
        <f>+Segment!X9</f>
        <v>3682.2617543400002</v>
      </c>
      <c r="X64" s="527">
        <f>+Segment!Y9</f>
        <v>3295.5607200699997</v>
      </c>
      <c r="Y64" s="527">
        <f>+Segment!Z9</f>
        <v>4291.2739970599996</v>
      </c>
      <c r="Z64" s="527">
        <f>+Segment!AA9</f>
        <v>4214.1157334399995</v>
      </c>
      <c r="AA64" s="527">
        <f>+Segment!AB9</f>
        <v>5460.1849288999992</v>
      </c>
      <c r="AB64" s="527">
        <f>+Segment!AC9</f>
        <v>5802.6091543900011</v>
      </c>
      <c r="AC64" s="516"/>
      <c r="AD64" s="532">
        <f>+Segment!BB9</f>
        <v>933.21618977999992</v>
      </c>
      <c r="AE64" s="532">
        <f>+Segment!BC9</f>
        <v>1536.2465102200001</v>
      </c>
      <c r="AF64" s="532">
        <f>+Segment!BD9</f>
        <v>1574.13422743</v>
      </c>
      <c r="AG64" s="532">
        <f>+Segment!BE9</f>
        <v>914.90569129999994</v>
      </c>
      <c r="AH64" s="532">
        <f>+Segment!BF9</f>
        <v>1711.2617271900001</v>
      </c>
      <c r="AI64" s="532">
        <f>+Segment!BG9</f>
        <v>1971.0000271500001</v>
      </c>
      <c r="AJ64" s="532">
        <f>+Segment!BH9</f>
        <v>1877.9507030799996</v>
      </c>
      <c r="AK64" s="532">
        <f>+Segment!BI9</f>
        <v>1417.6100169900001</v>
      </c>
      <c r="AL64" s="532">
        <f>+Segment!BJ9</f>
        <v>2006.5428683299999</v>
      </c>
      <c r="AM64" s="532">
        <f>+Segment!BK9</f>
        <v>2284.7311287299999</v>
      </c>
      <c r="AN64" s="532">
        <f>+Segment!BL9</f>
        <v>2353.0738183200001</v>
      </c>
      <c r="AO64" s="532">
        <f>+Segment!BM9</f>
        <v>1861.0419151199994</v>
      </c>
      <c r="AP64" s="532">
        <f>+Segment!BN9</f>
        <v>2490.8660470100003</v>
      </c>
      <c r="AQ64" s="532">
        <f>+Segment!BO9</f>
        <v>2969.3188818899989</v>
      </c>
      <c r="AR64" s="532">
        <f>+Segment!BP9</f>
        <v>3180.7274410200016</v>
      </c>
      <c r="AS64" s="532">
        <f>+Segment!BQ9</f>
        <v>2621.8817133699995</v>
      </c>
      <c r="AT64" s="532">
        <f>+Segment!BR9</f>
        <v>3482.1677627899999</v>
      </c>
      <c r="AU64" s="532">
        <f>+Segment!BS9</f>
        <v>4391.1200893100004</v>
      </c>
      <c r="AV64" s="532">
        <f>+Segment!BT9</f>
        <v>4684.9936501600005</v>
      </c>
      <c r="AW64" s="532">
        <f>+Segment!BU9</f>
        <v>3280.5703260099999</v>
      </c>
      <c r="AX64" s="532">
        <f>+Segment!BV9</f>
        <v>4848.0717046300006</v>
      </c>
      <c r="AY64" s="532">
        <f>+Segment!BW9</f>
        <v>5888.5561538200009</v>
      </c>
      <c r="AZ64" s="532">
        <f>+Segment!BX9</f>
        <v>6107.3400368999992</v>
      </c>
      <c r="BA64" s="532">
        <f>+Segment!BY9</f>
        <v>4147.9426083215294</v>
      </c>
      <c r="BB64" s="532">
        <f>+Segment!BZ9</f>
        <v>5963.1281966949009</v>
      </c>
      <c r="BC64" s="532">
        <f>+Segment!CA9</f>
        <v>7184.0385076604007</v>
      </c>
      <c r="BD64" s="532">
        <f>+Segment!CB9</f>
        <v>7512.0282453869986</v>
      </c>
      <c r="BE64" s="532">
        <f>+Segment!CC9</f>
        <v>4744.3135144484804</v>
      </c>
    </row>
    <row r="65" spans="1:57">
      <c r="A65" s="555" t="s">
        <v>49</v>
      </c>
      <c r="B65" s="525">
        <f>+Model!C18</f>
        <v>-1480.9947999999999</v>
      </c>
      <c r="C65" s="525">
        <f>+Model!D18</f>
        <v>-1641.2420573099998</v>
      </c>
      <c r="D65" s="525">
        <f>+Model!E18</f>
        <v>-2241.7192595500001</v>
      </c>
      <c r="E65" s="525">
        <f>+Model!F18</f>
        <v>-2647.8475059899997</v>
      </c>
      <c r="F65" s="525">
        <f>+Model!G18</f>
        <v>-3881.56479257</v>
      </c>
      <c r="G65" s="525">
        <f>+Model!H18</f>
        <v>-4905.4613287299999</v>
      </c>
      <c r="H65" s="525">
        <f>+Model!I18</f>
        <v>-6411.6537601099999</v>
      </c>
      <c r="I65" s="525">
        <f>+Model!J18</f>
        <v>-8741.5610026499999</v>
      </c>
      <c r="J65" s="525">
        <f>+Model!K18</f>
        <v>-11564.399061414118</v>
      </c>
      <c r="K65" s="525">
        <f>+Model!L18</f>
        <v>-13747.298774425524</v>
      </c>
      <c r="L65" s="525">
        <f>+Model!M18</f>
        <v>-16022.730755500135</v>
      </c>
      <c r="M65" s="525" t="e">
        <f>+Model!#REF!</f>
        <v>#REF!</v>
      </c>
      <c r="N65" s="520"/>
      <c r="O65" s="526">
        <f t="shared" si="51"/>
        <v>0.31328651492127979</v>
      </c>
      <c r="P65" s="526" t="e">
        <f t="shared" si="52"/>
        <v>#REF!</v>
      </c>
      <c r="Q65" s="526">
        <f t="shared" si="53"/>
        <v>0.28523223877761006</v>
      </c>
      <c r="R65" s="526">
        <f t="shared" si="54"/>
        <v>0.25404808522644307</v>
      </c>
      <c r="S65" s="526">
        <f t="shared" si="55"/>
        <v>0.2894834422696182</v>
      </c>
      <c r="T65" s="523"/>
      <c r="U65" s="525">
        <f>-Segment!V23</f>
        <v>-1322.65</v>
      </c>
      <c r="V65" s="525">
        <f>-Segment!W23</f>
        <v>-1325.1975059899996</v>
      </c>
      <c r="W65" s="525">
        <f>-Segment!X23</f>
        <v>-1852.9146081700001</v>
      </c>
      <c r="X65" s="525">
        <f>-Segment!Y23</f>
        <v>-2028.6501843999999</v>
      </c>
      <c r="Y65" s="525">
        <f>-Segment!Z23</f>
        <v>-2459.742307</v>
      </c>
      <c r="Z65" s="525">
        <f>-Segment!AA23</f>
        <v>-2445.7190217299999</v>
      </c>
      <c r="AA65" s="525">
        <f>-Segment!AB23</f>
        <v>-3106.6108371999999</v>
      </c>
      <c r="AB65" s="525">
        <f>-Segment!AC23</f>
        <v>-3305.04292291</v>
      </c>
      <c r="AC65" s="523"/>
      <c r="AD65" s="556">
        <f>-Segment!BB23</f>
        <v>-474.49274026999996</v>
      </c>
      <c r="AE65" s="556">
        <f>-Segment!BC23</f>
        <v>-848.15725973000008</v>
      </c>
      <c r="AF65" s="556">
        <f>-Segment!BD23</f>
        <v>-828.35414730000002</v>
      </c>
      <c r="AG65" s="556">
        <f>-Segment!BE23</f>
        <v>-496.8433586899996</v>
      </c>
      <c r="AH65" s="556">
        <f>-Segment!BF23</f>
        <v>-863.46210910000002</v>
      </c>
      <c r="AI65" s="556">
        <f>-Segment!BG23</f>
        <v>-989.45249907000004</v>
      </c>
      <c r="AJ65" s="556">
        <f>-Segment!BH23</f>
        <v>-1011.1235660900002</v>
      </c>
      <c r="AK65" s="556">
        <f>-Segment!BI23</f>
        <v>-1017.5266183099998</v>
      </c>
      <c r="AL65" s="556">
        <f>-Segment!BJ23</f>
        <v>-1139.9789286800001</v>
      </c>
      <c r="AM65" s="556">
        <f>-Segment!BK23</f>
        <v>-1319.7633783199999</v>
      </c>
      <c r="AN65" s="556">
        <f>-Segment!BL23</f>
        <v>-1410.6329676199998</v>
      </c>
      <c r="AO65" s="556">
        <f>-Segment!BM23</f>
        <v>-1035.0860541100001</v>
      </c>
      <c r="AP65" s="556">
        <f>-Segment!BN23</f>
        <v>-1406.6463015300001</v>
      </c>
      <c r="AQ65" s="556">
        <f>-Segment!BO23</f>
        <v>-1699.9645356699998</v>
      </c>
      <c r="AR65" s="556">
        <f>-Segment!BP23</f>
        <v>-1860.3978788100003</v>
      </c>
      <c r="AS65" s="556">
        <f>-Segment!BQ23</f>
        <v>-1444.6450440999997</v>
      </c>
      <c r="AT65" s="556">
        <f>-Segment!BR23</f>
        <v>-1992.8200776600002</v>
      </c>
      <c r="AU65" s="556">
        <f>-Segment!BS23</f>
        <v>-2368.9238972999997</v>
      </c>
      <c r="AV65" s="556">
        <f>-Segment!BT23</f>
        <v>-2539.02238055</v>
      </c>
      <c r="AW65" s="556">
        <f>-Segment!BU23</f>
        <v>-1840.7946471400001</v>
      </c>
      <c r="AX65" s="556">
        <f>-Segment!BV23</f>
        <v>-2692.1916942500002</v>
      </c>
      <c r="AY65" s="556">
        <f>-Segment!BW23</f>
        <v>-3197.2225395299993</v>
      </c>
      <c r="AZ65" s="556">
        <f>-Segment!BX23</f>
        <v>-3346.3351016200004</v>
      </c>
      <c r="BA65" s="556">
        <f>-Segment!BY23</f>
        <v>-2328.6497260141186</v>
      </c>
      <c r="BB65" s="556">
        <f>-Segment!BZ23</f>
        <v>-3220.0892262152465</v>
      </c>
      <c r="BC65" s="556">
        <f>-Segment!CA23</f>
        <v>-3843.460601598314</v>
      </c>
      <c r="BD65" s="556">
        <f>-Segment!CB23</f>
        <v>-4018.9351112820441</v>
      </c>
      <c r="BE65" s="556">
        <f>-Segment!CC23</f>
        <v>-2664.8138353299182</v>
      </c>
    </row>
    <row r="66" spans="1:57">
      <c r="A66" s="516" t="s">
        <v>940</v>
      </c>
      <c r="B66" s="557">
        <f t="shared" ref="B66:H66" si="56">SUM(B64:B65)</f>
        <v>1362.8128000000002</v>
      </c>
      <c r="C66" s="557">
        <f t="shared" si="56"/>
        <v>1396.2939423100001</v>
      </c>
      <c r="D66" s="557">
        <f t="shared" si="56"/>
        <v>1967.0092197200001</v>
      </c>
      <c r="E66" s="557">
        <f t="shared" si="56"/>
        <v>2310.6551127400003</v>
      </c>
      <c r="F66" s="557">
        <f t="shared" si="56"/>
        <v>3096.2576818399998</v>
      </c>
      <c r="G66" s="557">
        <f t="shared" si="56"/>
        <v>3599.9284017699993</v>
      </c>
      <c r="H66" s="557">
        <f t="shared" si="56"/>
        <v>4851.1403231800005</v>
      </c>
      <c r="I66" s="557">
        <f>SUM(I64:I65)</f>
        <v>7097.2908256200008</v>
      </c>
      <c r="J66" s="557">
        <f>SUM(J64:J65)</f>
        <v>9427.5114422574115</v>
      </c>
      <c r="K66" s="557">
        <f>SUM(K64:K65)</f>
        <v>11656.209689765257</v>
      </c>
      <c r="L66" s="557">
        <f>SUM(L64:L65)</f>
        <v>13769.255836344684</v>
      </c>
      <c r="M66" s="557" t="e">
        <f>SUM(M64:M65)</f>
        <v>#REF!</v>
      </c>
      <c r="N66" s="558"/>
      <c r="O66" s="517">
        <f t="shared" si="51"/>
        <v>0.28284266888024323</v>
      </c>
      <c r="P66" s="517" t="e">
        <f t="shared" si="52"/>
        <v>#REF!</v>
      </c>
      <c r="Q66" s="517">
        <f t="shared" si="53"/>
        <v>0.25170898596072067</v>
      </c>
      <c r="R66" s="517">
        <f t="shared" si="54"/>
        <v>0.28154061622932414</v>
      </c>
      <c r="S66" s="517">
        <f t="shared" si="55"/>
        <v>0.3393821439575182</v>
      </c>
      <c r="T66" s="516"/>
      <c r="U66" s="527">
        <f t="shared" ref="U66:AB66" si="57">SUM(U64:U65)</f>
        <v>1146.8126999999999</v>
      </c>
      <c r="V66" s="527">
        <f t="shared" si="57"/>
        <v>1163.8424127400003</v>
      </c>
      <c r="W66" s="527">
        <f t="shared" si="57"/>
        <v>1829.3471461700001</v>
      </c>
      <c r="X66" s="527">
        <f t="shared" si="57"/>
        <v>1266.9105356699997</v>
      </c>
      <c r="Y66" s="527">
        <f t="shared" si="57"/>
        <v>1831.5316900599996</v>
      </c>
      <c r="Z66" s="527">
        <f t="shared" si="57"/>
        <v>1768.3967117099996</v>
      </c>
      <c r="AA66" s="527">
        <f t="shared" si="57"/>
        <v>2353.5740916999994</v>
      </c>
      <c r="AB66" s="527">
        <f t="shared" si="57"/>
        <v>2497.5662314800011</v>
      </c>
      <c r="AC66" s="516"/>
      <c r="AD66" s="532">
        <f t="shared" ref="AD66:AS66" si="58">AD64+AD65</f>
        <v>458.72344950999997</v>
      </c>
      <c r="AE66" s="532">
        <f t="shared" si="58"/>
        <v>688.08925049000004</v>
      </c>
      <c r="AF66" s="532">
        <f t="shared" si="58"/>
        <v>745.78008012999999</v>
      </c>
      <c r="AG66" s="532">
        <f t="shared" si="58"/>
        <v>418.06233261000034</v>
      </c>
      <c r="AH66" s="532">
        <f t="shared" si="58"/>
        <v>847.79961809000008</v>
      </c>
      <c r="AI66" s="532">
        <f t="shared" si="58"/>
        <v>981.54752808000001</v>
      </c>
      <c r="AJ66" s="532">
        <f t="shared" si="58"/>
        <v>866.82713698999942</v>
      </c>
      <c r="AK66" s="532">
        <f t="shared" si="58"/>
        <v>400.0833986800003</v>
      </c>
      <c r="AL66" s="532">
        <f t="shared" si="58"/>
        <v>866.56393964999984</v>
      </c>
      <c r="AM66" s="532">
        <f t="shared" si="58"/>
        <v>964.96775041000001</v>
      </c>
      <c r="AN66" s="532">
        <f t="shared" si="58"/>
        <v>942.44085070000028</v>
      </c>
      <c r="AO66" s="532">
        <f t="shared" si="58"/>
        <v>825.95586100999935</v>
      </c>
      <c r="AP66" s="532">
        <f t="shared" si="58"/>
        <v>1084.2197454800003</v>
      </c>
      <c r="AQ66" s="532">
        <f t="shared" si="58"/>
        <v>1269.3543462199991</v>
      </c>
      <c r="AR66" s="532">
        <f t="shared" si="58"/>
        <v>1320.3295622100013</v>
      </c>
      <c r="AS66" s="532">
        <f t="shared" si="58"/>
        <v>1177.2366692699998</v>
      </c>
      <c r="AT66" s="532">
        <f t="shared" ref="AT66:AZ66" si="59">AT64+AT65</f>
        <v>1489.3476851299997</v>
      </c>
      <c r="AU66" s="532">
        <f t="shared" si="59"/>
        <v>2022.1961920100007</v>
      </c>
      <c r="AV66" s="532">
        <f t="shared" si="59"/>
        <v>2145.9712696100005</v>
      </c>
      <c r="AW66" s="532">
        <f t="shared" si="59"/>
        <v>1439.7756788699999</v>
      </c>
      <c r="AX66" s="532">
        <f t="shared" si="59"/>
        <v>2155.8800103800004</v>
      </c>
      <c r="AY66" s="532">
        <f t="shared" si="59"/>
        <v>2691.3336142900016</v>
      </c>
      <c r="AZ66" s="532">
        <f t="shared" si="59"/>
        <v>2761.0049352799988</v>
      </c>
      <c r="BA66" s="532">
        <f t="shared" ref="BA66:BE66" si="60">BA64+BA65</f>
        <v>1819.2928823074108</v>
      </c>
      <c r="BB66" s="532">
        <f t="shared" si="60"/>
        <v>2743.0389704796544</v>
      </c>
      <c r="BC66" s="532">
        <f t="shared" si="60"/>
        <v>3340.5779060620866</v>
      </c>
      <c r="BD66" s="532">
        <f t="shared" si="60"/>
        <v>3493.0931341049545</v>
      </c>
      <c r="BE66" s="532">
        <f t="shared" si="60"/>
        <v>2079.4996791185622</v>
      </c>
    </row>
    <row r="67" spans="1:57">
      <c r="A67" s="523" t="s">
        <v>1002</v>
      </c>
      <c r="B67" s="559">
        <f>+Model!C23</f>
        <v>-981.98320000000012</v>
      </c>
      <c r="C67" s="559">
        <f>+Model!D23</f>
        <v>-1152.6477558700001</v>
      </c>
      <c r="D67" s="559">
        <f>+Model!E23</f>
        <v>-1257.1570232700001</v>
      </c>
      <c r="E67" s="559">
        <f>+Model!F23</f>
        <v>-1310.1438447999999</v>
      </c>
      <c r="F67" s="559">
        <f>+Model!G23</f>
        <v>-1739.63643527</v>
      </c>
      <c r="G67" s="559">
        <f>+Model!H23</f>
        <v>-1841.1950590099998</v>
      </c>
      <c r="H67" s="559">
        <f>+Model!I23</f>
        <v>-2499.6673262899999</v>
      </c>
      <c r="I67" s="559">
        <f>+Model!J23</f>
        <v>-3329.1976100699994</v>
      </c>
      <c r="J67" s="559">
        <f>+Model!K23</f>
        <v>-4191.9134997204546</v>
      </c>
      <c r="K67" s="559">
        <f>+Model!L23</f>
        <v>-4938.2350748650369</v>
      </c>
      <c r="L67" s="559">
        <f>+Model!M23</f>
        <v>-5684.0683168041733</v>
      </c>
      <c r="M67" s="559" t="e">
        <f>+Model!#REF!</f>
        <v>#REF!</v>
      </c>
      <c r="N67" s="560"/>
      <c r="O67" s="524">
        <f t="shared" si="51"/>
        <v>0.16744685857097119</v>
      </c>
      <c r="P67" s="524" t="e">
        <f t="shared" si="52"/>
        <v>#REF!</v>
      </c>
      <c r="Q67" s="524">
        <f t="shared" si="53"/>
        <v>0.19870373690907028</v>
      </c>
      <c r="R67" s="524">
        <f t="shared" si="54"/>
        <v>0.21791251388089905</v>
      </c>
      <c r="S67" s="524">
        <f t="shared" si="55"/>
        <v>0.25476727086341455</v>
      </c>
      <c r="T67" s="523"/>
      <c r="U67" s="519">
        <f>-Segment!V45-Segment!V47-Segment!V49</f>
        <v>-579.2962</v>
      </c>
      <c r="V67" s="519">
        <f>-Segment!W45-Segment!W47-Segment!W49</f>
        <v>-730.84764480000001</v>
      </c>
      <c r="W67" s="519">
        <f>-Segment!X45-Segment!X47-Segment!X49</f>
        <v>-992.75571303999993</v>
      </c>
      <c r="X67" s="519">
        <f>-Segment!Y45-Segment!Y47-Segment!Y49</f>
        <v>-746.88072222999995</v>
      </c>
      <c r="Y67" s="519">
        <f>-Segment!Z45-Segment!Z47-Segment!Z49</f>
        <v>-901.70575732000009</v>
      </c>
      <c r="Z67" s="519">
        <f>-Segment!AA45-Segment!AA47-Segment!AA49</f>
        <v>-939.48930168999982</v>
      </c>
      <c r="AA67" s="519">
        <f>-Segment!AB45-Segment!AB47-Segment!AB49</f>
        <v>-1111.87138987</v>
      </c>
      <c r="AB67" s="519">
        <f>-Segment!AC45-Segment!AC47-Segment!AC49</f>
        <v>-1387.7959364199999</v>
      </c>
      <c r="AC67" s="523"/>
      <c r="AD67" s="554">
        <f>-Segment!BB45-Segment!BB47-Segment!BB49</f>
        <v>-253.78390121000001</v>
      </c>
      <c r="AE67" s="554">
        <f>-Segment!BC45-Segment!BC47-Segment!BC49</f>
        <v>-325.51229878999999</v>
      </c>
      <c r="AF67" s="554">
        <f>-Segment!BD45-Segment!BD47-Segment!BD49</f>
        <v>-429.64732688000004</v>
      </c>
      <c r="AG67" s="554">
        <f>-Segment!BE45-Segment!BE47-Segment!BE49</f>
        <v>-301.20031792000003</v>
      </c>
      <c r="AH67" s="554">
        <f>-Segment!BF45-Segment!BF47-Segment!BF49</f>
        <v>-417.98095800999994</v>
      </c>
      <c r="AI67" s="554">
        <f>-Segment!BG45-Segment!BG47-Segment!BG49</f>
        <v>-574.77475503000005</v>
      </c>
      <c r="AJ67" s="554">
        <f>-Segment!BH45-Segment!BH47-Segment!BH49</f>
        <v>-489.31193528</v>
      </c>
      <c r="AK67" s="554">
        <f>-Segment!BI45-Segment!BI47-Segment!BI49</f>
        <v>-257.56878694999995</v>
      </c>
      <c r="AL67" s="554">
        <f>-Segment!BJ45-Segment!BJ47-Segment!BJ49</f>
        <v>-437.67221106999995</v>
      </c>
      <c r="AM67" s="554">
        <f>-Segment!BK45-Segment!BK47-Segment!BK49</f>
        <v>-464.03354625000009</v>
      </c>
      <c r="AN67" s="554">
        <f>-Segment!BL45-Segment!BL47-Segment!BL49</f>
        <v>-488.49382904999982</v>
      </c>
      <c r="AO67" s="554">
        <f>-Segment!BM45-Segment!BM47-Segment!BM49</f>
        <v>-450.99547264</v>
      </c>
      <c r="AP67" s="554">
        <f>-Segment!BN45-Segment!BN47-Segment!BN49</f>
        <v>-507.06889099999995</v>
      </c>
      <c r="AQ67" s="554">
        <f>-Segment!BO45-Segment!BO47-Segment!BO49</f>
        <v>-604.80249866999998</v>
      </c>
      <c r="AR67" s="554">
        <f>-Segment!BP45-Segment!BP47-Segment!BP49</f>
        <v>-703.34492974</v>
      </c>
      <c r="AS67" s="554">
        <f>-Segment!BQ45-Segment!BQ47-Segment!BQ49</f>
        <v>-684.4510068799998</v>
      </c>
      <c r="AT67" s="554">
        <f>-Segment!BR45-Segment!BR47-Segment!BR49</f>
        <v>-746.53020949000006</v>
      </c>
      <c r="AU67" s="554">
        <f>-Segment!BS45-Segment!BS47-Segment!BS49</f>
        <v>-785.58674598000005</v>
      </c>
      <c r="AV67" s="554">
        <f>-Segment!BT45-Segment!BT47-Segment!BT49</f>
        <v>-1009.8963837199999</v>
      </c>
      <c r="AW67" s="554">
        <f>-Segment!BU45-Segment!BU47-Segment!BU49</f>
        <v>-787.18427087999987</v>
      </c>
      <c r="AX67" s="554">
        <f>-Segment!BV45-Segment!BV47-Segment!BV49</f>
        <v>-992.45727033000003</v>
      </c>
      <c r="AY67" s="554">
        <f>-Segment!BW45-Segment!BW47-Segment!BW49</f>
        <v>-1089.8260207499998</v>
      </c>
      <c r="AZ67" s="554">
        <f>-Segment!BX45-Segment!BX47-Segment!BX49</f>
        <v>-1168.4501017900004</v>
      </c>
      <c r="BA67" s="554">
        <f>-Segment!BY45-Segment!BY47-Segment!BY49</f>
        <v>-941.18010685045488</v>
      </c>
      <c r="BB67" s="554">
        <f>-Segment!BZ45-Segment!BZ47-Segment!BZ49</f>
        <v>-1238.2163125921904</v>
      </c>
      <c r="BC67" s="554">
        <f>-Segment!CA45-Segment!CA47-Segment!CA49</f>
        <v>-1319.1709867664492</v>
      </c>
      <c r="BD67" s="554">
        <f>-Segment!CB45-Segment!CB47-Segment!CB49</f>
        <v>-1602.4260587903607</v>
      </c>
      <c r="BE67" s="554">
        <f>-Segment!CC45-Segment!CC47-Segment!CC49</f>
        <v>-778.42171671603683</v>
      </c>
    </row>
    <row r="68" spans="1:57">
      <c r="A68" s="561" t="s">
        <v>1003</v>
      </c>
      <c r="B68" s="562">
        <f>+Model!C25</f>
        <v>-825.24980000000005</v>
      </c>
      <c r="C68" s="562">
        <f>+Model!D25</f>
        <v>-969.45033685999999</v>
      </c>
      <c r="D68" s="562">
        <f>+Model!E25</f>
        <v>-983.59316214</v>
      </c>
      <c r="E68" s="562">
        <f>+Model!F25</f>
        <v>-1040.3472948200001</v>
      </c>
      <c r="F68" s="562">
        <f>+Model!G25</f>
        <v>-1368.3843670599999</v>
      </c>
      <c r="G68" s="562">
        <f>+Model!H25</f>
        <v>-1449.2760845799999</v>
      </c>
      <c r="H68" s="562">
        <f>+Model!I25</f>
        <v>-1955.6713750699998</v>
      </c>
      <c r="I68" s="562">
        <f>+Model!J25</f>
        <v>-2681.0797873299998</v>
      </c>
      <c r="J68" s="562">
        <f>+Model!K25</f>
        <v>-3370.7205557048114</v>
      </c>
      <c r="K68" s="562">
        <f>+Model!L25</f>
        <v>-3972.4065045348821</v>
      </c>
      <c r="L68" s="562">
        <f>+Model!M25</f>
        <v>-4584.1632082331544</v>
      </c>
      <c r="M68" s="562" t="e">
        <f>+Model!#REF!</f>
        <v>#REF!</v>
      </c>
      <c r="N68" s="562"/>
      <c r="O68" s="524">
        <f t="shared" si="51"/>
        <v>0.15067866984108913</v>
      </c>
      <c r="P68" s="524" t="e">
        <f t="shared" si="52"/>
        <v>#REF!</v>
      </c>
      <c r="Q68" s="524">
        <f t="shared" si="53"/>
        <v>0.19548432901106527</v>
      </c>
      <c r="R68" s="524">
        <f t="shared" si="54"/>
        <v>0.21722810930563075</v>
      </c>
      <c r="S68" s="524">
        <f t="shared" si="55"/>
        <v>0.26644383756685652</v>
      </c>
      <c r="T68" s="561"/>
      <c r="U68" s="519">
        <f>-Segment!V47</f>
        <v>-452.20800000000003</v>
      </c>
      <c r="V68" s="519">
        <f>-Segment!W47</f>
        <v>-588.13929482000003</v>
      </c>
      <c r="W68" s="519">
        <f>-Segment!X47</f>
        <v>-798.65826103999996</v>
      </c>
      <c r="X68" s="519">
        <f>-Segment!Y47</f>
        <v>-569.72610601999997</v>
      </c>
      <c r="Y68" s="519">
        <f>-Segment!Z47</f>
        <v>-702.69818498000006</v>
      </c>
      <c r="Z68" s="519">
        <f>-Segment!AA47</f>
        <v>-746.5778995999998</v>
      </c>
      <c r="AA68" s="519">
        <f>-Segment!AB47</f>
        <v>-863.23476495</v>
      </c>
      <c r="AB68" s="519">
        <f>-Segment!AC47</f>
        <v>-1092.4366101199998</v>
      </c>
      <c r="AC68" s="523"/>
      <c r="AD68" s="554">
        <f>-Segment!BB47</f>
        <v>-201.55927403000001</v>
      </c>
      <c r="AE68" s="554">
        <f>-Segment!BC47</f>
        <v>-250.64872597000002</v>
      </c>
      <c r="AF68" s="554">
        <f>-Segment!BD47</f>
        <v>-360.37018244000006</v>
      </c>
      <c r="AG68" s="554">
        <f>-Segment!BE47</f>
        <v>-227.76911238000002</v>
      </c>
      <c r="AH68" s="554">
        <f>-Segment!BF47</f>
        <v>-336.21724452999996</v>
      </c>
      <c r="AI68" s="554">
        <f>-Segment!BG47</f>
        <v>-462.44101651</v>
      </c>
      <c r="AJ68" s="554">
        <f>-Segment!BH47</f>
        <v>-399.24317549</v>
      </c>
      <c r="AK68" s="554">
        <f>-Segment!BI47</f>
        <v>-170.48293052999998</v>
      </c>
      <c r="AL68" s="554">
        <f>-Segment!BJ47</f>
        <v>-337.96501925999996</v>
      </c>
      <c r="AM68" s="554">
        <f>-Segment!BK47</f>
        <v>-364.7331657200001</v>
      </c>
      <c r="AN68" s="554">
        <f>-Segment!BL47</f>
        <v>-382.90616486999977</v>
      </c>
      <c r="AO68" s="554">
        <f>-Segment!BM47</f>
        <v>-363.67173473000003</v>
      </c>
      <c r="AP68" s="554">
        <f>-Segment!BN47</f>
        <v>-390.70786656999996</v>
      </c>
      <c r="AQ68" s="554">
        <f>-Segment!BO47</f>
        <v>-472.52689838000003</v>
      </c>
      <c r="AR68" s="554">
        <f>-Segment!BP47</f>
        <v>-557.67118565999999</v>
      </c>
      <c r="AS68" s="554">
        <f>-Segment!BQ47</f>
        <v>-534.76542445999985</v>
      </c>
      <c r="AT68" s="554">
        <f>-Segment!BR47</f>
        <v>-595.94921475000001</v>
      </c>
      <c r="AU68" s="554">
        <f>-Segment!BS47</f>
        <v>-629.05488243000013</v>
      </c>
      <c r="AV68" s="554">
        <f>-Segment!BT47</f>
        <v>-836.92043326999988</v>
      </c>
      <c r="AW68" s="554">
        <f>-Segment!BU47</f>
        <v>-619.1552568799998</v>
      </c>
      <c r="AX68" s="554">
        <f>-Segment!BV47</f>
        <v>-808.75510908000001</v>
      </c>
      <c r="AY68" s="554">
        <f>-Segment!BW47</f>
        <v>-872.76394876999984</v>
      </c>
      <c r="AZ68" s="554">
        <f>-Segment!BX47</f>
        <v>-931.82558820000054</v>
      </c>
      <c r="BA68" s="554">
        <f>-Segment!BY47</f>
        <v>-757.37590965481104</v>
      </c>
      <c r="BB68" s="554">
        <f>-Segment!BZ47</f>
        <v>-1007.7686652414383</v>
      </c>
      <c r="BC68" s="554">
        <f>-Segment!CA47</f>
        <v>-1077.6057761490601</v>
      </c>
      <c r="BD68" s="554">
        <f>-Segment!CB47</f>
        <v>-1329.6289994334986</v>
      </c>
      <c r="BE68" s="554">
        <f>-Segment!CC47</f>
        <v>-557.40306371088491</v>
      </c>
    </row>
    <row r="69" spans="1:57">
      <c r="A69" s="563" t="s">
        <v>1004</v>
      </c>
      <c r="B69" s="562">
        <f>+Model!C26</f>
        <v>-110.78879999999999</v>
      </c>
      <c r="C69" s="562">
        <f>+Model!D26</f>
        <v>-143.62835716000001</v>
      </c>
      <c r="D69" s="562">
        <f>+Model!E26</f>
        <v>-229.257563</v>
      </c>
      <c r="E69" s="562">
        <f>+Model!F26</f>
        <v>-219.43897251999999</v>
      </c>
      <c r="F69" s="562">
        <f>+Model!G26</f>
        <v>-294.44154993999996</v>
      </c>
      <c r="G69" s="562">
        <f>+Model!H26</f>
        <v>-299.27980732999998</v>
      </c>
      <c r="H69" s="562">
        <f>+Model!I26</f>
        <v>-422.98510952000004</v>
      </c>
      <c r="I69" s="562">
        <f>+Model!J26</f>
        <v>-488.32507577000001</v>
      </c>
      <c r="J69" s="562">
        <f>+Model!K26</f>
        <v>-609.41275439716128</v>
      </c>
      <c r="K69" s="562">
        <f>+Model!L26</f>
        <v>-709.54128106317376</v>
      </c>
      <c r="L69" s="562">
        <f>+Model!M26</f>
        <v>-799.34396772446871</v>
      </c>
      <c r="M69" s="562" t="e">
        <f>+Model!#REF!</f>
        <v>#REF!</v>
      </c>
      <c r="N69" s="562"/>
      <c r="O69" s="524">
        <f t="shared" si="51"/>
        <v>0.24112915383147704</v>
      </c>
      <c r="P69" s="524" t="e">
        <f t="shared" si="52"/>
        <v>#REF!</v>
      </c>
      <c r="Q69" s="524">
        <f t="shared" si="53"/>
        <v>0.19856886500692061</v>
      </c>
      <c r="R69" s="524">
        <f t="shared" si="54"/>
        <v>0.2054086976773386</v>
      </c>
      <c r="S69" s="524">
        <f t="shared" si="55"/>
        <v>0.18818535792513358</v>
      </c>
      <c r="T69" s="561"/>
      <c r="U69" s="525">
        <f>-Segment!V49</f>
        <v>-103.3502</v>
      </c>
      <c r="V69" s="525">
        <f>-Segment!W49</f>
        <v>-116.08877251999999</v>
      </c>
      <c r="W69" s="525">
        <f>-Segment!X49</f>
        <v>-152.51555503</v>
      </c>
      <c r="X69" s="525">
        <f>-Segment!Y49</f>
        <v>-141.92599490999996</v>
      </c>
      <c r="Y69" s="525">
        <f>-Segment!Z49</f>
        <v>-151.35686418</v>
      </c>
      <c r="Z69" s="525">
        <f>-Segment!AA49</f>
        <v>-147.92294314999998</v>
      </c>
      <c r="AA69" s="525">
        <f>-Segment!AB49</f>
        <v>-189.16727400000002</v>
      </c>
      <c r="AB69" s="525">
        <f>-Segment!AC49</f>
        <v>-233.81783552000002</v>
      </c>
      <c r="AC69" s="523"/>
      <c r="AD69" s="556">
        <f>-Segment!BB49</f>
        <v>-45.432064320000002</v>
      </c>
      <c r="AE69" s="556">
        <f>-Segment!BC49</f>
        <v>-57.918135679999999</v>
      </c>
      <c r="AF69" s="556">
        <f>-Segment!BD49</f>
        <v>-53.414127820000004</v>
      </c>
      <c r="AG69" s="556">
        <f>-Segment!BE49</f>
        <v>-62.674644699999988</v>
      </c>
      <c r="AH69" s="556">
        <f>-Segment!BF49</f>
        <v>-63.642068700000003</v>
      </c>
      <c r="AI69" s="556">
        <f>-Segment!BG49</f>
        <v>-88.873486329999992</v>
      </c>
      <c r="AJ69" s="556">
        <f>-Segment!BH49</f>
        <v>-71.52961646</v>
      </c>
      <c r="AK69" s="556">
        <f>-Segment!BI49</f>
        <v>-70.396378449999958</v>
      </c>
      <c r="AL69" s="556">
        <f>-Segment!BJ49</f>
        <v>-78.921320660000006</v>
      </c>
      <c r="AM69" s="556">
        <f>-Segment!BK49</f>
        <v>-72.435543519999996</v>
      </c>
      <c r="AN69" s="556">
        <f>-Segment!BL49</f>
        <v>-84.184480250000007</v>
      </c>
      <c r="AO69" s="556">
        <f>-Segment!BM49</f>
        <v>-63.738462899999973</v>
      </c>
      <c r="AP69" s="556">
        <f>-Segment!BN49</f>
        <v>-91.260641199999995</v>
      </c>
      <c r="AQ69" s="556">
        <f>-Segment!BO49</f>
        <v>-97.906632600000009</v>
      </c>
      <c r="AR69" s="556">
        <f>-Segment!BP49</f>
        <v>-112.31041306</v>
      </c>
      <c r="AS69" s="556">
        <f>-Segment!BQ49</f>
        <v>-121.50742266000003</v>
      </c>
      <c r="AT69" s="556">
        <f>-Segment!BR49</f>
        <v>-113.74836514</v>
      </c>
      <c r="AU69" s="556">
        <f>-Segment!BS49</f>
        <v>-109.09016826999996</v>
      </c>
      <c r="AV69" s="556">
        <f>-Segment!BT49</f>
        <v>-133.54334941000002</v>
      </c>
      <c r="AW69" s="556">
        <f>-Segment!BU49</f>
        <v>-131.94319295000003</v>
      </c>
      <c r="AX69" s="556">
        <f>-Segment!BV49</f>
        <v>-136.94042983</v>
      </c>
      <c r="AY69" s="556">
        <f>-Segment!BW49</f>
        <v>-154.49459252</v>
      </c>
      <c r="AZ69" s="556">
        <f>-Segment!BX49</f>
        <v>-173.62912742999998</v>
      </c>
      <c r="BA69" s="556">
        <f>-Segment!BY49</f>
        <v>-144.3486046171613</v>
      </c>
      <c r="BB69" s="556">
        <f>-Segment!BZ49</f>
        <v>-172.93071770415213</v>
      </c>
      <c r="BC69" s="556">
        <f>-Segment!CA49</f>
        <v>-165.23288567618923</v>
      </c>
      <c r="BD69" s="556">
        <f>-Segment!CB49</f>
        <v>-195.31273438006195</v>
      </c>
      <c r="BE69" s="556">
        <f>-Segment!CC49</f>
        <v>-176.06494330277042</v>
      </c>
    </row>
    <row r="70" spans="1:57">
      <c r="A70" s="516" t="s">
        <v>941</v>
      </c>
      <c r="B70" s="557">
        <f t="shared" ref="B70:H70" si="61">SUM(B66+B67)</f>
        <v>380.82960000000003</v>
      </c>
      <c r="C70" s="557">
        <f t="shared" si="61"/>
        <v>243.64618644000006</v>
      </c>
      <c r="D70" s="557">
        <f t="shared" si="61"/>
        <v>709.85219645000006</v>
      </c>
      <c r="E70" s="557">
        <f t="shared" si="61"/>
        <v>1000.5112679400004</v>
      </c>
      <c r="F70" s="557">
        <f t="shared" si="61"/>
        <v>1356.6212465699998</v>
      </c>
      <c r="G70" s="557">
        <f t="shared" si="61"/>
        <v>1758.7333427599995</v>
      </c>
      <c r="H70" s="557">
        <f t="shared" si="61"/>
        <v>2351.4729968900006</v>
      </c>
      <c r="I70" s="557">
        <f>SUM(I66+I67)</f>
        <v>3768.0932155500013</v>
      </c>
      <c r="J70" s="557">
        <f>SUM(J66+J67)</f>
        <v>5235.5979425369569</v>
      </c>
      <c r="K70" s="557">
        <f>SUM(K66+K67)</f>
        <v>6717.9746149002203</v>
      </c>
      <c r="L70" s="557">
        <f>SUM(L66+L67)</f>
        <v>8085.1875195405109</v>
      </c>
      <c r="M70" s="557" t="e">
        <f>SUM(M66+M67)</f>
        <v>#REF!</v>
      </c>
      <c r="N70" s="558"/>
      <c r="O70" s="859">
        <f t="shared" si="51"/>
        <v>0.57367873236531652</v>
      </c>
      <c r="P70" s="859" t="e">
        <f t="shared" si="52"/>
        <v>#REF!</v>
      </c>
      <c r="Q70" s="859">
        <f t="shared" si="53"/>
        <v>0.31656010488541853</v>
      </c>
      <c r="R70" s="859">
        <f t="shared" si="54"/>
        <v>0.3352370060084624</v>
      </c>
      <c r="S70" s="859">
        <f t="shared" si="55"/>
        <v>0.41894682586251908</v>
      </c>
      <c r="T70" s="516"/>
      <c r="U70" s="557">
        <f t="shared" ref="U70:AB70" si="62">SUM(U66,U67)</f>
        <v>567.51649999999995</v>
      </c>
      <c r="V70" s="557">
        <f t="shared" si="62"/>
        <v>432.99476794000032</v>
      </c>
      <c r="W70" s="557">
        <f t="shared" si="62"/>
        <v>836.59143313000015</v>
      </c>
      <c r="X70" s="557">
        <f t="shared" si="62"/>
        <v>520.02981343999977</v>
      </c>
      <c r="Y70" s="557">
        <f t="shared" si="62"/>
        <v>929.82593273999953</v>
      </c>
      <c r="Z70" s="557">
        <f t="shared" si="62"/>
        <v>828.90741001999982</v>
      </c>
      <c r="AA70" s="557">
        <f t="shared" si="62"/>
        <v>1241.7027018299993</v>
      </c>
      <c r="AB70" s="557">
        <f t="shared" si="62"/>
        <v>1109.7702950600012</v>
      </c>
      <c r="AC70" s="564"/>
      <c r="AD70" s="557">
        <f t="shared" ref="AD70:AS70" si="63">SUM(AD66,AD67)</f>
        <v>204.93954829999996</v>
      </c>
      <c r="AE70" s="557">
        <f t="shared" si="63"/>
        <v>362.57695170000005</v>
      </c>
      <c r="AF70" s="557">
        <f t="shared" si="63"/>
        <v>316.13275324999995</v>
      </c>
      <c r="AG70" s="557">
        <f t="shared" si="63"/>
        <v>116.86201469000031</v>
      </c>
      <c r="AH70" s="557">
        <f t="shared" si="63"/>
        <v>429.81866008000014</v>
      </c>
      <c r="AI70" s="557">
        <f t="shared" si="63"/>
        <v>406.77277304999996</v>
      </c>
      <c r="AJ70" s="557">
        <f t="shared" si="63"/>
        <v>377.51520170999942</v>
      </c>
      <c r="AK70" s="557">
        <f t="shared" si="63"/>
        <v>142.51461173000035</v>
      </c>
      <c r="AL70" s="557">
        <f t="shared" si="63"/>
        <v>428.89172857999989</v>
      </c>
      <c r="AM70" s="557">
        <f t="shared" si="63"/>
        <v>500.93420415999992</v>
      </c>
      <c r="AN70" s="557">
        <f t="shared" si="63"/>
        <v>453.94702165000047</v>
      </c>
      <c r="AO70" s="557">
        <f t="shared" si="63"/>
        <v>374.96038836999935</v>
      </c>
      <c r="AP70" s="557">
        <f t="shared" si="63"/>
        <v>577.15085448000036</v>
      </c>
      <c r="AQ70" s="557">
        <f t="shared" si="63"/>
        <v>664.55184754999914</v>
      </c>
      <c r="AR70" s="557">
        <f t="shared" si="63"/>
        <v>616.98463247000132</v>
      </c>
      <c r="AS70" s="557">
        <f t="shared" si="63"/>
        <v>492.78566238999997</v>
      </c>
      <c r="AT70" s="557">
        <f t="shared" ref="AT70:AZ70" si="64">SUM(AT66,AT67)</f>
        <v>742.81747563999966</v>
      </c>
      <c r="AU70" s="557">
        <f t="shared" si="64"/>
        <v>1236.6094460300005</v>
      </c>
      <c r="AV70" s="557">
        <f t="shared" si="64"/>
        <v>1136.0748858900006</v>
      </c>
      <c r="AW70" s="557">
        <f t="shared" si="64"/>
        <v>652.59140798999999</v>
      </c>
      <c r="AX70" s="557">
        <f t="shared" si="64"/>
        <v>1163.4227400500004</v>
      </c>
      <c r="AY70" s="557">
        <f t="shared" si="64"/>
        <v>1601.5075935400018</v>
      </c>
      <c r="AZ70" s="557">
        <f t="shared" si="64"/>
        <v>1592.5548334899984</v>
      </c>
      <c r="BA70" s="557">
        <f t="shared" ref="BA70:BE70" si="65">SUM(BA66,BA67)</f>
        <v>878.11277545695589</v>
      </c>
      <c r="BB70" s="557">
        <f t="shared" si="65"/>
        <v>1504.8226578874639</v>
      </c>
      <c r="BC70" s="557">
        <f t="shared" si="65"/>
        <v>2021.4069192956374</v>
      </c>
      <c r="BD70" s="557">
        <f t="shared" si="65"/>
        <v>1890.6670753145938</v>
      </c>
      <c r="BE70" s="557">
        <f t="shared" si="65"/>
        <v>1301.0779624025254</v>
      </c>
    </row>
    <row r="71" spans="1:57">
      <c r="A71" s="523" t="s">
        <v>1005</v>
      </c>
      <c r="B71" s="562">
        <f>+Model!C27</f>
        <v>-0.53539999999999999</v>
      </c>
      <c r="C71" s="562">
        <f>+Model!D27</f>
        <v>-2.2846108799999998</v>
      </c>
      <c r="D71" s="562">
        <f>+Model!E27</f>
        <v>-6.5609849000000002</v>
      </c>
      <c r="E71" s="562">
        <f>+Model!F27</f>
        <v>0.61752069999999992</v>
      </c>
      <c r="F71" s="562">
        <f>+Model!G27</f>
        <v>115.88505549</v>
      </c>
      <c r="G71" s="562">
        <f>+Model!H27</f>
        <v>12.42969005</v>
      </c>
      <c r="H71" s="562">
        <f>+Model!I27</f>
        <v>27.68001332</v>
      </c>
      <c r="I71" s="562">
        <f>+Model!J27</f>
        <v>31.990654590000002</v>
      </c>
      <c r="J71" s="562">
        <f>+Model!K27</f>
        <v>200.04207292000001</v>
      </c>
      <c r="K71" s="562">
        <f>+Model!L27</f>
        <v>49.042072920000003</v>
      </c>
      <c r="L71" s="562">
        <f>+Model!M27</f>
        <v>54.04207292000001</v>
      </c>
      <c r="M71" s="562" t="e">
        <f>+Model!#REF!</f>
        <v>#REF!</v>
      </c>
      <c r="N71" s="562"/>
      <c r="O71" s="524"/>
      <c r="P71" s="524"/>
      <c r="Q71" s="524"/>
      <c r="R71" s="524"/>
      <c r="S71" s="524"/>
      <c r="T71" s="523"/>
      <c r="U71" s="519">
        <f>-Segment!V54+Segment!V55</f>
        <v>0.99290000000000012</v>
      </c>
      <c r="V71" s="519">
        <f>-Segment!W54+Segment!W55</f>
        <v>-1.6104207000000001</v>
      </c>
      <c r="W71" s="519">
        <f>-Segment!X54+Segment!X55</f>
        <v>6.9803631500000005</v>
      </c>
      <c r="X71" s="519">
        <f>-Segment!Y54+Segment!Y55</f>
        <v>110.47476122</v>
      </c>
      <c r="Y71" s="519">
        <f>-Segment!Z54+Segment!Z55</f>
        <v>33.737948979999999</v>
      </c>
      <c r="Z71" s="519">
        <f>-Segment!AA54+Segment!AA55</f>
        <v>-20.59197683</v>
      </c>
      <c r="AA71" s="519">
        <f>-Segment!AB54+Segment!AB55</f>
        <v>73.566109000000012</v>
      </c>
      <c r="AB71" s="519">
        <f>-Segment!AC54+Segment!AC55</f>
        <v>-42.501256520000005</v>
      </c>
      <c r="AC71" s="523"/>
      <c r="AD71" s="554">
        <f>+Segment!BB54+Segment!BB55</f>
        <v>0.13945005999999999</v>
      </c>
      <c r="AE71" s="554">
        <f>+Segment!BC54+Segment!BC55</f>
        <v>-1.13235006</v>
      </c>
      <c r="AF71" s="554">
        <f>+Segment!BD54+Segment!BD55</f>
        <v>0.50023401999999995</v>
      </c>
      <c r="AG71" s="554">
        <f>+Segment!BE54+Segment!BE55</f>
        <v>1.11018668</v>
      </c>
      <c r="AH71" s="554">
        <f>+Segment!BF54+Segment!BF55</f>
        <v>-0.54270748000000002</v>
      </c>
      <c r="AI71" s="554">
        <f>+Segment!BG54+Segment!BG55</f>
        <v>5.9831033500000004</v>
      </c>
      <c r="AJ71" s="554">
        <f>+Segment!BH54+Segment!BH55</f>
        <v>12.302801670000003</v>
      </c>
      <c r="AK71" s="554">
        <f>+Segment!BI54+Segment!BI55</f>
        <v>98.141857949999988</v>
      </c>
      <c r="AL71" s="554">
        <f>+Segment!BJ54+Segment!BJ55</f>
        <v>8.8243666799999989</v>
      </c>
      <c r="AM71" s="554">
        <f>+Segment!BK54+Segment!BK55</f>
        <v>23.195689299999998</v>
      </c>
      <c r="AN71" s="554">
        <f>+Segment!BL54+Segment!BL55</f>
        <v>12.622205300000005</v>
      </c>
      <c r="AO71" s="554">
        <f>+Segment!BM54+Segment!BM55</f>
        <v>-32.212571230000002</v>
      </c>
      <c r="AP71" s="554">
        <f>+Segment!BN54+Segment!BN55</f>
        <v>30.048921919999998</v>
      </c>
      <c r="AQ71" s="554">
        <f>+Segment!BO54+Segment!BO55</f>
        <v>41.02082622999999</v>
      </c>
      <c r="AR71" s="554">
        <f>+Segment!BP54+Segment!BP55</f>
        <v>-10.341824819999989</v>
      </c>
      <c r="AS71" s="554">
        <f>+Segment!BQ54+Segment!BQ55</f>
        <v>-33.047910010000003</v>
      </c>
      <c r="AT71" s="554">
        <f>+Segment!BR54+Segment!BR55</f>
        <v>26.730915190000001</v>
      </c>
      <c r="AU71" s="554">
        <f>+Segment!BS54+Segment!BS55</f>
        <v>-13.821454060000001</v>
      </c>
      <c r="AV71" s="554">
        <f>+Segment!BT54+Segment!BT55</f>
        <v>13.87456645</v>
      </c>
      <c r="AW71" s="554">
        <f>+Segment!BU54+Segment!BU55</f>
        <v>5.2066270100000054</v>
      </c>
      <c r="AX71" s="554">
        <f>+Segment!BV54+Segment!BV55</f>
        <v>23.347155999999998</v>
      </c>
      <c r="AY71" s="554">
        <f>+Segment!BW54+Segment!BW55</f>
        <v>54.021117709999999</v>
      </c>
      <c r="AZ71" s="554">
        <f>+Segment!BX54+Segment!BX55</f>
        <v>120.69099691000001</v>
      </c>
      <c r="BA71" s="554">
        <f>+Segment!BY54+Segment!BY55</f>
        <v>1.9828022999999992</v>
      </c>
      <c r="BB71" s="554">
        <f>+Segment!BZ54+Segment!BZ55</f>
        <v>23.347155999999998</v>
      </c>
      <c r="BC71" s="554">
        <f>+Segment!CA54+Segment!CA55</f>
        <v>54.021117709999999</v>
      </c>
      <c r="BD71" s="554">
        <f>+Segment!CB54+Segment!CB55</f>
        <v>120.69099691000001</v>
      </c>
      <c r="BE71" s="554">
        <f>+Segment!CC54+Segment!CC55</f>
        <v>-149.0171977</v>
      </c>
    </row>
    <row r="72" spans="1:57">
      <c r="A72" s="516" t="s">
        <v>1006</v>
      </c>
      <c r="B72" s="565">
        <f t="shared" ref="B72:H72" si="66">B70+B71</f>
        <v>380.29420000000005</v>
      </c>
      <c r="C72" s="565">
        <f t="shared" si="66"/>
        <v>241.36157556000006</v>
      </c>
      <c r="D72" s="565">
        <f t="shared" si="66"/>
        <v>703.29121155000007</v>
      </c>
      <c r="E72" s="565">
        <f t="shared" si="66"/>
        <v>1001.1287886400004</v>
      </c>
      <c r="F72" s="565">
        <f t="shared" si="66"/>
        <v>1472.5063020599998</v>
      </c>
      <c r="G72" s="565">
        <f t="shared" si="66"/>
        <v>1771.1630328099995</v>
      </c>
      <c r="H72" s="565">
        <f t="shared" si="66"/>
        <v>2379.1530102100005</v>
      </c>
      <c r="I72" s="565">
        <f>I70+I71</f>
        <v>3800.0838701400012</v>
      </c>
      <c r="J72" s="565">
        <f>J70+J71</f>
        <v>5435.6400154569565</v>
      </c>
      <c r="K72" s="565">
        <f>K70+K71</f>
        <v>6767.0166878202199</v>
      </c>
      <c r="L72" s="565">
        <f>L70+L71</f>
        <v>8139.2295924605114</v>
      </c>
      <c r="M72" s="565" t="e">
        <f>M70+M71</f>
        <v>#REF!</v>
      </c>
      <c r="N72" s="566"/>
      <c r="O72" s="517">
        <f>(H72/C72)^(1/5)-1</f>
        <v>0.58034114852192364</v>
      </c>
      <c r="P72" s="517" t="e">
        <f>(M72/H72)^(1/5)-1</f>
        <v>#REF!</v>
      </c>
      <c r="Q72" s="517">
        <f>(H72/F72)^(1/2)-1</f>
        <v>0.27110844983839733</v>
      </c>
      <c r="R72" s="517">
        <f>(K72/I72)^(1/2)-1</f>
        <v>0.33444916052376383</v>
      </c>
      <c r="S72" s="517">
        <f>(K72/H72)^(1/3)-1</f>
        <v>0.41685353459428764</v>
      </c>
      <c r="T72" s="516"/>
      <c r="U72" s="565">
        <f t="shared" ref="U72:AB72" si="67">U70+U71</f>
        <v>568.50939999999991</v>
      </c>
      <c r="V72" s="565">
        <f t="shared" si="67"/>
        <v>431.3843472400003</v>
      </c>
      <c r="W72" s="565">
        <f t="shared" si="67"/>
        <v>843.57179628000017</v>
      </c>
      <c r="X72" s="565">
        <f t="shared" si="67"/>
        <v>630.50457465999978</v>
      </c>
      <c r="Y72" s="565">
        <f t="shared" si="67"/>
        <v>963.56388171999947</v>
      </c>
      <c r="Z72" s="565">
        <f t="shared" si="67"/>
        <v>808.31543318999979</v>
      </c>
      <c r="AA72" s="565">
        <f t="shared" si="67"/>
        <v>1315.2688108299994</v>
      </c>
      <c r="AB72" s="565">
        <f t="shared" si="67"/>
        <v>1067.2690385400012</v>
      </c>
      <c r="AC72" s="516"/>
      <c r="AD72" s="532">
        <f t="shared" ref="AD72:AS72" si="68">AD70+AD71</f>
        <v>205.07899835999996</v>
      </c>
      <c r="AE72" s="532">
        <f t="shared" si="68"/>
        <v>361.44460164000003</v>
      </c>
      <c r="AF72" s="532">
        <f t="shared" si="68"/>
        <v>316.63298726999994</v>
      </c>
      <c r="AG72" s="532">
        <f t="shared" si="68"/>
        <v>117.97220137000031</v>
      </c>
      <c r="AH72" s="532">
        <f t="shared" si="68"/>
        <v>429.27595260000015</v>
      </c>
      <c r="AI72" s="532">
        <f t="shared" si="68"/>
        <v>412.75587639999998</v>
      </c>
      <c r="AJ72" s="532">
        <f t="shared" si="68"/>
        <v>389.81800337999942</v>
      </c>
      <c r="AK72" s="532">
        <f t="shared" si="68"/>
        <v>240.65646968000033</v>
      </c>
      <c r="AL72" s="532">
        <f t="shared" si="68"/>
        <v>437.71609525999992</v>
      </c>
      <c r="AM72" s="532">
        <f t="shared" si="68"/>
        <v>524.12989345999995</v>
      </c>
      <c r="AN72" s="532">
        <f t="shared" si="68"/>
        <v>466.56922695000048</v>
      </c>
      <c r="AO72" s="532">
        <f t="shared" si="68"/>
        <v>342.74781713999937</v>
      </c>
      <c r="AP72" s="532">
        <f t="shared" si="68"/>
        <v>607.19977640000036</v>
      </c>
      <c r="AQ72" s="532">
        <f t="shared" si="68"/>
        <v>705.57267377999915</v>
      </c>
      <c r="AR72" s="532">
        <f t="shared" si="68"/>
        <v>606.64280765000137</v>
      </c>
      <c r="AS72" s="532">
        <f t="shared" si="68"/>
        <v>459.73775237999996</v>
      </c>
      <c r="AT72" s="532">
        <f t="shared" ref="AT72:AZ72" si="69">AT70+AT71</f>
        <v>769.54839082999968</v>
      </c>
      <c r="AU72" s="532">
        <f t="shared" si="69"/>
        <v>1222.7879919700006</v>
      </c>
      <c r="AV72" s="532">
        <f t="shared" si="69"/>
        <v>1149.9494523400006</v>
      </c>
      <c r="AW72" s="532">
        <f t="shared" si="69"/>
        <v>657.79803500000003</v>
      </c>
      <c r="AX72" s="532">
        <f t="shared" si="69"/>
        <v>1186.7698960500004</v>
      </c>
      <c r="AY72" s="532">
        <f t="shared" si="69"/>
        <v>1655.5287112500018</v>
      </c>
      <c r="AZ72" s="532">
        <f t="shared" si="69"/>
        <v>1713.2458303999983</v>
      </c>
      <c r="BA72" s="532">
        <f t="shared" ref="BA72:BE72" si="70">BA70+BA71</f>
        <v>880.09557775695589</v>
      </c>
      <c r="BB72" s="532">
        <f t="shared" si="70"/>
        <v>1528.169813887464</v>
      </c>
      <c r="BC72" s="532">
        <f t="shared" si="70"/>
        <v>2075.4280370056376</v>
      </c>
      <c r="BD72" s="532">
        <f t="shared" si="70"/>
        <v>2011.3580722245938</v>
      </c>
      <c r="BE72" s="532">
        <f t="shared" si="70"/>
        <v>1152.0607647025254</v>
      </c>
    </row>
    <row r="73" spans="1:57">
      <c r="A73" s="523" t="s">
        <v>1007</v>
      </c>
      <c r="B73" s="824">
        <f>+Model!C33+Model!C34</f>
        <v>0</v>
      </c>
      <c r="C73" s="562">
        <f>+Model!D33+Model!D34</f>
        <v>-84.971488059999999</v>
      </c>
      <c r="D73" s="562">
        <f>+Model!E33+Model!E34</f>
        <v>-109.72446508000002</v>
      </c>
      <c r="E73" s="562">
        <f>+Model!F33+Model!F34</f>
        <v>-134.44274942000001</v>
      </c>
      <c r="F73" s="562">
        <f>+Model!G33+Model!G34</f>
        <v>-185.11280393000001</v>
      </c>
      <c r="G73" s="562">
        <f>+Model!H33+Model!H34</f>
        <v>-223.94137139</v>
      </c>
      <c r="H73" s="562">
        <f>+Model!I33+Model!I34</f>
        <v>-254.03912602</v>
      </c>
      <c r="I73" s="562">
        <f>+Model!J33+Model!J34</f>
        <v>-343.05168647999994</v>
      </c>
      <c r="J73" s="562">
        <f>+Model!K33+Model!K34</f>
        <v>-416.21586006555287</v>
      </c>
      <c r="K73" s="562">
        <f>+Model!L33+Model!L34</f>
        <v>-505.97599968019</v>
      </c>
      <c r="L73" s="562">
        <f>+Model!M33+Model!M34</f>
        <v>-734.11279827510248</v>
      </c>
      <c r="M73" s="562" t="e">
        <f>+Model!#REF!+Model!#REF!</f>
        <v>#REF!</v>
      </c>
      <c r="N73" s="562"/>
      <c r="O73" s="524">
        <f>(H73/C73)^(1/5)-1</f>
        <v>0.24487423132100905</v>
      </c>
      <c r="P73" s="524" t="e">
        <f>(M73/H73)^(1/5)-1</f>
        <v>#REF!</v>
      </c>
      <c r="Q73" s="524">
        <f>(H73/F73)^(1/2)-1</f>
        <v>0.17147243870400208</v>
      </c>
      <c r="R73" s="524">
        <f>(K73/I73)^(1/2)-1</f>
        <v>0.21446549200351672</v>
      </c>
      <c r="S73" s="524">
        <f>(K73/H73)^(1/3)-1</f>
        <v>0.25818094161629834</v>
      </c>
      <c r="T73" s="523"/>
      <c r="U73" s="567"/>
      <c r="V73" s="567"/>
      <c r="W73" s="862">
        <f>-SUM(Wind!CG237:CG240)</f>
        <v>-89.615640209999995</v>
      </c>
      <c r="X73" s="862">
        <f>+F73-W73</f>
        <v>-95.497163720000017</v>
      </c>
      <c r="Y73" s="862">
        <f>+G73-X73</f>
        <v>-128.44420766999997</v>
      </c>
      <c r="Z73" s="862">
        <f>+H73-Y73</f>
        <v>-125.59491835000003</v>
      </c>
      <c r="AA73" s="862">
        <f>+I73-Z73</f>
        <v>-217.45676812999992</v>
      </c>
      <c r="AB73" s="862">
        <f>+J73-AA73</f>
        <v>-198.75909193555296</v>
      </c>
      <c r="AC73" s="523"/>
      <c r="AD73" s="862">
        <f>-SUM(Wind!CB237:CB240)</f>
        <v>-30.587446109999998</v>
      </c>
      <c r="AH73" s="862">
        <f>-SUM(Wind!CF237:CF240)</f>
        <v>-42.01549138</v>
      </c>
      <c r="AI73" s="862">
        <f>+W73-AH73</f>
        <v>-47.600148829999995</v>
      </c>
    </row>
    <row r="74" spans="1:57">
      <c r="A74" s="516" t="s">
        <v>42</v>
      </c>
      <c r="B74" s="558">
        <f t="shared" ref="B74:H74" si="71">B72-B73</f>
        <v>380.29420000000005</v>
      </c>
      <c r="C74" s="558">
        <f t="shared" si="71"/>
        <v>326.33306362000008</v>
      </c>
      <c r="D74" s="558">
        <f t="shared" si="71"/>
        <v>813.01567663000014</v>
      </c>
      <c r="E74" s="558">
        <f t="shared" si="71"/>
        <v>1135.5715380600004</v>
      </c>
      <c r="F74" s="558">
        <f t="shared" si="71"/>
        <v>1657.6191059899998</v>
      </c>
      <c r="G74" s="558">
        <f t="shared" si="71"/>
        <v>1995.1044041999996</v>
      </c>
      <c r="H74" s="558">
        <f t="shared" si="71"/>
        <v>2633.1921362300004</v>
      </c>
      <c r="I74" s="558">
        <f>I72-I73</f>
        <v>4143.1355566200009</v>
      </c>
      <c r="J74" s="558">
        <f>J72-J73</f>
        <v>5851.8558755225095</v>
      </c>
      <c r="K74" s="558">
        <f>K72-K73</f>
        <v>7272.9926875004103</v>
      </c>
      <c r="L74" s="558">
        <f>L72-L73</f>
        <v>8873.3423907356137</v>
      </c>
      <c r="M74" s="558" t="e">
        <f>M72-M73</f>
        <v>#REF!</v>
      </c>
      <c r="N74" s="558"/>
      <c r="O74" s="859">
        <f>(H74/C74)^(1/5)-1</f>
        <v>0.51832343128500735</v>
      </c>
      <c r="P74" s="859" t="e">
        <f>(M74/H74)^(1/5)-1</f>
        <v>#REF!</v>
      </c>
      <c r="Q74" s="859">
        <f>(H74/F74)^(1/2)-1</f>
        <v>0.26037245369090889</v>
      </c>
      <c r="R74" s="859">
        <f>(K74/I74)^(1/2)-1</f>
        <v>0.32492716335297089</v>
      </c>
      <c r="S74" s="859">
        <f>(K74/H74)^(1/3)-1</f>
        <v>0.40306201498341254</v>
      </c>
      <c r="T74" s="516"/>
      <c r="U74" s="568">
        <f t="shared" ref="U74:AB74" si="72">U72-U73</f>
        <v>568.50939999999991</v>
      </c>
      <c r="V74" s="568">
        <f t="shared" si="72"/>
        <v>431.3843472400003</v>
      </c>
      <c r="W74" s="568">
        <f t="shared" si="72"/>
        <v>933.18743649000021</v>
      </c>
      <c r="X74" s="568">
        <f t="shared" si="72"/>
        <v>726.00173837999978</v>
      </c>
      <c r="Y74" s="568">
        <f t="shared" si="72"/>
        <v>1092.0080893899994</v>
      </c>
      <c r="Z74" s="568">
        <f t="shared" si="72"/>
        <v>933.91035153999985</v>
      </c>
      <c r="AA74" s="568">
        <f t="shared" si="72"/>
        <v>1532.7255789599994</v>
      </c>
      <c r="AB74" s="568">
        <f t="shared" si="72"/>
        <v>1266.0281304755542</v>
      </c>
      <c r="AC74" s="516"/>
      <c r="AD74" s="532">
        <f t="shared" ref="AD74:AS74" si="73">AD72-AD73</f>
        <v>235.66644446999996</v>
      </c>
      <c r="AE74" s="532">
        <f t="shared" si="73"/>
        <v>361.44460164000003</v>
      </c>
      <c r="AF74" s="532">
        <f t="shared" si="73"/>
        <v>316.63298726999994</v>
      </c>
      <c r="AG74" s="532">
        <f t="shared" si="73"/>
        <v>117.97220137000031</v>
      </c>
      <c r="AH74" s="532">
        <f t="shared" si="73"/>
        <v>471.29144398000017</v>
      </c>
      <c r="AI74" s="532">
        <f t="shared" si="73"/>
        <v>460.35602523</v>
      </c>
      <c r="AJ74" s="532">
        <f t="shared" si="73"/>
        <v>389.81800337999942</v>
      </c>
      <c r="AK74" s="532">
        <f t="shared" si="73"/>
        <v>240.65646968000033</v>
      </c>
      <c r="AL74" s="532">
        <f t="shared" si="73"/>
        <v>437.71609525999992</v>
      </c>
      <c r="AM74" s="532">
        <f t="shared" si="73"/>
        <v>524.12989345999995</v>
      </c>
      <c r="AN74" s="532">
        <f t="shared" si="73"/>
        <v>466.56922695000048</v>
      </c>
      <c r="AO74" s="532">
        <f t="shared" si="73"/>
        <v>342.74781713999937</v>
      </c>
      <c r="AP74" s="532">
        <f t="shared" si="73"/>
        <v>607.19977640000036</v>
      </c>
      <c r="AQ74" s="532">
        <f t="shared" si="73"/>
        <v>705.57267377999915</v>
      </c>
      <c r="AR74" s="532">
        <f t="shared" si="73"/>
        <v>606.64280765000137</v>
      </c>
      <c r="AS74" s="532">
        <f t="shared" si="73"/>
        <v>459.73775237999996</v>
      </c>
      <c r="AT74" s="532">
        <f t="shared" ref="AT74:AZ74" si="74">AT72-AT73</f>
        <v>769.54839082999968</v>
      </c>
      <c r="AU74" s="532">
        <f t="shared" si="74"/>
        <v>1222.7879919700006</v>
      </c>
      <c r="AV74" s="532">
        <f t="shared" si="74"/>
        <v>1149.9494523400006</v>
      </c>
      <c r="AW74" s="532">
        <f t="shared" si="74"/>
        <v>657.79803500000003</v>
      </c>
      <c r="AX74" s="532">
        <f t="shared" si="74"/>
        <v>1186.7698960500004</v>
      </c>
      <c r="AY74" s="532">
        <f t="shared" si="74"/>
        <v>1655.5287112500018</v>
      </c>
      <c r="AZ74" s="532">
        <f t="shared" si="74"/>
        <v>1713.2458303999983</v>
      </c>
      <c r="BA74" s="532">
        <f t="shared" ref="BA74:BE74" si="75">BA72-BA73</f>
        <v>880.09557775695589</v>
      </c>
      <c r="BB74" s="532">
        <f t="shared" si="75"/>
        <v>1528.169813887464</v>
      </c>
      <c r="BC74" s="532">
        <f t="shared" si="75"/>
        <v>2075.4280370056376</v>
      </c>
      <c r="BD74" s="532">
        <f t="shared" si="75"/>
        <v>2011.3580722245938</v>
      </c>
      <c r="BE74" s="532">
        <f t="shared" si="75"/>
        <v>1152.0607647025254</v>
      </c>
    </row>
    <row r="75" spans="1:57">
      <c r="A75" s="516"/>
      <c r="B75" s="527"/>
      <c r="C75" s="527"/>
      <c r="D75" s="527"/>
      <c r="E75" s="527"/>
      <c r="F75" s="527"/>
      <c r="G75" s="527"/>
      <c r="H75" s="527"/>
      <c r="I75" s="527"/>
      <c r="J75" s="1868"/>
      <c r="K75" s="527"/>
      <c r="L75" s="527"/>
      <c r="M75" s="527"/>
      <c r="N75" s="528"/>
      <c r="O75" s="517"/>
      <c r="P75" s="517"/>
      <c r="Q75" s="517"/>
      <c r="R75" s="517"/>
      <c r="S75" s="517"/>
      <c r="T75" s="516"/>
      <c r="U75" s="527"/>
      <c r="V75" s="527"/>
      <c r="W75" s="527"/>
      <c r="X75" s="527"/>
      <c r="Y75" s="527"/>
      <c r="Z75" s="527"/>
      <c r="AA75" s="527"/>
      <c r="AB75" s="527"/>
      <c r="AC75" s="516"/>
      <c r="AD75" s="554"/>
      <c r="AE75" s="554"/>
      <c r="AF75" s="554"/>
      <c r="AG75" s="554"/>
      <c r="AH75" s="554"/>
      <c r="AI75" s="554"/>
      <c r="AJ75" s="554"/>
      <c r="AK75" s="554"/>
      <c r="AL75" s="554"/>
      <c r="AM75" s="554"/>
      <c r="AN75" s="554"/>
      <c r="AO75" s="554"/>
      <c r="AP75" s="554"/>
      <c r="AQ75" s="554"/>
      <c r="AR75" s="554"/>
      <c r="AS75" s="554"/>
      <c r="AT75" s="554"/>
      <c r="AU75" s="554"/>
      <c r="AV75" s="554"/>
      <c r="AW75" s="554"/>
      <c r="AX75" s="554"/>
      <c r="AY75" s="554"/>
      <c r="AZ75" s="554"/>
      <c r="BA75" s="554"/>
      <c r="BB75" s="554"/>
      <c r="BC75" s="554"/>
      <c r="BD75" s="554"/>
      <c r="BE75" s="554"/>
    </row>
    <row r="76" spans="1:57">
      <c r="A76" s="523" t="s">
        <v>1008</v>
      </c>
      <c r="B76" s="569">
        <f>+Model!C38</f>
        <v>-10.454000000000001</v>
      </c>
      <c r="C76" s="569">
        <f>+Model!D38</f>
        <v>-5.0820752200000001</v>
      </c>
      <c r="D76" s="569">
        <f>+Model!E38</f>
        <v>13.965657160000001</v>
      </c>
      <c r="E76" s="569">
        <f>+Model!F38</f>
        <v>15.930939990000001</v>
      </c>
      <c r="F76" s="569">
        <f>+Model!G38</f>
        <v>11.39395732</v>
      </c>
      <c r="G76" s="569">
        <f>+Model!H38</f>
        <v>-41.039483529999998</v>
      </c>
      <c r="H76" s="569">
        <f>+Model!I38</f>
        <v>-2.28561682</v>
      </c>
      <c r="I76" s="569">
        <f>+Model!J38</f>
        <v>190.5357315</v>
      </c>
      <c r="J76" s="569">
        <f>+Model!K38</f>
        <v>139.04710740294567</v>
      </c>
      <c r="K76" s="569">
        <f>+Model!L38</f>
        <v>191.45247511645945</v>
      </c>
      <c r="L76" s="569">
        <f>+Model!M38</f>
        <v>208.22261531516895</v>
      </c>
      <c r="M76" s="569" t="e">
        <f>+Model!#REF!</f>
        <v>#REF!</v>
      </c>
      <c r="N76" s="569"/>
      <c r="O76" s="517"/>
      <c r="P76" s="517"/>
      <c r="Q76" s="517"/>
      <c r="R76" s="517"/>
      <c r="S76" s="517"/>
      <c r="T76" s="523"/>
      <c r="U76" s="519">
        <f>-Segment!V53</f>
        <v>6.8220000000000001</v>
      </c>
      <c r="V76" s="519">
        <f>-Segment!W53</f>
        <v>-22.752939990000002</v>
      </c>
      <c r="W76" s="519">
        <f>-Segment!X53</f>
        <v>4.2964605499999999</v>
      </c>
      <c r="X76" s="519">
        <f>-Segment!Y53</f>
        <v>-15.690417870000001</v>
      </c>
      <c r="Y76" s="519">
        <f>-Segment!Z53</f>
        <v>-20.767388030000003</v>
      </c>
      <c r="Z76" s="519">
        <f>-Segment!AA53</f>
        <v>61.806871560000005</v>
      </c>
      <c r="AA76" s="519">
        <f>-Segment!AB53</f>
        <v>5.2930758400000002</v>
      </c>
      <c r="AB76" s="519">
        <f>-Segment!AC53</f>
        <v>-3.0074590200000002</v>
      </c>
      <c r="AC76" s="523"/>
      <c r="AD76" s="554">
        <f>-Segment!BB53</f>
        <v>3.7269526499999999</v>
      </c>
      <c r="AE76" s="554">
        <f>-Segment!BC53</f>
        <v>3.0950473500000002</v>
      </c>
      <c r="AF76" s="554">
        <f>-Segment!BD53</f>
        <v>4.619569470000001</v>
      </c>
      <c r="AG76" s="554">
        <f>-Segment!BE53</f>
        <v>-27.372509460000003</v>
      </c>
      <c r="AH76" s="554">
        <f>-Segment!BF53</f>
        <v>2.3103463500000001</v>
      </c>
      <c r="AI76" s="554">
        <f>-Segment!BG53</f>
        <v>1.9861141999999998</v>
      </c>
      <c r="AJ76" s="554">
        <f>-Segment!BH53</f>
        <v>6.3750548500000006</v>
      </c>
      <c r="AK76" s="554">
        <f>-Segment!BI53</f>
        <v>-22.065472720000002</v>
      </c>
      <c r="AL76" s="554">
        <f>-Segment!BJ53</f>
        <v>-7.1531040399999997</v>
      </c>
      <c r="AM76" s="554">
        <f>-Segment!BK53</f>
        <v>-13.614283990000004</v>
      </c>
      <c r="AN76" s="554">
        <f>-Segment!BL53</f>
        <v>-13.885305319999997</v>
      </c>
      <c r="AO76" s="554">
        <f>-Segment!BM53</f>
        <v>-6.3867901799999984</v>
      </c>
      <c r="AP76" s="554">
        <f>-Segment!BN53</f>
        <v>5.9037631100000008</v>
      </c>
      <c r="AQ76" s="554">
        <f>-Segment!BO53</f>
        <v>-0.61068727000000056</v>
      </c>
      <c r="AR76" s="554">
        <f>-Segment!BP53</f>
        <v>18.629631809999999</v>
      </c>
      <c r="AS76" s="554">
        <f>-Segment!BQ53</f>
        <v>-26.208324470000001</v>
      </c>
      <c r="AT76" s="554">
        <f>-Segment!BR53</f>
        <v>45.066576090000005</v>
      </c>
      <c r="AU76" s="554">
        <f>-Segment!BS53</f>
        <v>59.377861069999987</v>
      </c>
      <c r="AV76" s="554">
        <f>-Segment!BT53</f>
        <v>30.469263840000011</v>
      </c>
      <c r="AW76" s="554">
        <f>-Segment!BU53</f>
        <v>55.622030499999994</v>
      </c>
      <c r="AX76" s="554">
        <f>-Segment!BV53</f>
        <v>18.06672721</v>
      </c>
      <c r="AY76" s="554">
        <f>-Segment!BW53</f>
        <v>46.155894979999999</v>
      </c>
      <c r="AZ76" s="554">
        <f>-Segment!BX53</f>
        <v>9.4679810700000075</v>
      </c>
      <c r="BA76" s="554">
        <f>-Segment!BY53</f>
        <v>65.356504142945667</v>
      </c>
      <c r="BB76" s="554">
        <f>-Segment!BZ53</f>
        <v>18.06672721</v>
      </c>
      <c r="BC76" s="554">
        <f>-Segment!CA53</f>
        <v>46.155894979999999</v>
      </c>
      <c r="BD76" s="554">
        <f>-Segment!CB53</f>
        <v>9.4679810700000075</v>
      </c>
      <c r="BE76" s="554">
        <f>-Segment!CC53</f>
        <v>117.76187185645945</v>
      </c>
    </row>
    <row r="77" spans="1:57">
      <c r="A77" s="523" t="s">
        <v>1009</v>
      </c>
      <c r="B77" s="569">
        <f t="shared" ref="B77:H77" si="76">B78-(B72+B76)</f>
        <v>19.9649</v>
      </c>
      <c r="C77" s="569">
        <f t="shared" si="76"/>
        <v>37.04835387</v>
      </c>
      <c r="D77" s="569">
        <f t="shared" si="76"/>
        <v>19.246075979999887</v>
      </c>
      <c r="E77" s="569">
        <f t="shared" si="76"/>
        <v>12.489925800000037</v>
      </c>
      <c r="F77" s="569">
        <f t="shared" si="76"/>
        <v>29.616555029999972</v>
      </c>
      <c r="G77" s="569">
        <f t="shared" si="76"/>
        <v>105.88620014999992</v>
      </c>
      <c r="H77" s="569">
        <f t="shared" si="76"/>
        <v>202.40354220000063</v>
      </c>
      <c r="I77" s="569">
        <f>I78-(I72+I76)</f>
        <v>116.69269706000114</v>
      </c>
      <c r="J77" s="569">
        <f>J78-(J72+J76)</f>
        <v>164.39201243000025</v>
      </c>
      <c r="K77" s="569">
        <f>K78-(K72+K76)</f>
        <v>155.39201243000025</v>
      </c>
      <c r="L77" s="569">
        <f>L78-(L72+L76)</f>
        <v>147.79201242999807</v>
      </c>
      <c r="M77" s="569" t="e">
        <f>M78-(M72+M76)</f>
        <v>#REF!</v>
      </c>
      <c r="N77" s="569"/>
      <c r="O77" s="524"/>
      <c r="P77" s="524"/>
      <c r="Q77" s="524"/>
      <c r="R77" s="524"/>
      <c r="S77" s="524"/>
      <c r="T77" s="523"/>
      <c r="U77" s="567">
        <f t="shared" ref="U77:AB77" si="77">U78-(U72+U76)</f>
        <v>-24.03349999999989</v>
      </c>
      <c r="V77" s="567">
        <f t="shared" si="77"/>
        <v>69.620347180000067</v>
      </c>
      <c r="W77" s="567">
        <f t="shared" si="77"/>
        <v>3.4050005000000283</v>
      </c>
      <c r="X77" s="567">
        <f t="shared" si="77"/>
        <v>47.429400289999876</v>
      </c>
      <c r="Y77" s="567">
        <f t="shared" si="77"/>
        <v>18.214886960000399</v>
      </c>
      <c r="Z77" s="567">
        <f t="shared" si="77"/>
        <v>4.8760640299997249</v>
      </c>
      <c r="AA77" s="567">
        <f t="shared" si="77"/>
        <v>142.91268074999994</v>
      </c>
      <c r="AB77" s="567">
        <f t="shared" si="77"/>
        <v>101.74667242999999</v>
      </c>
      <c r="AC77" s="523"/>
      <c r="AD77" s="525">
        <f t="shared" ref="AD77:AS77" si="78">AD78-(AD72+AD76)</f>
        <v>-18.134597969999959</v>
      </c>
      <c r="AE77" s="525">
        <f t="shared" si="78"/>
        <v>-3.9131020300000046</v>
      </c>
      <c r="AF77" s="525">
        <f t="shared" si="78"/>
        <v>2.2820587799998862</v>
      </c>
      <c r="AG77" s="525">
        <f t="shared" si="78"/>
        <v>64.117446999999999</v>
      </c>
      <c r="AH77" s="525">
        <f t="shared" si="78"/>
        <v>2.0909105100000147</v>
      </c>
      <c r="AI77" s="525">
        <f t="shared" si="78"/>
        <v>2.8540572700001121</v>
      </c>
      <c r="AJ77" s="525">
        <f t="shared" si="78"/>
        <v>-5.5298409700000661</v>
      </c>
      <c r="AK77" s="525">
        <f t="shared" si="78"/>
        <v>52.989342860000079</v>
      </c>
      <c r="AL77" s="525">
        <f t="shared" si="78"/>
        <v>8.7949188699999468</v>
      </c>
      <c r="AM77" s="525">
        <f t="shared" si="78"/>
        <v>11.137861090000001</v>
      </c>
      <c r="AN77" s="525">
        <f t="shared" si="78"/>
        <v>69.137620420000019</v>
      </c>
      <c r="AO77" s="525">
        <f t="shared" si="78"/>
        <v>16.815799770000069</v>
      </c>
      <c r="AP77" s="525">
        <f t="shared" si="78"/>
        <v>28.190481889999887</v>
      </c>
      <c r="AQ77" s="525">
        <f t="shared" si="78"/>
        <v>55.90976897999974</v>
      </c>
      <c r="AR77" s="525">
        <f t="shared" si="78"/>
        <v>54.701664179999966</v>
      </c>
      <c r="AS77" s="525">
        <f t="shared" si="78"/>
        <v>63.601627149999956</v>
      </c>
      <c r="AT77" s="525">
        <f t="shared" ref="AT77:AZ77" si="79">AT78-(AT72+AT76)</f>
        <v>15.103276459999961</v>
      </c>
      <c r="AU77" s="525">
        <f t="shared" si="79"/>
        <v>30.057254009999951</v>
      </c>
      <c r="AV77" s="525">
        <f t="shared" si="79"/>
        <v>31.613452279999819</v>
      </c>
      <c r="AW77" s="525">
        <f t="shared" si="79"/>
        <v>39.918714310000041</v>
      </c>
      <c r="AX77" s="525">
        <f t="shared" si="79"/>
        <v>28.353444399999489</v>
      </c>
      <c r="AY77" s="525">
        <f t="shared" si="79"/>
        <v>66.694801519999828</v>
      </c>
      <c r="AZ77" s="525">
        <f t="shared" si="79"/>
        <v>53.494099509999842</v>
      </c>
      <c r="BA77" s="525">
        <f t="shared" ref="BA77:BE77" si="80">BA78-(BA72+BA76)</f>
        <v>15.849666999999954</v>
      </c>
      <c r="BB77" s="525">
        <f t="shared" si="80"/>
        <v>28.353444399999717</v>
      </c>
      <c r="BC77" s="525">
        <f t="shared" si="80"/>
        <v>66.694801519999601</v>
      </c>
      <c r="BD77" s="525">
        <f t="shared" si="80"/>
        <v>53.494099510000069</v>
      </c>
      <c r="BE77" s="525">
        <f t="shared" si="80"/>
        <v>6.8496670000001814</v>
      </c>
    </row>
    <row r="78" spans="1:57">
      <c r="A78" s="570" t="s">
        <v>1010</v>
      </c>
      <c r="B78" s="798">
        <f>+Model!C50</f>
        <v>389.80510000000004</v>
      </c>
      <c r="C78" s="571">
        <f>+Model!D50</f>
        <v>273.32785421000005</v>
      </c>
      <c r="D78" s="571">
        <f>+Model!E50</f>
        <v>736.50294468999994</v>
      </c>
      <c r="E78" s="571">
        <f>+Model!F50</f>
        <v>1029.5496544300004</v>
      </c>
      <c r="F78" s="571">
        <f>+Model!G50</f>
        <v>1513.5168144099998</v>
      </c>
      <c r="G78" s="571">
        <f>+Model!H50</f>
        <v>1836.0097494299994</v>
      </c>
      <c r="H78" s="571">
        <f>+Model!I50</f>
        <v>2579.270935590001</v>
      </c>
      <c r="I78" s="571">
        <f>+Model!J50</f>
        <v>4107.3122987000024</v>
      </c>
      <c r="J78" s="571">
        <f>+Model!K50</f>
        <v>5739.0791352899023</v>
      </c>
      <c r="K78" s="571">
        <f>+Model!L50</f>
        <v>7113.8611753666792</v>
      </c>
      <c r="L78" s="571">
        <f>+Model!M50</f>
        <v>8495.2442202056791</v>
      </c>
      <c r="M78" s="571" t="e">
        <f>+Model!#REF!</f>
        <v>#REF!</v>
      </c>
      <c r="N78" s="528"/>
      <c r="O78" s="859">
        <f>(H78/C78)^(1/5)-1</f>
        <v>0.56661620477669516</v>
      </c>
      <c r="P78" s="859" t="e">
        <f>(M78/H78)^(1/5)-1</f>
        <v>#REF!</v>
      </c>
      <c r="Q78" s="859">
        <f>(H78/F78)^(1/2)-1</f>
        <v>0.30543381187661733</v>
      </c>
      <c r="R78" s="859">
        <f>(K78/I78)^(1/2)-1</f>
        <v>0.31605436545830989</v>
      </c>
      <c r="S78" s="859">
        <f>(K78/H78)^(1/3)-1</f>
        <v>0.40239215559472719</v>
      </c>
      <c r="T78" s="516"/>
      <c r="U78" s="571">
        <f>+Segment!V61</f>
        <v>551.29790000000003</v>
      </c>
      <c r="V78" s="571">
        <f>+Segment!W61</f>
        <v>478.25175443000035</v>
      </c>
      <c r="W78" s="571">
        <f>+Segment!X61</f>
        <v>851.27325733000021</v>
      </c>
      <c r="X78" s="571">
        <f>+Segment!Y61</f>
        <v>662.24355707999962</v>
      </c>
      <c r="Y78" s="571">
        <f>+Segment!Z61</f>
        <v>961.01138064999986</v>
      </c>
      <c r="Z78" s="571">
        <f>+Segment!AA61</f>
        <v>874.99836877999951</v>
      </c>
      <c r="AA78" s="571">
        <f>+Segment!AB61</f>
        <v>1463.4745674199994</v>
      </c>
      <c r="AB78" s="571">
        <f>+Segment!AC61</f>
        <v>1166.0082519500013</v>
      </c>
      <c r="AC78" s="516"/>
      <c r="AD78" s="532">
        <f>+Segment!BB61</f>
        <v>190.67135303999999</v>
      </c>
      <c r="AE78" s="532">
        <f>+Segment!BC61</f>
        <v>360.62654696000004</v>
      </c>
      <c r="AF78" s="532">
        <f>+Segment!BD61</f>
        <v>323.53461551999982</v>
      </c>
      <c r="AG78" s="532">
        <f>+Segment!BE61</f>
        <v>154.7171389100003</v>
      </c>
      <c r="AH78" s="532">
        <f>+Segment!BF61</f>
        <v>433.67720946000014</v>
      </c>
      <c r="AI78" s="532">
        <f>+Segment!BG61</f>
        <v>417.59604787000006</v>
      </c>
      <c r="AJ78" s="532">
        <f>+Segment!BH61</f>
        <v>390.66321725999939</v>
      </c>
      <c r="AK78" s="532">
        <f>+Segment!BI61</f>
        <v>271.5803398200004</v>
      </c>
      <c r="AL78" s="532">
        <f>+Segment!BJ61</f>
        <v>439.35791008999985</v>
      </c>
      <c r="AM78" s="532">
        <f>+Segment!BK61</f>
        <v>521.65347055999996</v>
      </c>
      <c r="AN78" s="532">
        <f>+Segment!BL61</f>
        <v>521.82154205000052</v>
      </c>
      <c r="AO78" s="532">
        <f>+Segment!BM61</f>
        <v>353.17682672999945</v>
      </c>
      <c r="AP78" s="532">
        <f>+Segment!BN61</f>
        <v>641.29402140000025</v>
      </c>
      <c r="AQ78" s="532">
        <f>+Segment!BO61</f>
        <v>760.87175548999892</v>
      </c>
      <c r="AR78" s="532">
        <f>+Segment!BP61</f>
        <v>679.97410364000132</v>
      </c>
      <c r="AS78" s="532">
        <f>+Segment!BQ61</f>
        <v>497.13105505999994</v>
      </c>
      <c r="AT78" s="532">
        <f>+Segment!BR61</f>
        <v>829.71824337999965</v>
      </c>
      <c r="AU78" s="532">
        <f>+Segment!BS61</f>
        <v>1312.2231070500004</v>
      </c>
      <c r="AV78" s="532">
        <f>+Segment!BT61</f>
        <v>1212.0321684600003</v>
      </c>
      <c r="AW78" s="532">
        <f>+Segment!BU61</f>
        <v>753.33877981000001</v>
      </c>
      <c r="AX78" s="532">
        <f>+Segment!BV61</f>
        <v>1233.1900676599998</v>
      </c>
      <c r="AY78" s="532">
        <f>+Segment!BW61</f>
        <v>1768.3794077500017</v>
      </c>
      <c r="AZ78" s="532">
        <f>+Segment!BX61</f>
        <v>1776.2079109799981</v>
      </c>
      <c r="BA78" s="532">
        <f>+Segment!BY61</f>
        <v>961.30174889990155</v>
      </c>
      <c r="BB78" s="532">
        <f>+Segment!BZ61</f>
        <v>1574.5899854974637</v>
      </c>
      <c r="BC78" s="532">
        <f>+Segment!CA61</f>
        <v>2188.2787335056373</v>
      </c>
      <c r="BD78" s="532">
        <f>+Segment!CB61</f>
        <v>2074.3201528045938</v>
      </c>
      <c r="BE78" s="532">
        <f>+Segment!CC61</f>
        <v>1276.672303558985</v>
      </c>
    </row>
    <row r="79" spans="1:57">
      <c r="A79" s="523" t="s">
        <v>934</v>
      </c>
      <c r="B79" s="569">
        <f>+Model!C53</f>
        <v>-93.639300000000006</v>
      </c>
      <c r="C79" s="569">
        <f>+Model!D53</f>
        <v>-57.496913749999997</v>
      </c>
      <c r="D79" s="569">
        <f>+Model!E53</f>
        <v>-165.92903487000001</v>
      </c>
      <c r="E79" s="569">
        <f>+Model!F53</f>
        <v>-217.48613861000001</v>
      </c>
      <c r="F79" s="569">
        <f>+Model!G53</f>
        <v>-320.55640682000001</v>
      </c>
      <c r="G79" s="569">
        <f>+Model!H53</f>
        <v>-395.48917806999998</v>
      </c>
      <c r="H79" s="569">
        <f>+Model!I53</f>
        <v>-539.49813166999991</v>
      </c>
      <c r="I79" s="569">
        <f>+Model!J53</f>
        <v>-780.88329400999999</v>
      </c>
      <c r="J79" s="569">
        <f>+Model!K53</f>
        <v>-1176.5112227344298</v>
      </c>
      <c r="K79" s="569">
        <f>+Model!L53</f>
        <v>-1458.3415409501692</v>
      </c>
      <c r="L79" s="569">
        <f>+Model!M53</f>
        <v>-1741.5250651421641</v>
      </c>
      <c r="M79" s="569" t="e">
        <f>+Model!#REF!</f>
        <v>#REF!</v>
      </c>
      <c r="N79" s="569"/>
      <c r="O79" s="524"/>
      <c r="P79" s="524"/>
      <c r="Q79" s="524"/>
      <c r="R79" s="524"/>
      <c r="S79" s="524"/>
      <c r="T79" s="523"/>
      <c r="U79" s="519">
        <f>-Segment!V62</f>
        <v>-123.6327</v>
      </c>
      <c r="V79" s="519">
        <f>-Segment!W62</f>
        <v>-93.853438610000012</v>
      </c>
      <c r="W79" s="519">
        <f>-Segment!X62</f>
        <v>-184.04004799000001</v>
      </c>
      <c r="X79" s="519">
        <f>-Segment!Y62</f>
        <v>-136.51635883</v>
      </c>
      <c r="Y79" s="519">
        <f>-Segment!Z62</f>
        <v>-206.38160372999999</v>
      </c>
      <c r="Z79" s="519">
        <f>-Segment!AA62</f>
        <v>-189.10757433999999</v>
      </c>
      <c r="AA79" s="519">
        <f>-Segment!AB62</f>
        <v>-294.04552769999998</v>
      </c>
      <c r="AB79" s="519">
        <f>-Segment!AC62</f>
        <v>-245.45260396999993</v>
      </c>
      <c r="AC79" s="523"/>
      <c r="AD79" s="554">
        <f>-Segment!BB62</f>
        <v>-44.475694170000004</v>
      </c>
      <c r="AE79" s="554">
        <f>-Segment!BC62</f>
        <v>-79.157005830000003</v>
      </c>
      <c r="AF79" s="554">
        <f>-Segment!BD62</f>
        <v>-70.040576369999997</v>
      </c>
      <c r="AG79" s="554">
        <f>-Segment!BE62</f>
        <v>-23.812862240000015</v>
      </c>
      <c r="AH79" s="554">
        <f>-Segment!BF62</f>
        <v>-96.408436599999987</v>
      </c>
      <c r="AI79" s="554">
        <f>-Segment!BG62</f>
        <v>-87.631611390000018</v>
      </c>
      <c r="AJ79" s="554">
        <f>-Segment!BH62</f>
        <v>-83.205507909999994</v>
      </c>
      <c r="AK79" s="554">
        <f>-Segment!BI62</f>
        <v>-53.310850920000007</v>
      </c>
      <c r="AL79" s="554">
        <f>-Segment!BJ62</f>
        <v>-94.708990319999998</v>
      </c>
      <c r="AM79" s="554">
        <f>-Segment!BK62</f>
        <v>-111.67261341</v>
      </c>
      <c r="AN79" s="554">
        <f>-Segment!BL62</f>
        <v>-110.94526862000004</v>
      </c>
      <c r="AO79" s="554">
        <f>-Segment!BM62</f>
        <v>-78.162305719999949</v>
      </c>
      <c r="AP79" s="554">
        <f>-Segment!BN62</f>
        <v>-144.04229140000001</v>
      </c>
      <c r="AQ79" s="554">
        <f>-Segment!BO62</f>
        <v>-150.00323636999997</v>
      </c>
      <c r="AR79" s="554">
        <f>-Segment!BP62</f>
        <v>-132.49349839000007</v>
      </c>
      <c r="AS79" s="554">
        <f>-Segment!BQ62</f>
        <v>-112.95910550999986</v>
      </c>
      <c r="AT79" s="554">
        <f>-Segment!BR62</f>
        <v>-165.83784508000002</v>
      </c>
      <c r="AU79" s="554">
        <f>-Segment!BS62</f>
        <v>-245.51200655999997</v>
      </c>
      <c r="AV79" s="554">
        <f>-Segment!BT62</f>
        <v>-235.2312598100001</v>
      </c>
      <c r="AW79" s="554">
        <f>-Segment!BU62</f>
        <v>-134.30218255999989</v>
      </c>
      <c r="AX79" s="554">
        <f>-Segment!BV62</f>
        <v>-253.23469449999999</v>
      </c>
      <c r="AY79" s="554">
        <f>-Segment!BW62</f>
        <v>-373.82021710999999</v>
      </c>
      <c r="AZ79" s="554">
        <f>-Segment!BX62</f>
        <v>-390.90975564000007</v>
      </c>
      <c r="BA79" s="554">
        <f>-Segment!BY62</f>
        <v>-158.54655548442975</v>
      </c>
      <c r="BB79" s="554">
        <f>-Segment!BZ62</f>
        <v>-323.65240979430064</v>
      </c>
      <c r="BC79" s="554">
        <f>-Segment!CA62</f>
        <v>-462.58332780355414</v>
      </c>
      <c r="BD79" s="554">
        <f>-Segment!CB62</f>
        <v>-456.51861983014311</v>
      </c>
      <c r="BE79" s="554">
        <f>-Segment!CC62</f>
        <v>-215.58718352217147</v>
      </c>
    </row>
    <row r="80" spans="1:57">
      <c r="A80" s="555" t="s">
        <v>1011</v>
      </c>
      <c r="B80" s="572">
        <f>+Model!C54</f>
        <v>0</v>
      </c>
      <c r="C80" s="572">
        <f>+Model!D54</f>
        <v>0</v>
      </c>
      <c r="D80" s="572">
        <f>+Model!E54</f>
        <v>0</v>
      </c>
      <c r="E80" s="572">
        <f>+Model!F54</f>
        <v>0</v>
      </c>
      <c r="F80" s="572">
        <f>+Model!G54</f>
        <v>0</v>
      </c>
      <c r="G80" s="572">
        <f>+Model!H54</f>
        <v>0</v>
      </c>
      <c r="H80" s="572">
        <f>+Model!I54</f>
        <v>0</v>
      </c>
      <c r="I80" s="572">
        <f>+Model!J54</f>
        <v>0.27984775000000001</v>
      </c>
      <c r="J80" s="572">
        <f>+Model!K54</f>
        <v>0.27984775000000001</v>
      </c>
      <c r="K80" s="572">
        <f>+Model!L54</f>
        <v>0.27984775000000001</v>
      </c>
      <c r="L80" s="572">
        <f>+Model!M54</f>
        <v>0.27984775000000001</v>
      </c>
      <c r="M80" s="572" t="e">
        <f>+Model!#REF!</f>
        <v>#REF!</v>
      </c>
      <c r="N80" s="569"/>
      <c r="O80" s="526"/>
      <c r="P80" s="526"/>
      <c r="Q80" s="526"/>
      <c r="R80" s="526"/>
      <c r="S80" s="526"/>
      <c r="T80" s="523"/>
      <c r="U80" s="525">
        <f t="shared" ref="U80:AB80" si="81">+U81-U78-U79</f>
        <v>0</v>
      </c>
      <c r="V80" s="525">
        <f t="shared" si="81"/>
        <v>0</v>
      </c>
      <c r="W80" s="525">
        <f t="shared" si="81"/>
        <v>0</v>
      </c>
      <c r="X80" s="525">
        <f t="shared" si="81"/>
        <v>0</v>
      </c>
      <c r="Y80" s="525">
        <f t="shared" si="81"/>
        <v>0</v>
      </c>
      <c r="Z80" s="525">
        <f t="shared" si="81"/>
        <v>0</v>
      </c>
      <c r="AA80" s="525">
        <f t="shared" si="81"/>
        <v>0</v>
      </c>
      <c r="AB80" s="525">
        <f t="shared" si="81"/>
        <v>-50.211883779999653</v>
      </c>
      <c r="AC80" s="523"/>
      <c r="AD80" s="556">
        <f>-Segment!BB64</f>
        <v>0</v>
      </c>
      <c r="AE80" s="556">
        <f>-Segment!BC64</f>
        <v>0</v>
      </c>
      <c r="AF80" s="556">
        <f>-Segment!BD64</f>
        <v>0</v>
      </c>
      <c r="AG80" s="556">
        <f>-Segment!BE64</f>
        <v>0</v>
      </c>
      <c r="AH80" s="556">
        <f>-Segment!BF64</f>
        <v>0</v>
      </c>
      <c r="AI80" s="556">
        <f>-Segment!BG64</f>
        <v>0</v>
      </c>
      <c r="AJ80" s="556">
        <f>-Segment!BH64</f>
        <v>0</v>
      </c>
      <c r="AK80" s="556">
        <f>-Segment!BI64</f>
        <v>0</v>
      </c>
      <c r="AL80" s="556">
        <f>-Segment!BJ64</f>
        <v>0</v>
      </c>
      <c r="AM80" s="556">
        <f>-Segment!BK64</f>
        <v>0</v>
      </c>
      <c r="AN80" s="556">
        <f>-Segment!BL64</f>
        <v>0</v>
      </c>
      <c r="AO80" s="556">
        <f>-Segment!BM64</f>
        <v>0</v>
      </c>
      <c r="AP80" s="556">
        <f>-Segment!BN64</f>
        <v>0</v>
      </c>
      <c r="AQ80" s="556">
        <f>-Segment!BO64</f>
        <v>0</v>
      </c>
      <c r="AR80" s="556">
        <f>-Segment!BP64</f>
        <v>0</v>
      </c>
      <c r="AS80" s="556">
        <f>-Segment!BQ64</f>
        <v>0</v>
      </c>
      <c r="AT80" s="556">
        <f>-Segment!BR64</f>
        <v>0</v>
      </c>
      <c r="AU80" s="556">
        <f>-Segment!BS64</f>
        <v>0</v>
      </c>
      <c r="AV80" s="556">
        <f>-Segment!BT64</f>
        <v>0</v>
      </c>
      <c r="AW80" s="556">
        <f>-Segment!BU64</f>
        <v>0.27984775000000001</v>
      </c>
      <c r="AX80" s="556">
        <f>-Segment!BV64</f>
        <v>5.41571E-2</v>
      </c>
      <c r="AY80" s="556">
        <f>-Segment!BW64</f>
        <v>0.18206454</v>
      </c>
      <c r="AZ80" s="556">
        <f>-Segment!BX64</f>
        <v>0.87434546000000013</v>
      </c>
      <c r="BA80" s="556">
        <f>-Segment!BY64</f>
        <v>0</v>
      </c>
      <c r="BB80" s="556">
        <f>-Segment!BZ64</f>
        <v>0</v>
      </c>
      <c r="BC80" s="556">
        <f>-Segment!CA64</f>
        <v>0</v>
      </c>
      <c r="BD80" s="556">
        <f>-Segment!CB64</f>
        <v>0</v>
      </c>
      <c r="BE80" s="556">
        <f>-Segment!CC64</f>
        <v>0.27984775000000001</v>
      </c>
    </row>
    <row r="81" spans="1:57">
      <c r="A81" s="516" t="s">
        <v>1055</v>
      </c>
      <c r="B81" s="573">
        <f t="shared" ref="B81:H81" si="82">SUM(B78:B80)</f>
        <v>296.16580000000005</v>
      </c>
      <c r="C81" s="573">
        <f t="shared" si="82"/>
        <v>215.83094046000005</v>
      </c>
      <c r="D81" s="573">
        <f t="shared" si="82"/>
        <v>570.57390981999993</v>
      </c>
      <c r="E81" s="573">
        <f t="shared" si="82"/>
        <v>812.06351582000036</v>
      </c>
      <c r="F81" s="573">
        <f t="shared" si="82"/>
        <v>1192.9604075899997</v>
      </c>
      <c r="G81" s="573">
        <f t="shared" si="82"/>
        <v>1440.5205713599994</v>
      </c>
      <c r="H81" s="573">
        <f t="shared" si="82"/>
        <v>2039.772803920001</v>
      </c>
      <c r="I81" s="573">
        <f>SUM(I78:I80)</f>
        <v>3326.7088524400024</v>
      </c>
      <c r="J81" s="573">
        <f>SUM(J78:J80)</f>
        <v>4562.8477603054725</v>
      </c>
      <c r="K81" s="573">
        <f>SUM(K78:K80)</f>
        <v>5655.7994821665097</v>
      </c>
      <c r="L81" s="573">
        <f>SUM(L78:L80)</f>
        <v>6753.9990028135153</v>
      </c>
      <c r="M81" s="573" t="e">
        <f>SUM(M78:M80)</f>
        <v>#REF!</v>
      </c>
      <c r="N81" s="573"/>
      <c r="O81" s="859">
        <f>(H81/C81)^(1/5)-1</f>
        <v>0.56708884357309963</v>
      </c>
      <c r="P81" s="859" t="e">
        <f>(M81/H81)^(1/5)-1</f>
        <v>#REF!</v>
      </c>
      <c r="Q81" s="859">
        <f>(H81/F81)^(1/2)-1</f>
        <v>0.30760894662522476</v>
      </c>
      <c r="R81" s="859">
        <f>(K81/I81)^(1/2)-1</f>
        <v>0.30388594805530822</v>
      </c>
      <c r="S81" s="859">
        <f>(K81/H81)^(1/3)-1</f>
        <v>0.40487408783218926</v>
      </c>
      <c r="T81" s="516"/>
      <c r="U81" s="527">
        <f>+Segment!V65</f>
        <v>427.66520000000003</v>
      </c>
      <c r="V81" s="527">
        <f>+Segment!W65</f>
        <v>384.39831582000033</v>
      </c>
      <c r="W81" s="527">
        <f>+Segment!X65</f>
        <v>667.23320934000014</v>
      </c>
      <c r="X81" s="527">
        <f>+Segment!Y65</f>
        <v>525.72719824999956</v>
      </c>
      <c r="Y81" s="527">
        <f>+Segment!Z65</f>
        <v>754.62977691999981</v>
      </c>
      <c r="Z81" s="527">
        <f>+Segment!AA65</f>
        <v>685.89079443999958</v>
      </c>
      <c r="AA81" s="527">
        <f>+Segment!AB65</f>
        <v>1169.4290397199993</v>
      </c>
      <c r="AB81" s="527">
        <f>+Segment!AC65</f>
        <v>870.34376420000171</v>
      </c>
      <c r="AC81" s="516"/>
      <c r="AD81" s="532">
        <f t="shared" ref="AD81:AS81" si="83">SUM(AD78:AD80)</f>
        <v>146.19565886999999</v>
      </c>
      <c r="AE81" s="532">
        <f t="shared" si="83"/>
        <v>281.46954113000004</v>
      </c>
      <c r="AF81" s="532">
        <f t="shared" si="83"/>
        <v>253.49403914999982</v>
      </c>
      <c r="AG81" s="532">
        <f t="shared" si="83"/>
        <v>130.90427667000029</v>
      </c>
      <c r="AH81" s="532">
        <f t="shared" si="83"/>
        <v>337.26877286000013</v>
      </c>
      <c r="AI81" s="532">
        <f t="shared" si="83"/>
        <v>329.96443648000002</v>
      </c>
      <c r="AJ81" s="532">
        <f t="shared" si="83"/>
        <v>307.45770934999939</v>
      </c>
      <c r="AK81" s="532">
        <f t="shared" si="83"/>
        <v>218.2694889000004</v>
      </c>
      <c r="AL81" s="532">
        <f t="shared" si="83"/>
        <v>344.64891976999985</v>
      </c>
      <c r="AM81" s="532">
        <f t="shared" si="83"/>
        <v>409.98085714999996</v>
      </c>
      <c r="AN81" s="532">
        <f t="shared" si="83"/>
        <v>410.87627343000048</v>
      </c>
      <c r="AO81" s="532">
        <f t="shared" si="83"/>
        <v>275.0145210099995</v>
      </c>
      <c r="AP81" s="532">
        <f t="shared" si="83"/>
        <v>497.25173000000024</v>
      </c>
      <c r="AQ81" s="532">
        <f t="shared" si="83"/>
        <v>610.86851911999895</v>
      </c>
      <c r="AR81" s="532">
        <f t="shared" si="83"/>
        <v>547.48060525000119</v>
      </c>
      <c r="AS81" s="532">
        <f t="shared" si="83"/>
        <v>384.17194955000008</v>
      </c>
      <c r="AT81" s="532">
        <f t="shared" ref="AT81:AZ81" si="84">SUM(AT78:AT80)</f>
        <v>663.88039829999957</v>
      </c>
      <c r="AU81" s="532">
        <f t="shared" si="84"/>
        <v>1066.7111004900005</v>
      </c>
      <c r="AV81" s="532">
        <f t="shared" si="84"/>
        <v>976.80090865000022</v>
      </c>
      <c r="AW81" s="532">
        <f t="shared" si="84"/>
        <v>619.31644500000016</v>
      </c>
      <c r="AX81" s="532">
        <f t="shared" si="84"/>
        <v>980.00953025999991</v>
      </c>
      <c r="AY81" s="532">
        <f t="shared" si="84"/>
        <v>1394.7412551800019</v>
      </c>
      <c r="AZ81" s="532">
        <f t="shared" si="84"/>
        <v>1386.1725007999983</v>
      </c>
      <c r="BA81" s="532">
        <f t="shared" ref="BA81:BE81" si="85">SUM(BA78:BA80)</f>
        <v>802.75519341547181</v>
      </c>
      <c r="BB81" s="532">
        <f t="shared" si="85"/>
        <v>1250.937575703163</v>
      </c>
      <c r="BC81" s="532">
        <f t="shared" si="85"/>
        <v>1725.6954057020832</v>
      </c>
      <c r="BD81" s="532">
        <f t="shared" si="85"/>
        <v>1617.8015329744508</v>
      </c>
      <c r="BE81" s="532">
        <f t="shared" si="85"/>
        <v>1061.3649677868136</v>
      </c>
    </row>
    <row r="82" spans="1:57">
      <c r="A82" s="555" t="s">
        <v>1012</v>
      </c>
      <c r="B82" s="519"/>
      <c r="C82" s="519">
        <f>+C83-C81</f>
        <v>-28.203340460000078</v>
      </c>
      <c r="D82" s="519">
        <f>+D83-D81</f>
        <v>24.682190180000134</v>
      </c>
      <c r="E82" s="519">
        <f>+E83-E81</f>
        <v>-7.1518158200003654</v>
      </c>
      <c r="F82" s="519"/>
      <c r="G82" s="519"/>
      <c r="H82" s="519"/>
      <c r="I82" s="519"/>
      <c r="J82" s="519"/>
      <c r="K82" s="519"/>
      <c r="L82" s="519"/>
      <c r="M82" s="519"/>
      <c r="N82" s="520"/>
      <c r="O82" s="524"/>
      <c r="P82" s="524"/>
      <c r="Q82" s="524"/>
      <c r="R82" s="524"/>
      <c r="S82" s="524"/>
      <c r="T82" s="523"/>
      <c r="U82" s="519">
        <v>0</v>
      </c>
      <c r="V82" s="519">
        <v>0</v>
      </c>
      <c r="W82" s="519">
        <v>0</v>
      </c>
      <c r="X82" s="519">
        <v>0</v>
      </c>
      <c r="Y82" s="519">
        <v>0</v>
      </c>
      <c r="Z82" s="519">
        <v>0</v>
      </c>
      <c r="AA82" s="519">
        <v>0</v>
      </c>
      <c r="AB82" s="519">
        <v>0</v>
      </c>
      <c r="AC82" s="523"/>
      <c r="AD82" s="519">
        <v>0</v>
      </c>
      <c r="AE82" s="519">
        <v>0</v>
      </c>
      <c r="AF82" s="519">
        <v>0</v>
      </c>
      <c r="AG82" s="519">
        <v>0</v>
      </c>
      <c r="AH82" s="519">
        <v>0</v>
      </c>
      <c r="AI82" s="519">
        <v>0</v>
      </c>
      <c r="AJ82" s="519">
        <v>0</v>
      </c>
      <c r="AK82" s="519">
        <v>0</v>
      </c>
      <c r="AL82" s="519">
        <v>0</v>
      </c>
      <c r="AM82" s="519">
        <v>0</v>
      </c>
      <c r="AN82" s="519">
        <v>0</v>
      </c>
      <c r="AO82" s="519">
        <v>0</v>
      </c>
      <c r="AP82" s="519">
        <v>0</v>
      </c>
      <c r="AQ82" s="519">
        <v>0</v>
      </c>
      <c r="AR82" s="519">
        <v>0</v>
      </c>
      <c r="AS82" s="519">
        <v>0</v>
      </c>
      <c r="AT82" s="519">
        <v>0</v>
      </c>
      <c r="AU82" s="519">
        <v>0</v>
      </c>
      <c r="AV82" s="519">
        <v>0</v>
      </c>
      <c r="AW82" s="519">
        <v>0</v>
      </c>
      <c r="AX82" s="519">
        <v>0</v>
      </c>
      <c r="AY82" s="519">
        <v>0</v>
      </c>
      <c r="AZ82" s="519">
        <v>0</v>
      </c>
      <c r="BA82" s="519">
        <v>0</v>
      </c>
      <c r="BB82" s="519">
        <v>0</v>
      </c>
      <c r="BC82" s="519">
        <v>0</v>
      </c>
      <c r="BD82" s="519">
        <v>0</v>
      </c>
      <c r="BE82" s="519">
        <v>0</v>
      </c>
    </row>
    <row r="83" spans="1:57" ht="15" thickBot="1">
      <c r="A83" s="574" t="s">
        <v>1013</v>
      </c>
      <c r="B83" s="575">
        <f t="shared" ref="B83:H83" si="86">B81+B82</f>
        <v>296.16580000000005</v>
      </c>
      <c r="C83" s="575">
        <f>18762.76/100</f>
        <v>187.62759999999997</v>
      </c>
      <c r="D83" s="575">
        <f>59525.61/100</f>
        <v>595.25610000000006</v>
      </c>
      <c r="E83" s="575">
        <f>80491.17/100</f>
        <v>804.9117</v>
      </c>
      <c r="F83" s="575">
        <f t="shared" si="86"/>
        <v>1192.9604075899997</v>
      </c>
      <c r="G83" s="575">
        <f t="shared" si="86"/>
        <v>1440.5205713599994</v>
      </c>
      <c r="H83" s="575">
        <f t="shared" si="86"/>
        <v>2039.772803920001</v>
      </c>
      <c r="I83" s="575">
        <f>I81+I82</f>
        <v>3326.7088524400024</v>
      </c>
      <c r="J83" s="575">
        <f>J81+J82</f>
        <v>4562.8477603054725</v>
      </c>
      <c r="K83" s="575">
        <f>K81+K82</f>
        <v>5655.7994821665097</v>
      </c>
      <c r="L83" s="575">
        <f>L81+L82</f>
        <v>6753.9990028135153</v>
      </c>
      <c r="M83" s="575" t="e">
        <f>M81+M82</f>
        <v>#REF!</v>
      </c>
      <c r="N83" s="528"/>
      <c r="O83" s="576">
        <f>(H83/C83)^(1/5)-1</f>
        <v>0.61159909461864381</v>
      </c>
      <c r="P83" s="576" t="e">
        <f>(M83/H83)^(1/5)-1</f>
        <v>#REF!</v>
      </c>
      <c r="Q83" s="576">
        <f>(H83/F83)^(1/2)-1</f>
        <v>0.30760894662522476</v>
      </c>
      <c r="R83" s="576">
        <f>(K83/I83)^(1/2)-1</f>
        <v>0.30388594805530822</v>
      </c>
      <c r="S83" s="576">
        <f>(K83/H83)^(1/3)-1</f>
        <v>0.40487408783218926</v>
      </c>
      <c r="T83" s="516"/>
      <c r="U83" s="575">
        <f t="shared" ref="U83:AB83" si="87">U81+U82</f>
        <v>427.66520000000003</v>
      </c>
      <c r="V83" s="575">
        <f t="shared" si="87"/>
        <v>384.39831582000033</v>
      </c>
      <c r="W83" s="575">
        <f t="shared" si="87"/>
        <v>667.23320934000014</v>
      </c>
      <c r="X83" s="575">
        <f t="shared" si="87"/>
        <v>525.72719824999956</v>
      </c>
      <c r="Y83" s="575">
        <f t="shared" si="87"/>
        <v>754.62977691999981</v>
      </c>
      <c r="Z83" s="575">
        <f t="shared" si="87"/>
        <v>685.89079443999958</v>
      </c>
      <c r="AA83" s="575">
        <f t="shared" si="87"/>
        <v>1169.4290397199993</v>
      </c>
      <c r="AB83" s="575">
        <f t="shared" si="87"/>
        <v>870.34376420000171</v>
      </c>
      <c r="AC83" s="516"/>
      <c r="AD83" s="577">
        <f t="shared" ref="AD83:AS83" si="88">SUM(AD81:AD82)</f>
        <v>146.19565886999999</v>
      </c>
      <c r="AE83" s="577">
        <f t="shared" si="88"/>
        <v>281.46954113000004</v>
      </c>
      <c r="AF83" s="577">
        <f t="shared" si="88"/>
        <v>253.49403914999982</v>
      </c>
      <c r="AG83" s="577">
        <f t="shared" si="88"/>
        <v>130.90427667000029</v>
      </c>
      <c r="AH83" s="577">
        <f t="shared" si="88"/>
        <v>337.26877286000013</v>
      </c>
      <c r="AI83" s="577">
        <f t="shared" si="88"/>
        <v>329.96443648000002</v>
      </c>
      <c r="AJ83" s="577">
        <f t="shared" si="88"/>
        <v>307.45770934999939</v>
      </c>
      <c r="AK83" s="577">
        <f t="shared" si="88"/>
        <v>218.2694889000004</v>
      </c>
      <c r="AL83" s="577">
        <f t="shared" si="88"/>
        <v>344.64891976999985</v>
      </c>
      <c r="AM83" s="577">
        <f t="shared" si="88"/>
        <v>409.98085714999996</v>
      </c>
      <c r="AN83" s="577">
        <f t="shared" si="88"/>
        <v>410.87627343000048</v>
      </c>
      <c r="AO83" s="577">
        <f t="shared" si="88"/>
        <v>275.0145210099995</v>
      </c>
      <c r="AP83" s="577">
        <f t="shared" si="88"/>
        <v>497.25173000000024</v>
      </c>
      <c r="AQ83" s="577">
        <f t="shared" si="88"/>
        <v>610.86851911999895</v>
      </c>
      <c r="AR83" s="577">
        <f t="shared" si="88"/>
        <v>547.48060525000119</v>
      </c>
      <c r="AS83" s="577">
        <f t="shared" si="88"/>
        <v>384.17194955000008</v>
      </c>
      <c r="AT83" s="577">
        <f t="shared" ref="AT83:AZ83" si="89">SUM(AT81:AT82)</f>
        <v>663.88039829999957</v>
      </c>
      <c r="AU83" s="577">
        <f t="shared" si="89"/>
        <v>1066.7111004900005</v>
      </c>
      <c r="AV83" s="577">
        <f t="shared" si="89"/>
        <v>976.80090865000022</v>
      </c>
      <c r="AW83" s="577">
        <f t="shared" si="89"/>
        <v>619.31644500000016</v>
      </c>
      <c r="AX83" s="577">
        <f t="shared" si="89"/>
        <v>980.00953025999991</v>
      </c>
      <c r="AY83" s="577">
        <f t="shared" si="89"/>
        <v>1394.7412551800019</v>
      </c>
      <c r="AZ83" s="577">
        <f t="shared" si="89"/>
        <v>1386.1725007999983</v>
      </c>
      <c r="BA83" s="577">
        <f t="shared" ref="BA83:BE83" si="90">SUM(BA81:BA82)</f>
        <v>802.75519341547181</v>
      </c>
      <c r="BB83" s="577">
        <f t="shared" si="90"/>
        <v>1250.937575703163</v>
      </c>
      <c r="BC83" s="577">
        <f t="shared" si="90"/>
        <v>1725.6954057020832</v>
      </c>
      <c r="BD83" s="577">
        <f t="shared" si="90"/>
        <v>1617.8015329744508</v>
      </c>
      <c r="BE83" s="577">
        <f t="shared" si="90"/>
        <v>1061.3649677868136</v>
      </c>
    </row>
    <row r="84" spans="1:57" s="823" customFormat="1" ht="13.5" hidden="1" outlineLevel="1" thickTop="1">
      <c r="A84" s="817" t="s">
        <v>1118</v>
      </c>
      <c r="B84" s="821">
        <f>+Wind!U49-'Summary financial'!B81</f>
        <v>3.0999999999608008E-3</v>
      </c>
      <c r="C84" s="821">
        <f>+Wind!V49-'Summary financial'!C81</f>
        <v>3.822999994440579E-5</v>
      </c>
      <c r="D84" s="821">
        <f>+Wind!W49-'Summary financial'!D81</f>
        <v>-1.4229999919734837E-5</v>
      </c>
      <c r="E84" s="821">
        <f>+Wind!X49-'Summary financial'!E81</f>
        <v>-4.8400003151982673E-6</v>
      </c>
      <c r="F84" s="821"/>
      <c r="G84" s="821"/>
      <c r="H84" s="821"/>
      <c r="I84" s="821"/>
      <c r="J84" s="818"/>
      <c r="K84" s="818"/>
      <c r="L84" s="818"/>
      <c r="M84" s="818"/>
      <c r="N84" s="818"/>
      <c r="O84" s="819"/>
      <c r="P84" s="819"/>
      <c r="Q84" s="819"/>
      <c r="R84" s="819"/>
      <c r="S84" s="819"/>
      <c r="T84" s="817"/>
      <c r="U84" s="820"/>
      <c r="V84" s="820"/>
      <c r="W84" s="820"/>
      <c r="X84" s="820"/>
      <c r="Y84" s="820"/>
      <c r="Z84" s="820"/>
      <c r="AA84" s="820"/>
      <c r="AB84" s="820"/>
      <c r="AC84" s="817"/>
      <c r="AD84" s="822">
        <f>+Quarterly!D70-'Summary financial'!AD81</f>
        <v>7.4493887900000004</v>
      </c>
      <c r="AE84" s="822">
        <f>+Quarterly!E70-'Summary financial'!AE81</f>
        <v>6.1925112099999637</v>
      </c>
      <c r="AF84" s="822">
        <f>+Quarterly!F70-'Summary financial'!AF81</f>
        <v>9.2415889900001957</v>
      </c>
      <c r="AG84" s="822">
        <f>+Quarterly!G70-'Summary financial'!AG81</f>
        <v>-22.883493830000248</v>
      </c>
      <c r="AH84" s="822">
        <f>+Quarterly!H70-'Summary financial'!AH81</f>
        <v>4.6206926999998927</v>
      </c>
      <c r="AI84" s="822">
        <f>+Quarterly!I70-'Summary financial'!AI81</f>
        <v>3.9722284000000059</v>
      </c>
      <c r="AJ84" s="822">
        <f>+Quarterly!J70-'Summary financial'!AJ81</f>
        <v>12.750109700000621</v>
      </c>
    </row>
    <row r="85" spans="1:57" hidden="1" outlineLevel="1">
      <c r="A85" s="578" t="s">
        <v>1014</v>
      </c>
      <c r="B85" s="519">
        <f>+Model!C70</f>
        <v>150.81970000000001</v>
      </c>
      <c r="C85" s="519">
        <f>+Model!D70</f>
        <v>455</v>
      </c>
      <c r="D85" s="519">
        <f>+Model!E70</f>
        <v>468</v>
      </c>
      <c r="E85" s="519">
        <f>+Model!F70</f>
        <v>468</v>
      </c>
      <c r="F85" s="519">
        <f>+Model!G70</f>
        <v>520.01300000000003</v>
      </c>
      <c r="G85" s="519">
        <f>+Model!H70</f>
        <v>520.01300000000003</v>
      </c>
      <c r="H85" s="519">
        <f>+Model!I70</f>
        <v>520.01300000000003</v>
      </c>
      <c r="I85" s="519">
        <f>+Model!J70</f>
        <v>520.01300000000003</v>
      </c>
      <c r="J85" s="519">
        <f>+Model!K70</f>
        <v>520.01300000000003</v>
      </c>
      <c r="K85" s="519">
        <f>+Model!L70</f>
        <v>520.01300000000003</v>
      </c>
      <c r="L85" s="519">
        <f>+Model!M70</f>
        <v>520.01300000000003</v>
      </c>
      <c r="M85" s="519" t="e">
        <f>+Model!#REF!</f>
        <v>#REF!</v>
      </c>
      <c r="N85" s="520"/>
      <c r="O85" s="524"/>
      <c r="P85" s="524"/>
      <c r="Q85" s="524"/>
      <c r="R85" s="524"/>
      <c r="S85" s="524"/>
      <c r="T85" s="579"/>
      <c r="U85" s="578">
        <f t="shared" ref="U85:X86" si="91">+G85</f>
        <v>520.01300000000003</v>
      </c>
      <c r="V85" s="578">
        <f t="shared" si="91"/>
        <v>520.01300000000003</v>
      </c>
      <c r="W85" s="578">
        <f t="shared" si="91"/>
        <v>520.01300000000003</v>
      </c>
      <c r="X85" s="578">
        <f t="shared" si="91"/>
        <v>520.01300000000003</v>
      </c>
      <c r="Y85" s="578">
        <f>+N85</f>
        <v>0</v>
      </c>
      <c r="Z85" s="578">
        <f t="shared" ref="Z85:AB86" si="92">+S85</f>
        <v>0</v>
      </c>
      <c r="AA85" s="578">
        <f t="shared" si="92"/>
        <v>0</v>
      </c>
      <c r="AB85" s="578">
        <f t="shared" si="92"/>
        <v>520.01300000000003</v>
      </c>
      <c r="AC85" s="579"/>
      <c r="AD85" s="580">
        <f>+E85</f>
        <v>468</v>
      </c>
      <c r="AE85" s="580">
        <f t="shared" ref="AE85:AG86" si="93">+AD85</f>
        <v>468</v>
      </c>
      <c r="AF85" s="580">
        <f t="shared" si="93"/>
        <v>468</v>
      </c>
      <c r="AG85" s="580">
        <f t="shared" si="93"/>
        <v>468</v>
      </c>
      <c r="AH85" s="580">
        <f>+F85</f>
        <v>520.01300000000003</v>
      </c>
      <c r="AI85" s="580">
        <f>+AH85</f>
        <v>520.01300000000003</v>
      </c>
      <c r="AJ85" s="580">
        <f>+AI85</f>
        <v>520.01300000000003</v>
      </c>
      <c r="AK85" s="580">
        <f t="shared" ref="AK85:AS86" si="94">+AJ85</f>
        <v>520.01300000000003</v>
      </c>
      <c r="AL85" s="580">
        <f t="shared" si="94"/>
        <v>520.01300000000003</v>
      </c>
      <c r="AM85" s="580">
        <f t="shared" si="94"/>
        <v>520.01300000000003</v>
      </c>
      <c r="AN85" s="580">
        <f t="shared" si="94"/>
        <v>520.01300000000003</v>
      </c>
      <c r="AO85" s="580">
        <f t="shared" si="94"/>
        <v>520.01300000000003</v>
      </c>
      <c r="AP85" s="580">
        <f t="shared" si="94"/>
        <v>520.01300000000003</v>
      </c>
      <c r="AQ85" s="580">
        <f t="shared" si="94"/>
        <v>520.01300000000003</v>
      </c>
      <c r="AR85" s="580">
        <f t="shared" si="94"/>
        <v>520.01300000000003</v>
      </c>
      <c r="AS85" s="580">
        <f t="shared" si="94"/>
        <v>520.01300000000003</v>
      </c>
      <c r="AT85" s="580">
        <f t="shared" ref="AT85:AZ86" si="95">+AS85</f>
        <v>520.01300000000003</v>
      </c>
      <c r="AU85" s="580">
        <f t="shared" si="95"/>
        <v>520.01300000000003</v>
      </c>
      <c r="AV85" s="580">
        <f t="shared" si="95"/>
        <v>520.01300000000003</v>
      </c>
      <c r="AW85" s="580">
        <f t="shared" si="95"/>
        <v>520.01300000000003</v>
      </c>
      <c r="AX85" s="580">
        <f t="shared" si="95"/>
        <v>520.01300000000003</v>
      </c>
      <c r="AY85" s="580">
        <f t="shared" si="95"/>
        <v>520.01300000000003</v>
      </c>
      <c r="AZ85" s="580">
        <f t="shared" si="95"/>
        <v>520.01300000000003</v>
      </c>
      <c r="BA85" s="580">
        <f t="shared" ref="BA85:BA86" si="96">+AZ85</f>
        <v>520.01300000000003</v>
      </c>
      <c r="BB85" s="580">
        <f t="shared" ref="BB85:BB86" si="97">+BA85</f>
        <v>520.01300000000003</v>
      </c>
      <c r="BC85" s="580">
        <f t="shared" ref="BC85:BC86" si="98">+BB85</f>
        <v>520.01300000000003</v>
      </c>
      <c r="BD85" s="580">
        <f t="shared" ref="BD85:BD86" si="99">+BC85</f>
        <v>520.01300000000003</v>
      </c>
      <c r="BE85" s="580">
        <f t="shared" ref="BE85:BE86" si="100">+BD85</f>
        <v>520.01300000000003</v>
      </c>
    </row>
    <row r="86" spans="1:57" hidden="1" outlineLevel="1">
      <c r="A86" s="578" t="s">
        <v>1015</v>
      </c>
      <c r="B86" s="519">
        <f>+Model!C71</f>
        <v>150.81970000000001</v>
      </c>
      <c r="C86" s="519">
        <f>+Model!D71</f>
        <v>455</v>
      </c>
      <c r="D86" s="519">
        <f>+Model!E71</f>
        <v>468</v>
      </c>
      <c r="E86" s="519">
        <f>+Model!F71</f>
        <v>468</v>
      </c>
      <c r="F86" s="519">
        <f>+Model!G71</f>
        <v>520.01300000000003</v>
      </c>
      <c r="G86" s="519">
        <f>+Model!H71</f>
        <v>520.01300000000003</v>
      </c>
      <c r="H86" s="519">
        <f>+Model!I71</f>
        <v>520.01300000000003</v>
      </c>
      <c r="I86" s="519">
        <f>+Model!J71</f>
        <v>520.01300000000003</v>
      </c>
      <c r="J86" s="519">
        <f>+Model!K71</f>
        <v>520.01300000000003</v>
      </c>
      <c r="K86" s="519">
        <f>+Model!L71</f>
        <v>520.01300000000003</v>
      </c>
      <c r="L86" s="519">
        <f>+Model!M71</f>
        <v>520.01300000000003</v>
      </c>
      <c r="M86" s="519" t="e">
        <f>+Model!#REF!</f>
        <v>#REF!</v>
      </c>
      <c r="N86" s="520"/>
      <c r="O86" s="524"/>
      <c r="P86" s="524"/>
      <c r="Q86" s="524"/>
      <c r="R86" s="524"/>
      <c r="S86" s="524"/>
      <c r="T86" s="579"/>
      <c r="U86" s="578">
        <f t="shared" si="91"/>
        <v>520.01300000000003</v>
      </c>
      <c r="V86" s="578">
        <f t="shared" si="91"/>
        <v>520.01300000000003</v>
      </c>
      <c r="W86" s="578">
        <f t="shared" si="91"/>
        <v>520.01300000000003</v>
      </c>
      <c r="X86" s="578">
        <f t="shared" si="91"/>
        <v>520.01300000000003</v>
      </c>
      <c r="Y86" s="578">
        <f>+N86</f>
        <v>0</v>
      </c>
      <c r="Z86" s="578">
        <f t="shared" si="92"/>
        <v>0</v>
      </c>
      <c r="AA86" s="578">
        <f t="shared" si="92"/>
        <v>0</v>
      </c>
      <c r="AB86" s="578">
        <f t="shared" si="92"/>
        <v>520.01300000000003</v>
      </c>
      <c r="AC86" s="579"/>
      <c r="AD86" s="580">
        <f>+E86</f>
        <v>468</v>
      </c>
      <c r="AE86" s="580">
        <f t="shared" si="93"/>
        <v>468</v>
      </c>
      <c r="AF86" s="580">
        <f t="shared" si="93"/>
        <v>468</v>
      </c>
      <c r="AG86" s="580">
        <f t="shared" si="93"/>
        <v>468</v>
      </c>
      <c r="AH86" s="580">
        <f>+F86</f>
        <v>520.01300000000003</v>
      </c>
      <c r="AI86" s="580">
        <f>+AH86</f>
        <v>520.01300000000003</v>
      </c>
      <c r="AJ86" s="580">
        <f>+AI86</f>
        <v>520.01300000000003</v>
      </c>
      <c r="AK86" s="580">
        <f t="shared" si="94"/>
        <v>520.01300000000003</v>
      </c>
      <c r="AL86" s="580">
        <f t="shared" si="94"/>
        <v>520.01300000000003</v>
      </c>
      <c r="AM86" s="580">
        <f t="shared" si="94"/>
        <v>520.01300000000003</v>
      </c>
      <c r="AN86" s="580">
        <f t="shared" si="94"/>
        <v>520.01300000000003</v>
      </c>
      <c r="AO86" s="580">
        <f t="shared" si="94"/>
        <v>520.01300000000003</v>
      </c>
      <c r="AP86" s="580">
        <f t="shared" si="94"/>
        <v>520.01300000000003</v>
      </c>
      <c r="AQ86" s="580">
        <f t="shared" si="94"/>
        <v>520.01300000000003</v>
      </c>
      <c r="AR86" s="580">
        <f t="shared" si="94"/>
        <v>520.01300000000003</v>
      </c>
      <c r="AS86" s="580">
        <f t="shared" si="94"/>
        <v>520.01300000000003</v>
      </c>
      <c r="AT86" s="580">
        <f t="shared" si="95"/>
        <v>520.01300000000003</v>
      </c>
      <c r="AU86" s="580">
        <f t="shared" si="95"/>
        <v>520.01300000000003</v>
      </c>
      <c r="AV86" s="580">
        <f t="shared" si="95"/>
        <v>520.01300000000003</v>
      </c>
      <c r="AW86" s="580">
        <f t="shared" si="95"/>
        <v>520.01300000000003</v>
      </c>
      <c r="AX86" s="580">
        <f t="shared" si="95"/>
        <v>520.01300000000003</v>
      </c>
      <c r="AY86" s="580">
        <f t="shared" si="95"/>
        <v>520.01300000000003</v>
      </c>
      <c r="AZ86" s="580">
        <f t="shared" si="95"/>
        <v>520.01300000000003</v>
      </c>
      <c r="BA86" s="580">
        <f t="shared" si="96"/>
        <v>520.01300000000003</v>
      </c>
      <c r="BB86" s="580">
        <f t="shared" si="97"/>
        <v>520.01300000000003</v>
      </c>
      <c r="BC86" s="580">
        <f t="shared" si="98"/>
        <v>520.01300000000003</v>
      </c>
      <c r="BD86" s="580">
        <f t="shared" si="99"/>
        <v>520.01300000000003</v>
      </c>
      <c r="BE86" s="580">
        <f t="shared" si="100"/>
        <v>520.01300000000003</v>
      </c>
    </row>
    <row r="87" spans="1:57" ht="15" collapsed="1" thickTop="1">
      <c r="A87" s="523"/>
      <c r="B87" s="534"/>
      <c r="C87" s="534"/>
      <c r="D87" s="534"/>
      <c r="E87" s="534"/>
      <c r="F87" s="534"/>
      <c r="G87" s="534"/>
      <c r="H87" s="534"/>
      <c r="I87" s="534"/>
      <c r="J87" s="534"/>
      <c r="K87" s="534"/>
      <c r="L87" s="534"/>
      <c r="M87" s="534"/>
      <c r="N87" s="534"/>
      <c r="O87" s="524"/>
      <c r="P87" s="524"/>
      <c r="Q87" s="524"/>
      <c r="R87" s="524"/>
      <c r="S87" s="524"/>
      <c r="T87" s="523"/>
      <c r="U87" s="523"/>
      <c r="V87" s="523"/>
      <c r="W87" s="523"/>
      <c r="X87" s="523"/>
      <c r="Y87" s="523"/>
      <c r="Z87" s="523"/>
      <c r="AA87" s="523"/>
      <c r="AB87" s="523"/>
      <c r="AC87" s="523"/>
    </row>
    <row r="88" spans="1:57">
      <c r="A88" s="581" t="s">
        <v>1016</v>
      </c>
      <c r="B88" s="582">
        <f t="shared" ref="B88:H88" si="101">B81/B85</f>
        <v>1.9637076588801066</v>
      </c>
      <c r="C88" s="582">
        <f t="shared" si="101"/>
        <v>0.47435371529670339</v>
      </c>
      <c r="D88" s="582">
        <f t="shared" si="101"/>
        <v>1.2191750209829058</v>
      </c>
      <c r="E88" s="582">
        <f t="shared" si="101"/>
        <v>1.7351784526068383</v>
      </c>
      <c r="F88" s="582">
        <f t="shared" si="101"/>
        <v>2.29409727754883</v>
      </c>
      <c r="G88" s="582">
        <f t="shared" si="101"/>
        <v>2.7701626139346502</v>
      </c>
      <c r="H88" s="582">
        <f t="shared" si="101"/>
        <v>3.9225419439898634</v>
      </c>
      <c r="I88" s="582">
        <f>I81/I85</f>
        <v>6.3973570899958307</v>
      </c>
      <c r="J88" s="582">
        <f>J81/J85</f>
        <v>8.7744878691599482</v>
      </c>
      <c r="K88" s="582">
        <f>K81/K85</f>
        <v>10.87626555906585</v>
      </c>
      <c r="L88" s="582">
        <f>L81/L85</f>
        <v>12.988134917422284</v>
      </c>
      <c r="M88" s="582" t="e">
        <f>M81/M85</f>
        <v>#REF!</v>
      </c>
      <c r="N88" s="583"/>
      <c r="O88" s="524">
        <f>(H88/C88)^(1/5)-1</f>
        <v>0.52578400547469339</v>
      </c>
      <c r="P88" s="524" t="e">
        <f>(M88/H88)^(1/5)-1</f>
        <v>#REF!</v>
      </c>
      <c r="Q88" s="524">
        <f>(H88/F88)^(1/2)-1</f>
        <v>0.30760894662522476</v>
      </c>
      <c r="R88" s="524">
        <f>(K88/I88)^(1/2)-1</f>
        <v>0.30388594805530844</v>
      </c>
      <c r="S88" s="524">
        <f>(K88/H88)^(1/3)-1</f>
        <v>0.40487408783218926</v>
      </c>
      <c r="T88" s="584"/>
      <c r="U88" s="585">
        <f t="shared" ref="U88:AB88" si="102">U81/U85</f>
        <v>0.82241251661016168</v>
      </c>
      <c r="V88" s="585">
        <f t="shared" si="102"/>
        <v>0.73920905019682259</v>
      </c>
      <c r="W88" s="585">
        <f t="shared" si="102"/>
        <v>1.283108709474571</v>
      </c>
      <c r="X88" s="585">
        <f t="shared" si="102"/>
        <v>1.0109885680742587</v>
      </c>
      <c r="Y88" s="585" t="e">
        <f t="shared" si="102"/>
        <v>#DIV/0!</v>
      </c>
      <c r="Z88" s="585" t="e">
        <f t="shared" si="102"/>
        <v>#DIV/0!</v>
      </c>
      <c r="AA88" s="585" t="e">
        <f t="shared" si="102"/>
        <v>#DIV/0!</v>
      </c>
      <c r="AB88" s="585">
        <f t="shared" si="102"/>
        <v>1.6736961656727845</v>
      </c>
      <c r="AC88" s="584"/>
      <c r="AD88" s="585">
        <f t="shared" ref="AD88:AS88" si="103">AD81/AD85</f>
        <v>0.31238388647435894</v>
      </c>
      <c r="AE88" s="585">
        <f t="shared" si="103"/>
        <v>0.60143064344017105</v>
      </c>
      <c r="AF88" s="585">
        <f t="shared" si="103"/>
        <v>0.54165392980769189</v>
      </c>
      <c r="AG88" s="585">
        <f t="shared" si="103"/>
        <v>0.27970999288461601</v>
      </c>
      <c r="AH88" s="585">
        <f t="shared" si="103"/>
        <v>0.64857757952205064</v>
      </c>
      <c r="AI88" s="585">
        <f t="shared" si="103"/>
        <v>0.63453112995252037</v>
      </c>
      <c r="AJ88" s="585">
        <f t="shared" si="103"/>
        <v>0.59125004442196516</v>
      </c>
      <c r="AK88" s="585">
        <f t="shared" si="103"/>
        <v>0.41973852365229403</v>
      </c>
      <c r="AL88" s="585">
        <f t="shared" si="103"/>
        <v>0.66276981492770337</v>
      </c>
      <c r="AM88" s="585">
        <f t="shared" si="103"/>
        <v>0.78840501516308237</v>
      </c>
      <c r="AN88" s="585">
        <f t="shared" si="103"/>
        <v>0.79012692649991534</v>
      </c>
      <c r="AO88" s="585">
        <f t="shared" si="103"/>
        <v>0.52886085734395005</v>
      </c>
      <c r="AP88" s="585">
        <f t="shared" si="103"/>
        <v>0.95622942118754761</v>
      </c>
      <c r="AQ88" s="585">
        <f t="shared" si="103"/>
        <v>1.1747177842092389</v>
      </c>
      <c r="AR88" s="585">
        <f t="shared" si="103"/>
        <v>1.0528209972635321</v>
      </c>
      <c r="AS88" s="585">
        <f t="shared" si="103"/>
        <v>0.73877374132954376</v>
      </c>
      <c r="AT88" s="585">
        <f t="shared" ref="AT88:AZ88" si="104">AT81/AT85</f>
        <v>1.2766611571249171</v>
      </c>
      <c r="AU88" s="585">
        <f t="shared" si="104"/>
        <v>2.0513162180368574</v>
      </c>
      <c r="AV88" s="585">
        <f t="shared" si="104"/>
        <v>1.8784163254572486</v>
      </c>
      <c r="AW88" s="585">
        <f t="shared" si="104"/>
        <v>1.1909633893768043</v>
      </c>
      <c r="AX88" s="585">
        <f t="shared" si="104"/>
        <v>1.884586597373527</v>
      </c>
      <c r="AY88" s="585">
        <f t="shared" si="104"/>
        <v>2.6821276683082957</v>
      </c>
      <c r="AZ88" s="585">
        <f t="shared" si="104"/>
        <v>2.6656497064496429</v>
      </c>
      <c r="BA88" s="585">
        <f t="shared" ref="BA88:BE88" si="105">BA81/BA85</f>
        <v>1.543721394302588</v>
      </c>
      <c r="BB88" s="585">
        <f t="shared" si="105"/>
        <v>2.405589044318436</v>
      </c>
      <c r="BC88" s="585">
        <f t="shared" si="105"/>
        <v>3.3185620469143715</v>
      </c>
      <c r="BD88" s="585">
        <f t="shared" si="105"/>
        <v>3.1110790172062059</v>
      </c>
      <c r="BE88" s="585">
        <f t="shared" si="105"/>
        <v>2.0410354506268371</v>
      </c>
    </row>
    <row r="89" spans="1:57">
      <c r="A89" s="586" t="s">
        <v>1017</v>
      </c>
      <c r="B89" s="582">
        <f t="shared" ref="B89:H89" si="106">B81/B86</f>
        <v>1.9637076588801066</v>
      </c>
      <c r="C89" s="582">
        <f t="shared" si="106"/>
        <v>0.47435371529670339</v>
      </c>
      <c r="D89" s="582">
        <f t="shared" si="106"/>
        <v>1.2191750209829058</v>
      </c>
      <c r="E89" s="582">
        <f t="shared" si="106"/>
        <v>1.7351784526068383</v>
      </c>
      <c r="F89" s="582">
        <f t="shared" si="106"/>
        <v>2.29409727754883</v>
      </c>
      <c r="G89" s="582">
        <f t="shared" si="106"/>
        <v>2.7701626139346502</v>
      </c>
      <c r="H89" s="582">
        <f t="shared" si="106"/>
        <v>3.9225419439898634</v>
      </c>
      <c r="I89" s="582">
        <f>I81/I86</f>
        <v>6.3973570899958307</v>
      </c>
      <c r="J89" s="582">
        <f>J81/J86</f>
        <v>8.7744878691599482</v>
      </c>
      <c r="K89" s="582">
        <f>K81/K86</f>
        <v>10.87626555906585</v>
      </c>
      <c r="L89" s="582">
        <f>L81/L86</f>
        <v>12.988134917422284</v>
      </c>
      <c r="M89" s="582" t="e">
        <f>M81/M86</f>
        <v>#REF!</v>
      </c>
      <c r="N89" s="583"/>
      <c r="O89" s="524">
        <f>(H89/C89)^(1/5)-1</f>
        <v>0.52578400547469339</v>
      </c>
      <c r="P89" s="524" t="e">
        <f>(M89/H89)^(1/5)-1</f>
        <v>#REF!</v>
      </c>
      <c r="Q89" s="524">
        <f>(H89/F89)^(1/2)-1</f>
        <v>0.30760894662522476</v>
      </c>
      <c r="R89" s="524">
        <f>(K89/I89)^(1/2)-1</f>
        <v>0.30388594805530844</v>
      </c>
      <c r="S89" s="524">
        <f>(K89/H89)^(1/3)-1</f>
        <v>0.40487408783218926</v>
      </c>
      <c r="T89" s="587"/>
      <c r="U89" s="585">
        <f t="shared" ref="U89:AB89" si="107">U81/U86</f>
        <v>0.82241251661016168</v>
      </c>
      <c r="V89" s="585">
        <f t="shared" si="107"/>
        <v>0.73920905019682259</v>
      </c>
      <c r="W89" s="585">
        <f t="shared" si="107"/>
        <v>1.283108709474571</v>
      </c>
      <c r="X89" s="585">
        <f t="shared" si="107"/>
        <v>1.0109885680742587</v>
      </c>
      <c r="Y89" s="585" t="e">
        <f t="shared" si="107"/>
        <v>#DIV/0!</v>
      </c>
      <c r="Z89" s="585" t="e">
        <f t="shared" si="107"/>
        <v>#DIV/0!</v>
      </c>
      <c r="AA89" s="585" t="e">
        <f t="shared" si="107"/>
        <v>#DIV/0!</v>
      </c>
      <c r="AB89" s="585">
        <f t="shared" si="107"/>
        <v>1.6736961656727845</v>
      </c>
      <c r="AC89" s="587"/>
      <c r="AD89" s="585">
        <f t="shared" ref="AD89:AS89" si="108">AD81/AD86</f>
        <v>0.31238388647435894</v>
      </c>
      <c r="AE89" s="585">
        <f t="shared" si="108"/>
        <v>0.60143064344017105</v>
      </c>
      <c r="AF89" s="585">
        <f t="shared" si="108"/>
        <v>0.54165392980769189</v>
      </c>
      <c r="AG89" s="585">
        <f t="shared" si="108"/>
        <v>0.27970999288461601</v>
      </c>
      <c r="AH89" s="585">
        <f t="shared" si="108"/>
        <v>0.64857757952205064</v>
      </c>
      <c r="AI89" s="585">
        <f t="shared" si="108"/>
        <v>0.63453112995252037</v>
      </c>
      <c r="AJ89" s="585">
        <f t="shared" si="108"/>
        <v>0.59125004442196516</v>
      </c>
      <c r="AK89" s="585">
        <f t="shared" si="108"/>
        <v>0.41973852365229403</v>
      </c>
      <c r="AL89" s="585">
        <f t="shared" si="108"/>
        <v>0.66276981492770337</v>
      </c>
      <c r="AM89" s="585">
        <f t="shared" si="108"/>
        <v>0.78840501516308237</v>
      </c>
      <c r="AN89" s="585">
        <f t="shared" si="108"/>
        <v>0.79012692649991534</v>
      </c>
      <c r="AO89" s="585">
        <f t="shared" si="108"/>
        <v>0.52886085734395005</v>
      </c>
      <c r="AP89" s="585">
        <f t="shared" si="108"/>
        <v>0.95622942118754761</v>
      </c>
      <c r="AQ89" s="585">
        <f t="shared" si="108"/>
        <v>1.1747177842092389</v>
      </c>
      <c r="AR89" s="585">
        <f t="shared" si="108"/>
        <v>1.0528209972635321</v>
      </c>
      <c r="AS89" s="585">
        <f t="shared" si="108"/>
        <v>0.73877374132954376</v>
      </c>
      <c r="AT89" s="585">
        <f t="shared" ref="AT89:AZ89" si="109">AT81/AT86</f>
        <v>1.2766611571249171</v>
      </c>
      <c r="AU89" s="585">
        <f t="shared" si="109"/>
        <v>2.0513162180368574</v>
      </c>
      <c r="AV89" s="585">
        <f t="shared" si="109"/>
        <v>1.8784163254572486</v>
      </c>
      <c r="AW89" s="585">
        <f t="shared" si="109"/>
        <v>1.1909633893768043</v>
      </c>
      <c r="AX89" s="585">
        <f t="shared" si="109"/>
        <v>1.884586597373527</v>
      </c>
      <c r="AY89" s="585">
        <f t="shared" si="109"/>
        <v>2.6821276683082957</v>
      </c>
      <c r="AZ89" s="585">
        <f t="shared" si="109"/>
        <v>2.6656497064496429</v>
      </c>
      <c r="BA89" s="585">
        <f t="shared" ref="BA89:BE89" si="110">BA81/BA86</f>
        <v>1.543721394302588</v>
      </c>
      <c r="BB89" s="585">
        <f t="shared" si="110"/>
        <v>2.405589044318436</v>
      </c>
      <c r="BC89" s="585">
        <f t="shared" si="110"/>
        <v>3.3185620469143715</v>
      </c>
      <c r="BD89" s="585">
        <f t="shared" si="110"/>
        <v>3.1110790172062059</v>
      </c>
      <c r="BE89" s="585">
        <f t="shared" si="110"/>
        <v>2.0410354506268371</v>
      </c>
    </row>
    <row r="90" spans="1:57">
      <c r="A90" s="523"/>
      <c r="B90" s="530"/>
      <c r="C90" s="530"/>
      <c r="D90" s="534"/>
      <c r="E90" s="534"/>
      <c r="F90" s="534"/>
      <c r="G90" s="534"/>
      <c r="H90" s="534"/>
      <c r="I90" s="534"/>
      <c r="J90" s="534"/>
      <c r="K90" s="534"/>
      <c r="L90" s="534"/>
      <c r="M90" s="534"/>
      <c r="N90" s="534"/>
      <c r="O90" s="524"/>
      <c r="P90" s="524"/>
      <c r="Q90" s="524"/>
      <c r="R90" s="524"/>
      <c r="S90" s="524"/>
      <c r="T90" s="523"/>
      <c r="U90" s="534"/>
      <c r="V90" s="534"/>
      <c r="W90" s="534"/>
      <c r="X90" s="534"/>
      <c r="Y90" s="534"/>
      <c r="Z90" s="534"/>
      <c r="AA90" s="534"/>
      <c r="AB90" s="534"/>
      <c r="AC90" s="523"/>
      <c r="AD90" s="704"/>
      <c r="AE90" s="704"/>
      <c r="AF90" s="704"/>
      <c r="AG90" s="704"/>
      <c r="AH90" s="704"/>
      <c r="AI90" s="704"/>
      <c r="AJ90" s="704"/>
      <c r="AK90" s="704"/>
      <c r="AL90" s="704"/>
      <c r="AM90" s="704"/>
      <c r="AN90" s="704"/>
      <c r="AO90" s="704"/>
      <c r="AP90" s="704"/>
      <c r="AQ90" s="704"/>
      <c r="AR90" s="704"/>
      <c r="AS90" s="704"/>
      <c r="AT90" s="704"/>
      <c r="AU90" s="704"/>
      <c r="AV90" s="704"/>
      <c r="AW90" s="704"/>
      <c r="AX90" s="704"/>
      <c r="AY90" s="704"/>
      <c r="AZ90" s="704">
        <f>SUM(AZ83:BA83)/SUM(AV83:AW83)-1</f>
        <v>0.37140774092195117</v>
      </c>
      <c r="BA90" s="704"/>
    </row>
    <row r="91" spans="1:57">
      <c r="A91" s="516" t="s">
        <v>1018</v>
      </c>
      <c r="B91" s="590"/>
      <c r="C91" s="590"/>
      <c r="D91" s="534"/>
      <c r="E91" s="534"/>
      <c r="F91" s="534"/>
      <c r="G91" s="534"/>
      <c r="H91" s="534"/>
      <c r="I91" s="534"/>
      <c r="J91" s="534"/>
      <c r="K91" s="534"/>
      <c r="L91" s="534"/>
      <c r="M91" s="534"/>
      <c r="N91" s="534"/>
      <c r="O91" s="521"/>
      <c r="P91" s="521"/>
      <c r="Q91" s="521"/>
      <c r="R91" s="521"/>
      <c r="S91" s="521"/>
      <c r="T91" s="516"/>
      <c r="U91" s="534"/>
      <c r="V91" s="534"/>
      <c r="W91" s="534"/>
      <c r="X91" s="534"/>
      <c r="Y91" s="534"/>
      <c r="Z91" s="534"/>
      <c r="AA91" s="534"/>
      <c r="AB91" s="534"/>
      <c r="AC91" s="523"/>
    </row>
    <row r="92" spans="1:57">
      <c r="A92" s="544" t="s">
        <v>507</v>
      </c>
      <c r="B92" s="530"/>
      <c r="C92" s="530">
        <f t="shared" ref="C92:K92" si="111">C64/B64-1</f>
        <v>6.8122892568400095E-2</v>
      </c>
      <c r="D92" s="530">
        <f t="shared" si="111"/>
        <v>0.38557320136996509</v>
      </c>
      <c r="E92" s="530">
        <f t="shared" si="111"/>
        <v>0.17814742460888033</v>
      </c>
      <c r="F92" s="530">
        <f t="shared" si="111"/>
        <v>0.40724388206478346</v>
      </c>
      <c r="G92" s="530">
        <f t="shared" si="111"/>
        <v>0.21891747198959233</v>
      </c>
      <c r="H92" s="530">
        <f t="shared" si="111"/>
        <v>0.32419494463634702</v>
      </c>
      <c r="I92" s="530">
        <f t="shared" si="111"/>
        <v>0.40629862458102206</v>
      </c>
      <c r="J92" s="530">
        <f t="shared" si="111"/>
        <v>0.32534294349569493</v>
      </c>
      <c r="K92" s="530">
        <f t="shared" si="111"/>
        <v>0.2101570488187654</v>
      </c>
      <c r="L92" s="530">
        <f>L64/K64-1</f>
        <v>0.17275086761500336</v>
      </c>
      <c r="M92" s="530" t="e">
        <f>M64/L64-1</f>
        <v>#REF!</v>
      </c>
      <c r="N92" s="547"/>
      <c r="O92" s="544"/>
      <c r="P92" s="544"/>
      <c r="Q92" s="544"/>
      <c r="R92" s="544"/>
      <c r="S92" s="544"/>
      <c r="T92" s="541"/>
      <c r="U92" s="530"/>
      <c r="V92" s="530"/>
      <c r="W92" s="530">
        <f t="shared" ref="W92:AB92" si="112">W64/U64-1</f>
        <v>0.49111859609784747</v>
      </c>
      <c r="X92" s="530">
        <f t="shared" si="112"/>
        <v>0.32402887365161925</v>
      </c>
      <c r="Y92" s="530">
        <f t="shared" si="112"/>
        <v>0.16539080688715391</v>
      </c>
      <c r="Z92" s="530">
        <f t="shared" si="112"/>
        <v>0.27872495499050887</v>
      </c>
      <c r="AA92" s="530">
        <f t="shared" si="112"/>
        <v>0.27239251854829916</v>
      </c>
      <c r="AB92" s="530">
        <f t="shared" si="112"/>
        <v>0.37694584615817095</v>
      </c>
      <c r="AC92" s="541"/>
      <c r="AD92" s="544"/>
      <c r="AE92" s="544"/>
      <c r="AF92" s="544"/>
      <c r="AG92" s="544"/>
      <c r="AH92" s="544">
        <f>AH64/AD64-1</f>
        <v>0.83372486025282067</v>
      </c>
      <c r="AI92" s="544">
        <f>AI64/AE64-1</f>
        <v>0.28299723647068897</v>
      </c>
      <c r="AJ92" s="544">
        <f>AJ64/AF64-1</f>
        <v>0.19300544410753551</v>
      </c>
      <c r="AK92" s="544">
        <f t="shared" ref="AK92:AS92" si="113">AK64/AG64-1</f>
        <v>0.54946026729345387</v>
      </c>
      <c r="AL92" s="544">
        <f t="shared" si="113"/>
        <v>0.1725517122531981</v>
      </c>
      <c r="AM92" s="544">
        <f t="shared" si="113"/>
        <v>0.15917356532645233</v>
      </c>
      <c r="AN92" s="544">
        <f t="shared" si="113"/>
        <v>0.25300084526220945</v>
      </c>
      <c r="AO92" s="544">
        <f t="shared" si="113"/>
        <v>0.31280245823286057</v>
      </c>
      <c r="AP92" s="544">
        <f t="shared" si="113"/>
        <v>0.24137195687381041</v>
      </c>
      <c r="AQ92" s="544">
        <f t="shared" si="113"/>
        <v>0.2996360248046066</v>
      </c>
      <c r="AR92" s="544">
        <f t="shared" si="113"/>
        <v>0.35173296148053401</v>
      </c>
      <c r="AS92" s="544">
        <f t="shared" si="113"/>
        <v>0.40882464390972162</v>
      </c>
      <c r="AT92" s="544">
        <f t="shared" ref="AT92:AZ92" si="114">AT64/AP64-1</f>
        <v>0.39797471926278161</v>
      </c>
      <c r="AU92" s="544">
        <f t="shared" si="114"/>
        <v>0.47883075680811071</v>
      </c>
      <c r="AV92" s="544">
        <f t="shared" si="114"/>
        <v>0.47293150294500186</v>
      </c>
      <c r="AW92" s="544">
        <f t="shared" si="114"/>
        <v>0.25122743306118256</v>
      </c>
      <c r="AX92" s="544">
        <f t="shared" si="114"/>
        <v>0.39225678798014152</v>
      </c>
      <c r="AY92" s="544">
        <f t="shared" si="114"/>
        <v>0.3410146008430619</v>
      </c>
      <c r="AZ92" s="544">
        <f t="shared" si="114"/>
        <v>0.30359622508590234</v>
      </c>
      <c r="BA92" s="544">
        <f t="shared" ref="BA92" si="115">BA64/AW64-1</f>
        <v>0.26439679571401631</v>
      </c>
      <c r="BB92" s="544">
        <f t="shared" ref="BB92" si="116">BB64/AX64-1</f>
        <v>0.22999999999999998</v>
      </c>
      <c r="BC92" s="544">
        <f t="shared" ref="BC92" si="117">BC64/AY64-1</f>
        <v>0.21999999999999997</v>
      </c>
      <c r="BD92" s="544">
        <f t="shared" ref="BD92" si="118">BD64/AZ64-1</f>
        <v>0.22999999999999998</v>
      </c>
      <c r="BE92" s="544">
        <f t="shared" ref="BE92" si="119">BE64/BA64-1</f>
        <v>0.14377511032349433</v>
      </c>
    </row>
    <row r="93" spans="1:57">
      <c r="A93" s="544" t="s">
        <v>940</v>
      </c>
      <c r="B93" s="530"/>
      <c r="C93" s="530">
        <f t="shared" ref="C93:E96" si="120">C66/B66-1</f>
        <v>2.4567675259580701E-2</v>
      </c>
      <c r="D93" s="530">
        <f t="shared" si="120"/>
        <v>0.4087357683911601</v>
      </c>
      <c r="E93" s="530">
        <f t="shared" si="120"/>
        <v>0.17470476984796113</v>
      </c>
      <c r="F93" s="530">
        <f t="shared" ref="F93:K96" si="121">F66/E66-1</f>
        <v>0.33999127120638239</v>
      </c>
      <c r="G93" s="530">
        <f t="shared" si="121"/>
        <v>0.16267080187934657</v>
      </c>
      <c r="H93" s="530">
        <f t="shared" si="121"/>
        <v>0.34756577958461898</v>
      </c>
      <c r="I93" s="530">
        <f t="shared" si="121"/>
        <v>0.46301495170265716</v>
      </c>
      <c r="J93" s="530">
        <f t="shared" si="121"/>
        <v>0.3283253672268458</v>
      </c>
      <c r="K93" s="530">
        <f t="shared" si="121"/>
        <v>0.23640366401657587</v>
      </c>
      <c r="L93" s="530">
        <f t="shared" ref="L93:M96" si="122">L66/K66-1</f>
        <v>0.18128072528025885</v>
      </c>
      <c r="M93" s="530" t="e">
        <f t="shared" si="122"/>
        <v>#REF!</v>
      </c>
      <c r="N93" s="535"/>
      <c r="O93" s="544"/>
      <c r="P93" s="544"/>
      <c r="Q93" s="544"/>
      <c r="R93" s="544"/>
      <c r="S93" s="544"/>
      <c r="T93" s="541"/>
      <c r="U93" s="530"/>
      <c r="V93" s="530"/>
      <c r="W93" s="530">
        <f>W66/U66-1</f>
        <v>0.59515773253121473</v>
      </c>
      <c r="X93" s="530">
        <f t="shared" ref="X93:AB94" si="123">X66/V66-1</f>
        <v>8.8558486786324497E-2</v>
      </c>
      <c r="Y93" s="530">
        <f t="shared" si="123"/>
        <v>1.1941658501357644E-3</v>
      </c>
      <c r="Z93" s="530">
        <f t="shared" si="123"/>
        <v>0.39583392980056908</v>
      </c>
      <c r="AA93" s="530">
        <f t="shared" si="123"/>
        <v>0.28503050450789535</v>
      </c>
      <c r="AB93" s="530">
        <f t="shared" si="123"/>
        <v>0.4123336776988864</v>
      </c>
      <c r="AC93" s="541"/>
      <c r="AD93" s="544"/>
      <c r="AE93" s="544"/>
      <c r="AF93" s="544"/>
      <c r="AG93" s="544"/>
      <c r="AH93" s="544">
        <f t="shared" ref="AH93:AJ94" si="124">AH66/AD66-1</f>
        <v>0.84817152686570574</v>
      </c>
      <c r="AI93" s="544">
        <f t="shared" si="124"/>
        <v>0.42648286887351228</v>
      </c>
      <c r="AJ93" s="544">
        <f t="shared" si="124"/>
        <v>0.16230931890658606</v>
      </c>
      <c r="AK93" s="544">
        <f t="shared" ref="AK93:AS94" si="125">AK66/AG66-1</f>
        <v>-4.3005390650135755E-2</v>
      </c>
      <c r="AL93" s="544">
        <f t="shared" si="125"/>
        <v>2.2132967696156358E-2</v>
      </c>
      <c r="AM93" s="544">
        <f t="shared" si="125"/>
        <v>-1.689146699032662E-2</v>
      </c>
      <c r="AN93" s="544">
        <f t="shared" si="125"/>
        <v>8.7230441322550867E-2</v>
      </c>
      <c r="AO93" s="544">
        <f t="shared" si="125"/>
        <v>1.0644592195904274</v>
      </c>
      <c r="AP93" s="544">
        <f t="shared" si="125"/>
        <v>0.25117108602270055</v>
      </c>
      <c r="AQ93" s="544">
        <f t="shared" si="125"/>
        <v>0.31543706583009623</v>
      </c>
      <c r="AR93" s="544">
        <f t="shared" si="125"/>
        <v>0.40096809389079779</v>
      </c>
      <c r="AS93" s="544">
        <f t="shared" si="125"/>
        <v>0.42530215577191433</v>
      </c>
      <c r="AT93" s="544">
        <f t="shared" ref="AT93:AZ97" si="126">AT66/AP66-1</f>
        <v>0.37365851464976152</v>
      </c>
      <c r="AU93" s="544">
        <f t="shared" si="126"/>
        <v>0.59309037545889676</v>
      </c>
      <c r="AV93" s="544">
        <f t="shared" si="126"/>
        <v>0.62533001686186518</v>
      </c>
      <c r="AW93" s="544">
        <f t="shared" si="126"/>
        <v>0.22301293907434916</v>
      </c>
      <c r="AX93" s="544">
        <f t="shared" si="126"/>
        <v>0.44753305887189221</v>
      </c>
      <c r="AY93" s="544">
        <f t="shared" si="126"/>
        <v>0.33089639122250492</v>
      </c>
      <c r="AZ93" s="544">
        <f t="shared" si="126"/>
        <v>0.28659920772460845</v>
      </c>
      <c r="BA93" s="544">
        <f t="shared" ref="BA93:BA97" si="127">BA66/AW66-1</f>
        <v>0.26359467589789598</v>
      </c>
      <c r="BB93" s="544">
        <f t="shared" ref="BB93:BB97" si="128">BB66/AX66-1</f>
        <v>0.27235233745507004</v>
      </c>
      <c r="BC93" s="544">
        <f t="shared" ref="BC93:BC97" si="129">BC66/AY66-1</f>
        <v>0.24123515877958579</v>
      </c>
      <c r="BD93" s="544">
        <f t="shared" ref="BD93:BD97" si="130">BD66/AZ66-1</f>
        <v>0.26515280341239711</v>
      </c>
      <c r="BE93" s="544">
        <f t="shared" ref="BE93:BE97" si="131">BE66/BA66-1</f>
        <v>0.14302633695852807</v>
      </c>
    </row>
    <row r="94" spans="1:57">
      <c r="A94" s="544" t="s">
        <v>47</v>
      </c>
      <c r="B94" s="530"/>
      <c r="C94" s="530">
        <f t="shared" si="120"/>
        <v>0.17379580004016359</v>
      </c>
      <c r="D94" s="530">
        <f t="shared" si="120"/>
        <v>9.0668868149678561E-2</v>
      </c>
      <c r="E94" s="530">
        <f t="shared" si="120"/>
        <v>4.2148133088558248E-2</v>
      </c>
      <c r="F94" s="530">
        <f t="shared" si="121"/>
        <v>0.32782094284888563</v>
      </c>
      <c r="G94" s="530">
        <f t="shared" si="121"/>
        <v>5.8379223199149344E-2</v>
      </c>
      <c r="H94" s="530">
        <f t="shared" si="121"/>
        <v>0.35763308404382577</v>
      </c>
      <c r="I94" s="530">
        <f t="shared" si="121"/>
        <v>0.33185627345507074</v>
      </c>
      <c r="J94" s="530">
        <f t="shared" si="121"/>
        <v>0.2591362816796916</v>
      </c>
      <c r="K94" s="530">
        <f t="shared" si="121"/>
        <v>0.17803840064790277</v>
      </c>
      <c r="L94" s="530">
        <f t="shared" si="122"/>
        <v>0.15103234873028404</v>
      </c>
      <c r="M94" s="530" t="e">
        <f t="shared" si="122"/>
        <v>#REF!</v>
      </c>
      <c r="N94" s="535"/>
      <c r="O94" s="544"/>
      <c r="P94" s="544"/>
      <c r="Q94" s="544"/>
      <c r="R94" s="544"/>
      <c r="S94" s="544"/>
      <c r="T94" s="541"/>
      <c r="U94" s="530"/>
      <c r="V94" s="530"/>
      <c r="W94" s="530">
        <f>W67/U67-1</f>
        <v>0.71372730054158806</v>
      </c>
      <c r="X94" s="530">
        <f t="shared" si="123"/>
        <v>2.193764670937326E-2</v>
      </c>
      <c r="Y94" s="530">
        <f t="shared" si="123"/>
        <v>-9.1714360868484168E-2</v>
      </c>
      <c r="Z94" s="530">
        <f t="shared" si="123"/>
        <v>0.25788398833607395</v>
      </c>
      <c r="AA94" s="530">
        <f t="shared" si="123"/>
        <v>0.23307562455256203</v>
      </c>
      <c r="AB94" s="530">
        <f t="shared" si="123"/>
        <v>0.47718120251456186</v>
      </c>
      <c r="AC94" s="541"/>
      <c r="AD94" s="544"/>
      <c r="AE94" s="544"/>
      <c r="AF94" s="544"/>
      <c r="AG94" s="544"/>
      <c r="AH94" s="544">
        <f t="shared" si="124"/>
        <v>0.64699555809937226</v>
      </c>
      <c r="AI94" s="544">
        <f t="shared" si="124"/>
        <v>0.76575434220630934</v>
      </c>
      <c r="AJ94" s="544">
        <f t="shared" si="124"/>
        <v>0.13886879928538276</v>
      </c>
      <c r="AK94" s="544">
        <f t="shared" si="125"/>
        <v>-0.14485884766426038</v>
      </c>
      <c r="AL94" s="544">
        <f t="shared" si="125"/>
        <v>4.7110407023682965E-2</v>
      </c>
      <c r="AM94" s="544">
        <f t="shared" si="125"/>
        <v>-0.19266888082831668</v>
      </c>
      <c r="AN94" s="544">
        <f t="shared" si="125"/>
        <v>-1.6719523294114191E-3</v>
      </c>
      <c r="AO94" s="544">
        <f t="shared" si="125"/>
        <v>0.7509709851898656</v>
      </c>
      <c r="AP94" s="544">
        <f t="shared" si="125"/>
        <v>0.15855857003199336</v>
      </c>
      <c r="AQ94" s="544">
        <f t="shared" si="125"/>
        <v>0.30335943070839977</v>
      </c>
      <c r="AR94" s="544">
        <f t="shared" si="125"/>
        <v>0.43982357178970433</v>
      </c>
      <c r="AS94" s="544">
        <f t="shared" si="125"/>
        <v>0.51764496187382347</v>
      </c>
      <c r="AT94" s="544">
        <f t="shared" si="126"/>
        <v>0.47224612422535728</v>
      </c>
      <c r="AU94" s="544">
        <f t="shared" si="126"/>
        <v>0.29891451789229762</v>
      </c>
      <c r="AV94" s="544">
        <f t="shared" si="126"/>
        <v>0.43584796167268935</v>
      </c>
      <c r="AW94" s="544">
        <f t="shared" si="126"/>
        <v>0.15009586218347337</v>
      </c>
      <c r="AX94" s="544">
        <f t="shared" si="126"/>
        <v>0.32942680378334277</v>
      </c>
      <c r="AY94" s="544">
        <f t="shared" si="126"/>
        <v>0.38727648643113088</v>
      </c>
      <c r="AZ94" s="544">
        <f t="shared" si="126"/>
        <v>0.15699998596485765</v>
      </c>
      <c r="BA94" s="544">
        <f t="shared" si="127"/>
        <v>0.19562870050528547</v>
      </c>
      <c r="BB94" s="544">
        <f t="shared" si="128"/>
        <v>0.24762682445811857</v>
      </c>
      <c r="BC94" s="544">
        <f t="shared" si="129"/>
        <v>0.21044181516111915</v>
      </c>
      <c r="BD94" s="544">
        <f t="shared" si="130"/>
        <v>0.37141163010344491</v>
      </c>
      <c r="BE94" s="544">
        <f t="shared" si="131"/>
        <v>-0.17293012139734787</v>
      </c>
    </row>
    <row r="95" spans="1:57">
      <c r="A95" s="561" t="s">
        <v>1003</v>
      </c>
      <c r="B95" s="530"/>
      <c r="C95" s="530">
        <f t="shared" si="120"/>
        <v>0.17473562169902968</v>
      </c>
      <c r="D95" s="530">
        <f>D68/C68-1</f>
        <v>1.4588499010488754E-2</v>
      </c>
      <c r="E95" s="530">
        <f>E68/D68-1</f>
        <v>5.7700820689440713E-2</v>
      </c>
      <c r="F95" s="530">
        <f t="shared" si="121"/>
        <v>0.31531496633223477</v>
      </c>
      <c r="G95" s="530">
        <f t="shared" si="121"/>
        <v>5.9114762976865354E-2</v>
      </c>
      <c r="H95" s="530">
        <f t="shared" si="121"/>
        <v>0.34941257630477862</v>
      </c>
      <c r="I95" s="530">
        <f t="shared" si="121"/>
        <v>0.37092551514900363</v>
      </c>
      <c r="J95" s="530">
        <f t="shared" si="121"/>
        <v>0.25722500748909161</v>
      </c>
      <c r="K95" s="530">
        <f t="shared" si="121"/>
        <v>0.17850365786381817</v>
      </c>
      <c r="L95" s="530">
        <f t="shared" si="122"/>
        <v>0.15400153609654343</v>
      </c>
      <c r="M95" s="530" t="e">
        <f t="shared" si="122"/>
        <v>#REF!</v>
      </c>
      <c r="N95" s="535"/>
      <c r="O95" s="544"/>
      <c r="P95" s="544"/>
      <c r="Q95" s="544"/>
      <c r="R95" s="544"/>
      <c r="S95" s="544"/>
      <c r="T95" s="541"/>
      <c r="U95" s="530"/>
      <c r="V95" s="530"/>
      <c r="W95" s="530"/>
      <c r="X95" s="530"/>
      <c r="Y95" s="530"/>
      <c r="Z95" s="530"/>
      <c r="AA95" s="530"/>
      <c r="AB95" s="530"/>
      <c r="AC95" s="541"/>
      <c r="AD95" s="544"/>
      <c r="AE95" s="544"/>
      <c r="AF95" s="544"/>
      <c r="AG95" s="544"/>
      <c r="AH95" s="530">
        <f>AH68/AD68-1</f>
        <v>0.66808124383280676</v>
      </c>
      <c r="AI95" s="530">
        <f t="shared" ref="AI95:AS95" si="132">AI68/AE68-1</f>
        <v>0.8449765292856477</v>
      </c>
      <c r="AJ95" s="530">
        <f t="shared" si="132"/>
        <v>0.10786961559027453</v>
      </c>
      <c r="AK95" s="530">
        <f t="shared" si="132"/>
        <v>-0.25150987880405085</v>
      </c>
      <c r="AL95" s="530">
        <f t="shared" si="132"/>
        <v>5.1983494554042053E-3</v>
      </c>
      <c r="AM95" s="530">
        <f t="shared" si="132"/>
        <v>-0.21128716377148393</v>
      </c>
      <c r="AN95" s="530">
        <f t="shared" si="132"/>
        <v>-4.0919949602017502E-2</v>
      </c>
      <c r="AO95" s="530">
        <f t="shared" si="132"/>
        <v>1.1331856133597169</v>
      </c>
      <c r="AP95" s="530">
        <f t="shared" si="132"/>
        <v>0.1560600781272703</v>
      </c>
      <c r="AQ95" s="530">
        <f t="shared" si="132"/>
        <v>0.29554135129776338</v>
      </c>
      <c r="AR95" s="530">
        <f t="shared" si="132"/>
        <v>0.45641735971875663</v>
      </c>
      <c r="AS95" s="530">
        <f t="shared" si="132"/>
        <v>0.47046188469121608</v>
      </c>
      <c r="AT95" s="530">
        <f t="shared" si="126"/>
        <v>0.52530641366860897</v>
      </c>
      <c r="AU95" s="530">
        <f t="shared" si="126"/>
        <v>0.33125729897416822</v>
      </c>
      <c r="AV95" s="530">
        <f t="shared" si="126"/>
        <v>0.50074175390559272</v>
      </c>
      <c r="AW95" s="530">
        <f t="shared" si="126"/>
        <v>0.15780719650156105</v>
      </c>
      <c r="AX95" s="530">
        <f t="shared" si="126"/>
        <v>0.35708729714372023</v>
      </c>
      <c r="AY95" s="530">
        <f t="shared" si="126"/>
        <v>0.38742099162884913</v>
      </c>
      <c r="AZ95" s="530">
        <f t="shared" si="126"/>
        <v>0.11339806170006983</v>
      </c>
      <c r="BA95" s="530">
        <f t="shared" si="127"/>
        <v>0.22324069970966942</v>
      </c>
      <c r="BB95" s="530">
        <f t="shared" si="128"/>
        <v>0.24607393996907945</v>
      </c>
      <c r="BC95" s="530">
        <f t="shared" si="129"/>
        <v>0.23470473049184393</v>
      </c>
      <c r="BD95" s="530">
        <f t="shared" si="130"/>
        <v>0.42690758471435797</v>
      </c>
      <c r="BE95" s="530">
        <f t="shared" si="131"/>
        <v>-0.26403380856814906</v>
      </c>
    </row>
    <row r="96" spans="1:57">
      <c r="A96" s="561" t="s">
        <v>1004</v>
      </c>
      <c r="B96" s="530"/>
      <c r="C96" s="530">
        <f t="shared" si="120"/>
        <v>0.29641585755960898</v>
      </c>
      <c r="D96" s="530">
        <f>D69/C69-1</f>
        <v>0.59618593105963225</v>
      </c>
      <c r="E96" s="530">
        <f>E69/D69-1</f>
        <v>-4.2827771313263097E-2</v>
      </c>
      <c r="F96" s="530">
        <f t="shared" si="121"/>
        <v>0.34179241981806174</v>
      </c>
      <c r="G96" s="530">
        <f t="shared" si="121"/>
        <v>1.6431979083746606E-2</v>
      </c>
      <c r="H96" s="530">
        <f t="shared" si="121"/>
        <v>0.41334329667486314</v>
      </c>
      <c r="I96" s="530">
        <f t="shared" si="121"/>
        <v>0.15447344310570932</v>
      </c>
      <c r="J96" s="530">
        <f t="shared" si="121"/>
        <v>0.24796530965817798</v>
      </c>
      <c r="K96" s="530">
        <f t="shared" si="121"/>
        <v>0.16430330009266192</v>
      </c>
      <c r="L96" s="530">
        <f t="shared" si="122"/>
        <v>0.12656442839623794</v>
      </c>
      <c r="M96" s="530" t="e">
        <f t="shared" si="122"/>
        <v>#REF!</v>
      </c>
      <c r="N96" s="535"/>
      <c r="O96" s="544"/>
      <c r="P96" s="544"/>
      <c r="Q96" s="544"/>
      <c r="R96" s="544"/>
      <c r="S96" s="544"/>
      <c r="T96" s="541"/>
      <c r="U96" s="530"/>
      <c r="V96" s="530"/>
      <c r="W96" s="530"/>
      <c r="X96" s="530"/>
      <c r="Y96" s="530"/>
      <c r="Z96" s="530"/>
      <c r="AA96" s="530"/>
      <c r="AB96" s="530"/>
      <c r="AC96" s="541"/>
      <c r="AD96" s="544"/>
      <c r="AE96" s="544"/>
      <c r="AF96" s="544"/>
      <c r="AG96" s="544"/>
      <c r="AH96" s="530">
        <f>AH69/AD69-1</f>
        <v>0.40081833508022302</v>
      </c>
      <c r="AI96" s="530">
        <f t="shared" ref="AI96:AS96" si="133">AI69/AE69-1</f>
        <v>0.5344673181648929</v>
      </c>
      <c r="AJ96" s="530">
        <f t="shared" si="133"/>
        <v>0.33915163233680956</v>
      </c>
      <c r="AK96" s="530">
        <f t="shared" si="133"/>
        <v>0.12320347066921578</v>
      </c>
      <c r="AL96" s="530">
        <f t="shared" si="133"/>
        <v>0.24008100729761472</v>
      </c>
      <c r="AM96" s="530">
        <f t="shared" si="133"/>
        <v>-0.18495890606748067</v>
      </c>
      <c r="AN96" s="530">
        <f t="shared" si="133"/>
        <v>0.17691781972683618</v>
      </c>
      <c r="AO96" s="530">
        <f t="shared" si="133"/>
        <v>-9.4577529364367252E-2</v>
      </c>
      <c r="AP96" s="530">
        <f t="shared" si="133"/>
        <v>0.15634964591075295</v>
      </c>
      <c r="AQ96" s="530">
        <f t="shared" si="133"/>
        <v>0.35163799209937951</v>
      </c>
      <c r="AR96" s="530">
        <f t="shared" si="133"/>
        <v>0.3340987878819861</v>
      </c>
      <c r="AS96" s="530">
        <f t="shared" si="133"/>
        <v>0.90634378570808116</v>
      </c>
      <c r="AT96" s="530">
        <f t="shared" si="126"/>
        <v>0.24641207473786642</v>
      </c>
      <c r="AU96" s="530">
        <f t="shared" si="126"/>
        <v>0.11422653780454861</v>
      </c>
      <c r="AV96" s="530">
        <f t="shared" si="126"/>
        <v>0.18905581211473832</v>
      </c>
      <c r="AW96" s="530">
        <f t="shared" si="126"/>
        <v>8.5885866571305591E-2</v>
      </c>
      <c r="AX96" s="530">
        <f t="shared" si="126"/>
        <v>0.20388921336544485</v>
      </c>
      <c r="AY96" s="530">
        <f t="shared" si="126"/>
        <v>0.41621004871514478</v>
      </c>
      <c r="AZ96" s="530">
        <f t="shared" si="126"/>
        <v>0.30017053037160268</v>
      </c>
      <c r="BA96" s="530">
        <f t="shared" si="127"/>
        <v>9.4020853897800682E-2</v>
      </c>
      <c r="BB96" s="530">
        <f t="shared" si="128"/>
        <v>0.26281710900740585</v>
      </c>
      <c r="BC96" s="530">
        <f t="shared" si="129"/>
        <v>6.950594827323231E-2</v>
      </c>
      <c r="BD96" s="530">
        <f t="shared" si="130"/>
        <v>0.12488461625658909</v>
      </c>
      <c r="BE96" s="530">
        <f t="shared" si="131"/>
        <v>0.21972043837712607</v>
      </c>
    </row>
    <row r="97" spans="1:57">
      <c r="A97" s="588" t="s">
        <v>1019</v>
      </c>
      <c r="B97" s="530"/>
      <c r="C97" s="530">
        <f t="shared" ref="C97:K97" si="134">(C66+C67)/(B66+B67)-1</f>
        <v>-0.36022256032619304</v>
      </c>
      <c r="D97" s="530">
        <f t="shared" si="134"/>
        <v>1.9134549849595417</v>
      </c>
      <c r="E97" s="530">
        <f t="shared" si="134"/>
        <v>0.40946421373857578</v>
      </c>
      <c r="F97" s="530">
        <f t="shared" si="134"/>
        <v>0.35592800405257896</v>
      </c>
      <c r="G97" s="530">
        <f t="shared" si="134"/>
        <v>0.29640704596561185</v>
      </c>
      <c r="H97" s="530">
        <f t="shared" si="134"/>
        <v>0.33702644950132599</v>
      </c>
      <c r="I97" s="530">
        <f t="shared" si="134"/>
        <v>0.60243950091435772</v>
      </c>
      <c r="J97" s="530">
        <f t="shared" si="134"/>
        <v>0.38945552645325265</v>
      </c>
      <c r="K97" s="530">
        <f t="shared" si="134"/>
        <v>0.2831341689398259</v>
      </c>
      <c r="L97" s="530">
        <f>(L66+L67)/(K66+K67)-1</f>
        <v>0.20351564020618107</v>
      </c>
      <c r="M97" s="530" t="e">
        <f>(M66+M67)/(L66+L67)-1</f>
        <v>#REF!</v>
      </c>
      <c r="N97" s="535"/>
      <c r="O97" s="544"/>
      <c r="P97" s="544"/>
      <c r="Q97" s="544"/>
      <c r="R97" s="544"/>
      <c r="S97" s="544"/>
      <c r="T97" s="588"/>
      <c r="U97" s="530"/>
      <c r="V97" s="530"/>
      <c r="W97" s="530">
        <f t="shared" ref="W97:AB97" si="135">(W66+W67)/(U66+U67)-1</f>
        <v>0.47412706613816558</v>
      </c>
      <c r="X97" s="530">
        <f t="shared" si="135"/>
        <v>0.20100715284407267</v>
      </c>
      <c r="Y97" s="530">
        <f t="shared" si="135"/>
        <v>0.11144567816236695</v>
      </c>
      <c r="Z97" s="530">
        <f t="shared" si="135"/>
        <v>0.59396132413404001</v>
      </c>
      <c r="AA97" s="530">
        <f t="shared" si="135"/>
        <v>0.33541414377523893</v>
      </c>
      <c r="AB97" s="530">
        <f t="shared" si="135"/>
        <v>0.33883505159306604</v>
      </c>
      <c r="AC97" s="541"/>
      <c r="AD97" s="544"/>
      <c r="AE97" s="544"/>
      <c r="AF97" s="544"/>
      <c r="AG97" s="544"/>
      <c r="AH97" s="544">
        <f>AH70/AD70-1</f>
        <v>1.0972948542406846</v>
      </c>
      <c r="AI97" s="544">
        <f>AI70/AE70-1</f>
        <v>0.12189363152506161</v>
      </c>
      <c r="AJ97" s="544">
        <f>AJ70/AF70-1</f>
        <v>0.19416668418238148</v>
      </c>
      <c r="AK97" s="544">
        <f t="shared" ref="AK97:AS97" si="136">AK70/AG70-1</f>
        <v>0.21951185000574092</v>
      </c>
      <c r="AL97" s="544">
        <f t="shared" si="136"/>
        <v>-2.1565641189885687E-3</v>
      </c>
      <c r="AM97" s="544">
        <f t="shared" si="136"/>
        <v>0.2314841045136169</v>
      </c>
      <c r="AN97" s="544">
        <f t="shared" si="136"/>
        <v>0.2024602442333292</v>
      </c>
      <c r="AO97" s="544">
        <f t="shared" si="136"/>
        <v>1.6310311891413409</v>
      </c>
      <c r="AP97" s="544">
        <f t="shared" si="136"/>
        <v>0.34567961100780731</v>
      </c>
      <c r="AQ97" s="544">
        <f t="shared" si="136"/>
        <v>0.32662501787907305</v>
      </c>
      <c r="AR97" s="544">
        <f t="shared" si="136"/>
        <v>0.35915559094846339</v>
      </c>
      <c r="AS97" s="544">
        <f t="shared" si="136"/>
        <v>0.31423392356777247</v>
      </c>
      <c r="AT97" s="544">
        <f t="shared" si="126"/>
        <v>0.28704214829459285</v>
      </c>
      <c r="AU97" s="544">
        <f t="shared" si="126"/>
        <v>0.8608171064289476</v>
      </c>
      <c r="AV97" s="544">
        <f t="shared" si="126"/>
        <v>0.84133416960792484</v>
      </c>
      <c r="AW97" s="544">
        <f t="shared" si="126"/>
        <v>0.32429057457748578</v>
      </c>
      <c r="AX97" s="544">
        <f t="shared" si="126"/>
        <v>0.56622963002804139</v>
      </c>
      <c r="AY97" s="544">
        <f t="shared" si="126"/>
        <v>0.29507954082145083</v>
      </c>
      <c r="AZ97" s="544">
        <f t="shared" si="126"/>
        <v>0.40180445256686714</v>
      </c>
      <c r="BA97" s="544">
        <f t="shared" si="127"/>
        <v>0.34557820514610826</v>
      </c>
      <c r="BB97" s="544">
        <f t="shared" si="128"/>
        <v>0.29344442573194951</v>
      </c>
      <c r="BC97" s="544">
        <f t="shared" si="129"/>
        <v>0.26219003109906103</v>
      </c>
      <c r="BD97" s="544">
        <f t="shared" si="130"/>
        <v>0.18719119464872591</v>
      </c>
      <c r="BE97" s="544">
        <f t="shared" si="131"/>
        <v>0.48167524578544607</v>
      </c>
    </row>
    <row r="98" spans="1:57">
      <c r="A98" s="544" t="s">
        <v>35</v>
      </c>
      <c r="B98" s="530"/>
      <c r="C98" s="530">
        <f t="shared" ref="C98:K98" si="137">C72/B72-1</f>
        <v>-0.36532932776781757</v>
      </c>
      <c r="D98" s="530">
        <f t="shared" si="137"/>
        <v>1.9138491075816204</v>
      </c>
      <c r="E98" s="530">
        <f t="shared" si="137"/>
        <v>0.42349111178794496</v>
      </c>
      <c r="F98" s="530">
        <f t="shared" si="137"/>
        <v>0.47084602777266027</v>
      </c>
      <c r="G98" s="530">
        <f t="shared" si="137"/>
        <v>0.20282203908546026</v>
      </c>
      <c r="H98" s="530">
        <f t="shared" si="137"/>
        <v>0.3432716052318503</v>
      </c>
      <c r="I98" s="530">
        <f t="shared" si="137"/>
        <v>0.59724231851930343</v>
      </c>
      <c r="J98" s="530">
        <f t="shared" si="137"/>
        <v>0.43040001252832849</v>
      </c>
      <c r="K98" s="530">
        <f t="shared" si="137"/>
        <v>0.24493466612529868</v>
      </c>
      <c r="L98" s="530">
        <f>L72/K72-1</f>
        <v>0.20277959519593058</v>
      </c>
      <c r="M98" s="530" t="e">
        <f>M72/L72-1</f>
        <v>#REF!</v>
      </c>
      <c r="N98" s="535"/>
      <c r="O98" s="544"/>
      <c r="P98" s="544"/>
      <c r="Q98" s="544"/>
      <c r="R98" s="544"/>
      <c r="S98" s="544"/>
      <c r="T98" s="541"/>
      <c r="U98" s="530"/>
      <c r="V98" s="530"/>
      <c r="W98" s="530">
        <f t="shared" ref="W98:AB98" si="138">W72/U72-1</f>
        <v>0.48383086766903105</v>
      </c>
      <c r="X98" s="530">
        <f t="shared" si="138"/>
        <v>0.46158426631372218</v>
      </c>
      <c r="Y98" s="530">
        <f t="shared" si="138"/>
        <v>0.14224288432726517</v>
      </c>
      <c r="Z98" s="530">
        <f t="shared" si="138"/>
        <v>0.28201358987107228</v>
      </c>
      <c r="AA98" s="530">
        <f t="shared" si="138"/>
        <v>0.36500426778367068</v>
      </c>
      <c r="AB98" s="530">
        <f t="shared" si="138"/>
        <v>0.32036206995089356</v>
      </c>
      <c r="AC98" s="541"/>
      <c r="AD98" s="544"/>
      <c r="AE98" s="544"/>
      <c r="AF98" s="544"/>
      <c r="AG98" s="544"/>
      <c r="AH98" s="544">
        <f>AH72/AD72-1</f>
        <v>1.0932223973828865</v>
      </c>
      <c r="AI98" s="544">
        <f>AI72/AE72-1</f>
        <v>0.14196165754636492</v>
      </c>
      <c r="AJ98" s="544">
        <f>AJ72/AF72-1</f>
        <v>0.23113515979809462</v>
      </c>
      <c r="AK98" s="544">
        <f t="shared" ref="AK98:AS98" si="139">AK72/AG72-1</f>
        <v>1.0399421803211175</v>
      </c>
      <c r="AL98" s="544">
        <f t="shared" si="139"/>
        <v>1.9661345129817542E-2</v>
      </c>
      <c r="AM98" s="544">
        <f t="shared" si="139"/>
        <v>0.26983023968402065</v>
      </c>
      <c r="AN98" s="544">
        <f t="shared" si="139"/>
        <v>0.19688988939585483</v>
      </c>
      <c r="AO98" s="544">
        <f t="shared" si="139"/>
        <v>0.42422024887072185</v>
      </c>
      <c r="AP98" s="544">
        <f t="shared" si="139"/>
        <v>0.38720002068767534</v>
      </c>
      <c r="AQ98" s="544">
        <f t="shared" si="139"/>
        <v>0.34617903421272112</v>
      </c>
      <c r="AR98" s="544">
        <f t="shared" si="139"/>
        <v>0.30022035875720499</v>
      </c>
      <c r="AS98" s="544">
        <f t="shared" si="139"/>
        <v>0.34132948304734123</v>
      </c>
      <c r="AT98" s="544">
        <f t="shared" ref="AT98:AZ98" si="140">AT72/AP72-1</f>
        <v>0.26737265186845227</v>
      </c>
      <c r="AU98" s="544">
        <f t="shared" si="140"/>
        <v>0.73304329576583283</v>
      </c>
      <c r="AV98" s="544">
        <f t="shared" si="140"/>
        <v>0.89559562536420345</v>
      </c>
      <c r="AW98" s="544">
        <f t="shared" si="140"/>
        <v>0.43081143890113194</v>
      </c>
      <c r="AX98" s="544">
        <f t="shared" si="140"/>
        <v>0.54216409285191891</v>
      </c>
      <c r="AY98" s="544">
        <f t="shared" si="140"/>
        <v>0.35389676879540199</v>
      </c>
      <c r="AZ98" s="544">
        <f t="shared" si="140"/>
        <v>0.489844468305769</v>
      </c>
      <c r="BA98" s="544">
        <f t="shared" ref="BA98" si="141">BA72/AW72-1</f>
        <v>0.33794193799462446</v>
      </c>
      <c r="BB98" s="544">
        <f t="shared" ref="BB98" si="142">BB72/AX72-1</f>
        <v>0.28767153512552524</v>
      </c>
      <c r="BC98" s="544">
        <f t="shared" ref="BC98" si="143">BC72/AY72-1</f>
        <v>0.25363457782534748</v>
      </c>
      <c r="BD98" s="544">
        <f t="shared" ref="BD98" si="144">BD72/AZ72-1</f>
        <v>0.17400435858932983</v>
      </c>
      <c r="BE98" s="544">
        <f t="shared" ref="BE98" si="145">BE72/BA72-1</f>
        <v>0.30901778604399999</v>
      </c>
    </row>
    <row r="99" spans="1:57" hidden="1" outlineLevel="1">
      <c r="A99" s="544" t="s">
        <v>1020</v>
      </c>
      <c r="B99" s="530"/>
      <c r="C99" s="530">
        <f t="shared" ref="C99:K99" si="146">+C81/B81-1</f>
        <v>-0.27124961605965303</v>
      </c>
      <c r="D99" s="530">
        <f t="shared" si="146"/>
        <v>1.6436149914555203</v>
      </c>
      <c r="E99" s="530">
        <f t="shared" si="146"/>
        <v>0.42323983246304353</v>
      </c>
      <c r="F99" s="530">
        <f t="shared" si="146"/>
        <v>0.46904815245317311</v>
      </c>
      <c r="G99" s="530">
        <f t="shared" si="146"/>
        <v>0.20751750200169417</v>
      </c>
      <c r="H99" s="530">
        <f t="shared" si="146"/>
        <v>0.41599699752586394</v>
      </c>
      <c r="I99" s="530">
        <f t="shared" si="146"/>
        <v>0.63092127027421352</v>
      </c>
      <c r="J99" s="530">
        <f t="shared" si="146"/>
        <v>0.37158013000110124</v>
      </c>
      <c r="K99" s="530">
        <f t="shared" si="146"/>
        <v>0.23953280479116112</v>
      </c>
      <c r="L99" s="530">
        <f>+L81/K81-1</f>
        <v>0.19417228706742073</v>
      </c>
      <c r="M99" s="530" t="e">
        <f>+M81/L81-1</f>
        <v>#REF!</v>
      </c>
      <c r="N99" s="535"/>
      <c r="O99" s="544"/>
      <c r="P99" s="544"/>
      <c r="Q99" s="544"/>
      <c r="R99" s="544"/>
      <c r="S99" s="544"/>
      <c r="T99" s="541"/>
      <c r="U99" s="530"/>
      <c r="V99" s="530"/>
      <c r="W99" s="530">
        <f t="shared" ref="W99:AB99" si="147">+W81/U81-1</f>
        <v>0.56017653374649168</v>
      </c>
      <c r="X99" s="530">
        <f t="shared" si="147"/>
        <v>0.36766259531734891</v>
      </c>
      <c r="Y99" s="530">
        <f t="shared" si="147"/>
        <v>0.13098353972286358</v>
      </c>
      <c r="Z99" s="530">
        <f t="shared" si="147"/>
        <v>0.30465153167486925</v>
      </c>
      <c r="AA99" s="530">
        <f t="shared" si="147"/>
        <v>0.54967253544246697</v>
      </c>
      <c r="AB99" s="530">
        <f t="shared" si="147"/>
        <v>0.26892469071639913</v>
      </c>
      <c r="AC99" s="541"/>
      <c r="AD99" s="544"/>
      <c r="AE99" s="544"/>
      <c r="AF99" s="544"/>
      <c r="AG99" s="544"/>
      <c r="AH99" s="544">
        <f t="shared" ref="AH99:AS99" si="148">AH83/AD83-1</f>
        <v>1.3069684521884883</v>
      </c>
      <c r="AI99" s="544">
        <f t="shared" si="148"/>
        <v>0.17229180519963272</v>
      </c>
      <c r="AJ99" s="544">
        <f t="shared" si="148"/>
        <v>0.21287944434885775</v>
      </c>
      <c r="AK99" s="544">
        <f t="shared" si="148"/>
        <v>0.66739769282130612</v>
      </c>
      <c r="AL99" s="544">
        <f t="shared" si="148"/>
        <v>2.1882093759872712E-2</v>
      </c>
      <c r="AM99" s="544">
        <f t="shared" si="148"/>
        <v>0.24250013584373042</v>
      </c>
      <c r="AN99" s="544">
        <f t="shared" si="148"/>
        <v>0.33636679431014982</v>
      </c>
      <c r="AO99" s="544">
        <f t="shared" si="148"/>
        <v>0.25997693216754025</v>
      </c>
      <c r="AP99" s="544">
        <f t="shared" si="148"/>
        <v>0.44277756718877659</v>
      </c>
      <c r="AQ99" s="544">
        <f t="shared" si="148"/>
        <v>0.48999278494727405</v>
      </c>
      <c r="AR99" s="544">
        <f t="shared" si="148"/>
        <v>0.33247072331440797</v>
      </c>
      <c r="AS99" s="544">
        <f t="shared" si="148"/>
        <v>0.39691514520439308</v>
      </c>
      <c r="AT99" s="544">
        <f t="shared" ref="AT99:AZ99" si="149">AT83/AP83-1</f>
        <v>0.33509922288254135</v>
      </c>
      <c r="AU99" s="544">
        <f t="shared" si="149"/>
        <v>0.74622045023154304</v>
      </c>
      <c r="AV99" s="544">
        <f t="shared" si="149"/>
        <v>0.78417445163003441</v>
      </c>
      <c r="AW99" s="544">
        <f t="shared" si="149"/>
        <v>0.61208137586681333</v>
      </c>
      <c r="AX99" s="544">
        <f t="shared" si="149"/>
        <v>0.47618386198705842</v>
      </c>
      <c r="AY99" s="544">
        <f t="shared" si="149"/>
        <v>0.30751545993973317</v>
      </c>
      <c r="AZ99" s="544">
        <f t="shared" si="149"/>
        <v>0.41909419670357906</v>
      </c>
      <c r="BA99" s="544">
        <f t="shared" ref="BA99" si="150">BA83/AW83-1</f>
        <v>0.29619550699234476</v>
      </c>
      <c r="BB99" s="544">
        <f t="shared" ref="BB99" si="151">BB83/AX83-1</f>
        <v>0.27645450077540068</v>
      </c>
      <c r="BC99" s="544">
        <f t="shared" ref="BC99" si="152">BC83/AY83-1</f>
        <v>0.23728713070824692</v>
      </c>
      <c r="BD99" s="544">
        <f t="shared" ref="BD99" si="153">BD83/AZ83-1</f>
        <v>0.16709971669526924</v>
      </c>
      <c r="BE99" s="544">
        <f t="shared" ref="BE99" si="154">BE83/BA83-1</f>
        <v>0.32215272662520977</v>
      </c>
    </row>
    <row r="100" spans="1:57" collapsed="1">
      <c r="A100" s="544" t="s">
        <v>1013</v>
      </c>
      <c r="B100" s="530"/>
      <c r="C100" s="530">
        <f>C83/B83-1</f>
        <v>-0.36647783099871778</v>
      </c>
      <c r="D100" s="530">
        <f t="shared" ref="D100:K100" si="155">D83/C83-1</f>
        <v>2.1725401806557252</v>
      </c>
      <c r="E100" s="530">
        <f t="shared" si="155"/>
        <v>0.35221075432910287</v>
      </c>
      <c r="F100" s="530">
        <f t="shared" si="155"/>
        <v>0.48210096534812408</v>
      </c>
      <c r="G100" s="530">
        <f t="shared" si="155"/>
        <v>0.20751750200169417</v>
      </c>
      <c r="H100" s="530">
        <f t="shared" si="155"/>
        <v>0.41599699752586394</v>
      </c>
      <c r="I100" s="530">
        <f t="shared" si="155"/>
        <v>0.63092127027421352</v>
      </c>
      <c r="J100" s="530">
        <f t="shared" si="155"/>
        <v>0.37158013000110124</v>
      </c>
      <c r="K100" s="530">
        <f t="shared" si="155"/>
        <v>0.23953280479116112</v>
      </c>
      <c r="L100" s="530">
        <f>L83/K83-1</f>
        <v>0.19417228706742073</v>
      </c>
      <c r="M100" s="530" t="e">
        <f>M83/L83-1</f>
        <v>#REF!</v>
      </c>
      <c r="N100" s="535"/>
      <c r="O100" s="544"/>
      <c r="P100" s="544"/>
      <c r="Q100" s="544"/>
      <c r="R100" s="544"/>
      <c r="S100" s="544"/>
      <c r="T100" s="541"/>
      <c r="U100" s="530"/>
      <c r="V100" s="530"/>
      <c r="W100" s="530"/>
      <c r="X100" s="530"/>
      <c r="Y100" s="530"/>
      <c r="Z100" s="530"/>
      <c r="AA100" s="530"/>
      <c r="AB100" s="530"/>
      <c r="AC100" s="541"/>
      <c r="AD100" s="544"/>
      <c r="AE100" s="544"/>
      <c r="AF100" s="544"/>
      <c r="AG100" s="544"/>
    </row>
    <row r="101" spans="1:57">
      <c r="A101" s="524"/>
      <c r="B101" s="546"/>
      <c r="C101" s="546"/>
      <c r="D101" s="546"/>
      <c r="E101" s="546"/>
      <c r="F101" s="546"/>
      <c r="G101" s="546"/>
      <c r="H101" s="546"/>
      <c r="I101" s="546"/>
      <c r="J101" s="546"/>
      <c r="K101" s="546"/>
      <c r="L101" s="546"/>
      <c r="M101" s="546"/>
      <c r="N101" s="547"/>
      <c r="O101" s="524"/>
      <c r="P101" s="524"/>
      <c r="Q101" s="524"/>
      <c r="R101" s="524"/>
      <c r="S101" s="524"/>
      <c r="T101" s="542"/>
      <c r="U101" s="546"/>
      <c r="V101" s="546"/>
      <c r="W101" s="546"/>
      <c r="X101" s="546"/>
      <c r="Y101" s="546"/>
      <c r="Z101" s="546"/>
      <c r="AA101" s="546"/>
      <c r="AB101" s="546"/>
      <c r="AC101" s="542"/>
    </row>
    <row r="102" spans="1:57">
      <c r="A102" s="529" t="s">
        <v>1000</v>
      </c>
      <c r="B102" s="589"/>
      <c r="C102" s="628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47"/>
      <c r="O102" s="521"/>
      <c r="P102" s="521"/>
      <c r="Q102" s="521"/>
      <c r="R102" s="521"/>
      <c r="S102" s="521"/>
      <c r="T102" s="548"/>
      <c r="U102" s="589"/>
      <c r="V102" s="589"/>
      <c r="W102" s="589"/>
      <c r="X102" s="589"/>
      <c r="Y102" s="589"/>
      <c r="Z102" s="589"/>
      <c r="AA102" s="589"/>
      <c r="AB102" s="589"/>
      <c r="AC102" s="542"/>
    </row>
    <row r="103" spans="1:57">
      <c r="A103" s="524" t="s">
        <v>1021</v>
      </c>
      <c r="B103" s="546">
        <f t="shared" ref="B103:J103" si="156">B66/B64</f>
        <v>0.47922116812684518</v>
      </c>
      <c r="C103" s="546">
        <f t="shared" si="156"/>
        <v>0.45967980049773188</v>
      </c>
      <c r="D103" s="546">
        <f t="shared" si="156"/>
        <v>0.46736424775522128</v>
      </c>
      <c r="E103" s="546">
        <f t="shared" si="156"/>
        <v>0.46599856658577676</v>
      </c>
      <c r="F103" s="546">
        <f t="shared" si="156"/>
        <v>0.44372835410975392</v>
      </c>
      <c r="G103" s="546">
        <f t="shared" si="156"/>
        <v>0.42325260991401664</v>
      </c>
      <c r="H103" s="546">
        <f t="shared" si="156"/>
        <v>0.4307226330611314</v>
      </c>
      <c r="I103" s="546">
        <f>I66/I64</f>
        <v>0.44809376983705279</v>
      </c>
      <c r="J103" s="546">
        <f t="shared" si="156"/>
        <v>0.44910211677057787</v>
      </c>
      <c r="K103" s="546">
        <f>K66/K64</f>
        <v>0.45884251406438797</v>
      </c>
      <c r="L103" s="546">
        <f>L66/L64</f>
        <v>0.46217984805732437</v>
      </c>
      <c r="M103" s="546" t="e">
        <f>M66/M64</f>
        <v>#REF!</v>
      </c>
      <c r="N103" s="547"/>
      <c r="O103" s="524"/>
      <c r="P103" s="524"/>
      <c r="Q103" s="524"/>
      <c r="R103" s="524"/>
      <c r="S103" s="524"/>
      <c r="T103" s="542"/>
      <c r="U103" s="546">
        <f t="shared" ref="U103:AB103" si="157">U66/U64</f>
        <v>0.46439766026836521</v>
      </c>
      <c r="V103" s="546">
        <f t="shared" si="157"/>
        <v>0.46758688118342262</v>
      </c>
      <c r="W103" s="546">
        <f t="shared" si="157"/>
        <v>0.49679986601003817</v>
      </c>
      <c r="X103" s="546">
        <f t="shared" si="157"/>
        <v>0.38442943197935975</v>
      </c>
      <c r="Y103" s="546">
        <f t="shared" si="157"/>
        <v>0.42680371640561815</v>
      </c>
      <c r="Z103" s="546">
        <f t="shared" si="157"/>
        <v>0.41963648451260033</v>
      </c>
      <c r="AA103" s="546">
        <f t="shared" si="157"/>
        <v>0.43104292663108518</v>
      </c>
      <c r="AB103" s="546">
        <f t="shared" si="157"/>
        <v>0.43042124069143128</v>
      </c>
      <c r="AC103" s="542"/>
      <c r="AD103" s="546">
        <f t="shared" ref="AD103:AS103" si="158">AD66/AD64</f>
        <v>0.49155110523547735</v>
      </c>
      <c r="AE103" s="546">
        <f t="shared" si="158"/>
        <v>0.4479028892254156</v>
      </c>
      <c r="AF103" s="546">
        <f t="shared" si="158"/>
        <v>0.47377159274885533</v>
      </c>
      <c r="AG103" s="546">
        <f t="shared" si="158"/>
        <v>0.45694582139495799</v>
      </c>
      <c r="AH103" s="546">
        <f t="shared" si="158"/>
        <v>0.49542370089824928</v>
      </c>
      <c r="AI103" s="546">
        <f t="shared" si="158"/>
        <v>0.497994680141778</v>
      </c>
      <c r="AJ103" s="546">
        <f t="shared" si="158"/>
        <v>0.46158141189133922</v>
      </c>
      <c r="AK103" s="546">
        <f t="shared" si="158"/>
        <v>0.28222387954727784</v>
      </c>
      <c r="AL103" s="546">
        <f t="shared" si="158"/>
        <v>0.43186913837092417</v>
      </c>
      <c r="AM103" s="546">
        <f t="shared" si="158"/>
        <v>0.42235505888449593</v>
      </c>
      <c r="AN103" s="546">
        <f t="shared" si="158"/>
        <v>0.40051478341332492</v>
      </c>
      <c r="AO103" s="546">
        <f t="shared" si="158"/>
        <v>0.44381368001415594</v>
      </c>
      <c r="AP103" s="546">
        <f t="shared" si="158"/>
        <v>0.43527822252083048</v>
      </c>
      <c r="AQ103" s="546">
        <f t="shared" si="158"/>
        <v>0.42749007321572796</v>
      </c>
      <c r="AR103" s="546">
        <f t="shared" si="158"/>
        <v>0.41510301863104482</v>
      </c>
      <c r="AS103" s="546">
        <f t="shared" si="158"/>
        <v>0.44900449294367856</v>
      </c>
      <c r="AT103" s="546">
        <f t="shared" ref="AT103:AZ103" si="159">AT66/AT64</f>
        <v>0.42770704531957904</v>
      </c>
      <c r="AU103" s="546">
        <f t="shared" si="159"/>
        <v>0.46051944626450853</v>
      </c>
      <c r="AV103" s="546">
        <f t="shared" si="159"/>
        <v>0.45805211913931027</v>
      </c>
      <c r="AW103" s="546">
        <f t="shared" si="159"/>
        <v>0.4388796873076426</v>
      </c>
      <c r="AX103" s="546">
        <f t="shared" si="159"/>
        <v>0.44468814442680255</v>
      </c>
      <c r="AY103" s="546">
        <f t="shared" si="159"/>
        <v>0.45704473965898929</v>
      </c>
      <c r="AZ103" s="546">
        <f t="shared" si="159"/>
        <v>0.4520797791834506</v>
      </c>
      <c r="BA103" s="546">
        <f t="shared" ref="BA103:BE103" si="160">BA66/BA64</f>
        <v>0.43860126672379157</v>
      </c>
      <c r="BB103" s="546">
        <f t="shared" si="160"/>
        <v>0.46</v>
      </c>
      <c r="BC103" s="546">
        <f t="shared" si="160"/>
        <v>0.46500000000000002</v>
      </c>
      <c r="BD103" s="546">
        <f t="shared" si="160"/>
        <v>0.46500000000000002</v>
      </c>
      <c r="BE103" s="546">
        <f t="shared" si="160"/>
        <v>0.43831413602528352</v>
      </c>
    </row>
    <row r="104" spans="1:57">
      <c r="A104" s="588" t="s">
        <v>1019</v>
      </c>
      <c r="B104" s="546">
        <f t="shared" ref="B104:J104" si="161">SUM(B66,B67)/B64</f>
        <v>0.13391538865006197</v>
      </c>
      <c r="C104" s="546">
        <f t="shared" si="161"/>
        <v>8.0211785628377913E-2</v>
      </c>
      <c r="D104" s="546">
        <f t="shared" si="161"/>
        <v>0.16866191296168462</v>
      </c>
      <c r="E104" s="546">
        <f t="shared" si="161"/>
        <v>0.20177689614617106</v>
      </c>
      <c r="F104" s="546">
        <f t="shared" si="161"/>
        <v>0.19441899697866805</v>
      </c>
      <c r="G104" s="546">
        <f t="shared" si="161"/>
        <v>0.20677868957059659</v>
      </c>
      <c r="H104" s="546">
        <f t="shared" si="161"/>
        <v>0.20878238379397829</v>
      </c>
      <c r="I104" s="546">
        <f>SUM(I66,I67)/I64</f>
        <v>0.23790191715945685</v>
      </c>
      <c r="J104" s="546">
        <f t="shared" si="161"/>
        <v>0.24941026409298189</v>
      </c>
      <c r="K104" s="546">
        <f>SUM(K66,K67)/K64</f>
        <v>0.26445066138679196</v>
      </c>
      <c r="L104" s="546">
        <f>SUM(L66,L67)/L64</f>
        <v>0.27138799537972835</v>
      </c>
      <c r="M104" s="546" t="e">
        <f>SUM(M66,M67)/M64</f>
        <v>#REF!</v>
      </c>
      <c r="N104" s="547"/>
      <c r="O104" s="524"/>
      <c r="P104" s="524"/>
      <c r="Q104" s="524"/>
      <c r="R104" s="524"/>
      <c r="S104" s="524"/>
      <c r="T104" s="588"/>
      <c r="U104" s="546">
        <f t="shared" ref="U104:AB104" si="162">SUM(U66,U67)/U64</f>
        <v>0.22981375665240861</v>
      </c>
      <c r="V104" s="546">
        <f t="shared" si="162"/>
        <v>0.17396055590821147</v>
      </c>
      <c r="W104" s="546">
        <f t="shared" si="162"/>
        <v>0.22719499289912615</v>
      </c>
      <c r="X104" s="546">
        <f t="shared" si="162"/>
        <v>0.15779706629982956</v>
      </c>
      <c r="Y104" s="546">
        <f t="shared" si="162"/>
        <v>0.21667829492524454</v>
      </c>
      <c r="Z104" s="546">
        <f t="shared" si="162"/>
        <v>0.19669782759937621</v>
      </c>
      <c r="AA104" s="546">
        <f t="shared" si="162"/>
        <v>0.22741037492298835</v>
      </c>
      <c r="AB104" s="546">
        <f t="shared" si="162"/>
        <v>0.19125366977722383</v>
      </c>
      <c r="AC104" s="546"/>
      <c r="AD104" s="546">
        <f t="shared" ref="AD104:AS104" si="163">SUM(AD66,AD67)/AD64</f>
        <v>0.21960565037809002</v>
      </c>
      <c r="AE104" s="546">
        <f t="shared" si="163"/>
        <v>0.23601482528222426</v>
      </c>
      <c r="AF104" s="546">
        <f t="shared" si="163"/>
        <v>0.2008296038172882</v>
      </c>
      <c r="AG104" s="546">
        <f t="shared" si="163"/>
        <v>0.12773121404890347</v>
      </c>
      <c r="AH104" s="546">
        <f t="shared" si="163"/>
        <v>0.2511706147871311</v>
      </c>
      <c r="AI104" s="546">
        <f t="shared" si="163"/>
        <v>0.2063788774463792</v>
      </c>
      <c r="AJ104" s="546">
        <f t="shared" si="163"/>
        <v>0.20102508606367689</v>
      </c>
      <c r="AK104" s="546">
        <f t="shared" si="163"/>
        <v>0.10053160602843403</v>
      </c>
      <c r="AL104" s="546">
        <f t="shared" si="163"/>
        <v>0.21374660633936854</v>
      </c>
      <c r="AM104" s="546">
        <f t="shared" si="163"/>
        <v>0.21925302188115731</v>
      </c>
      <c r="AN104" s="546">
        <f t="shared" si="163"/>
        <v>0.19291660895453774</v>
      </c>
      <c r="AO104" s="546">
        <f t="shared" si="163"/>
        <v>0.20147874441926367</v>
      </c>
      <c r="AP104" s="546">
        <f t="shared" si="163"/>
        <v>0.23170690177129513</v>
      </c>
      <c r="AQ104" s="546">
        <f t="shared" si="163"/>
        <v>0.22380615689447464</v>
      </c>
      <c r="AR104" s="546">
        <f t="shared" si="163"/>
        <v>0.19397595169994997</v>
      </c>
      <c r="AS104" s="546">
        <f t="shared" si="163"/>
        <v>0.18795114206605634</v>
      </c>
      <c r="AT104" s="546">
        <f t="shared" ref="AT104:AZ104" si="164">SUM(AT66,AT67)/AT64</f>
        <v>0.21332041597123849</v>
      </c>
      <c r="AU104" s="546">
        <f t="shared" si="164"/>
        <v>0.28161594783993155</v>
      </c>
      <c r="AV104" s="546">
        <f t="shared" si="164"/>
        <v>0.24249230003784567</v>
      </c>
      <c r="AW104" s="546">
        <f t="shared" si="164"/>
        <v>0.19892620585388138</v>
      </c>
      <c r="AX104" s="546">
        <f t="shared" si="164"/>
        <v>0.23997638874419072</v>
      </c>
      <c r="AY104" s="546">
        <f t="shared" si="164"/>
        <v>0.2719694865270289</v>
      </c>
      <c r="AZ104" s="546">
        <f t="shared" si="164"/>
        <v>0.26076079338434166</v>
      </c>
      <c r="BA104" s="546">
        <f t="shared" ref="BA104:BE104" si="165">SUM(BA66,BA67)/BA64</f>
        <v>0.2116983908348446</v>
      </c>
      <c r="BB104" s="546">
        <f t="shared" si="165"/>
        <v>0.25235457099874536</v>
      </c>
      <c r="BC104" s="546">
        <f t="shared" si="165"/>
        <v>0.28137473332585761</v>
      </c>
      <c r="BD104" s="546">
        <f t="shared" si="165"/>
        <v>0.25168529903699688</v>
      </c>
      <c r="BE104" s="546">
        <f t="shared" si="165"/>
        <v>0.2742394570763888</v>
      </c>
    </row>
    <row r="105" spans="1:57">
      <c r="A105" s="524" t="s">
        <v>203</v>
      </c>
      <c r="B105" s="546">
        <f t="shared" ref="B105:J105" si="166">B72/B64</f>
        <v>0.13372711993596192</v>
      </c>
      <c r="C105" s="546">
        <f t="shared" si="166"/>
        <v>7.9459659273238156E-2</v>
      </c>
      <c r="D105" s="546">
        <f t="shared" si="166"/>
        <v>0.16710301341938438</v>
      </c>
      <c r="E105" s="546">
        <f t="shared" si="166"/>
        <v>0.20190143388417031</v>
      </c>
      <c r="F105" s="546">
        <f t="shared" si="166"/>
        <v>0.21102662147971965</v>
      </c>
      <c r="G105" s="546">
        <f t="shared" si="166"/>
        <v>0.20824007940032158</v>
      </c>
      <c r="H105" s="546">
        <f t="shared" si="166"/>
        <v>0.2112400344546671</v>
      </c>
      <c r="I105" s="546">
        <f>I72/I64</f>
        <v>0.23992167559503369</v>
      </c>
      <c r="J105" s="546">
        <f t="shared" si="166"/>
        <v>0.25893974798083536</v>
      </c>
      <c r="K105" s="546">
        <f>K72/K64</f>
        <v>0.26638118499888003</v>
      </c>
      <c r="L105" s="546">
        <f>L72/L64</f>
        <v>0.27320197555031533</v>
      </c>
      <c r="M105" s="546" t="e">
        <f>M72/M64</f>
        <v>#REF!</v>
      </c>
      <c r="N105" s="547"/>
      <c r="O105" s="524"/>
      <c r="P105" s="524"/>
      <c r="Q105" s="524"/>
      <c r="R105" s="524"/>
      <c r="S105" s="524"/>
      <c r="T105" s="542"/>
      <c r="U105" s="546">
        <f t="shared" ref="U105:AB105" si="167">U72/U64</f>
        <v>0.23021582792078613</v>
      </c>
      <c r="V105" s="546">
        <f t="shared" si="167"/>
        <v>0.17331355113826721</v>
      </c>
      <c r="W105" s="546">
        <f t="shared" si="167"/>
        <v>0.22909066561760491</v>
      </c>
      <c r="X105" s="546">
        <f t="shared" si="167"/>
        <v>0.19131936208009165</v>
      </c>
      <c r="Y105" s="546">
        <f t="shared" si="167"/>
        <v>0.22454028392970199</v>
      </c>
      <c r="Z105" s="546">
        <f t="shared" si="167"/>
        <v>0.19181139871784411</v>
      </c>
      <c r="AA105" s="546">
        <f t="shared" si="167"/>
        <v>0.24088356492624721</v>
      </c>
      <c r="AB105" s="546">
        <f t="shared" si="167"/>
        <v>0.18392916188962202</v>
      </c>
      <c r="AC105" s="542"/>
      <c r="AD105" s="546">
        <f t="shared" ref="AD105:AS105" si="168">AD72/AD64</f>
        <v>0.21975507991170415</v>
      </c>
      <c r="AE105" s="546">
        <f t="shared" si="168"/>
        <v>0.2352777365061281</v>
      </c>
      <c r="AF105" s="546">
        <f t="shared" si="168"/>
        <v>0.20114738740351815</v>
      </c>
      <c r="AG105" s="546">
        <f t="shared" si="168"/>
        <v>0.12894465789405274</v>
      </c>
      <c r="AH105" s="546">
        <f t="shared" si="168"/>
        <v>0.25085347599335278</v>
      </c>
      <c r="AI105" s="546">
        <f t="shared" si="168"/>
        <v>0.20941444480689894</v>
      </c>
      <c r="AJ105" s="546">
        <f t="shared" si="168"/>
        <v>0.20757627063408246</v>
      </c>
      <c r="AK105" s="546">
        <f t="shared" si="168"/>
        <v>0.16976211143808384</v>
      </c>
      <c r="AL105" s="546">
        <f t="shared" si="168"/>
        <v>0.21814440257850115</v>
      </c>
      <c r="AM105" s="546">
        <f t="shared" si="168"/>
        <v>0.22940550284853209</v>
      </c>
      <c r="AN105" s="546">
        <f t="shared" si="168"/>
        <v>0.19828074381581115</v>
      </c>
      <c r="AO105" s="546">
        <f t="shared" si="168"/>
        <v>0.18416985364776112</v>
      </c>
      <c r="AP105" s="546">
        <f t="shared" si="168"/>
        <v>0.24377054604316206</v>
      </c>
      <c r="AQ105" s="546">
        <f t="shared" si="168"/>
        <v>0.23762105110478926</v>
      </c>
      <c r="AR105" s="546">
        <f t="shared" si="168"/>
        <v>0.19072454930481628</v>
      </c>
      <c r="AS105" s="546">
        <f t="shared" si="168"/>
        <v>0.17534648875867187</v>
      </c>
      <c r="AT105" s="546">
        <f t="shared" ref="AT105:AZ105" si="169">AT72/AT64</f>
        <v>0.22099693158190009</v>
      </c>
      <c r="AU105" s="546">
        <f t="shared" si="169"/>
        <v>0.27846835593196989</v>
      </c>
      <c r="AV105" s="546">
        <f t="shared" si="169"/>
        <v>0.24545379102076859</v>
      </c>
      <c r="AW105" s="546">
        <f t="shared" si="169"/>
        <v>0.20051331617086476</v>
      </c>
      <c r="AX105" s="546">
        <f t="shared" si="169"/>
        <v>0.24479215002464022</v>
      </c>
      <c r="AY105" s="546">
        <f t="shared" si="169"/>
        <v>0.28114340222025969</v>
      </c>
      <c r="AZ105" s="546">
        <f t="shared" si="169"/>
        <v>0.28052242384552378</v>
      </c>
      <c r="BA105" s="546">
        <f t="shared" ref="BA105:BE105" si="170">BA72/BA64</f>
        <v>0.21217641150369912</v>
      </c>
      <c r="BB105" s="546">
        <f t="shared" si="170"/>
        <v>0.2562698240722816</v>
      </c>
      <c r="BC105" s="546">
        <f t="shared" si="170"/>
        <v>0.28889433635309603</v>
      </c>
      <c r="BD105" s="546">
        <f t="shared" si="170"/>
        <v>0.26775166526560024</v>
      </c>
      <c r="BE105" s="546">
        <f t="shared" si="170"/>
        <v>0.24282981324779729</v>
      </c>
    </row>
    <row r="106" spans="1:57">
      <c r="A106" s="524" t="s">
        <v>1022</v>
      </c>
      <c r="B106" s="546">
        <f t="shared" ref="B106:H106" si="171">B81/B64</f>
        <v>0.10414410595147156</v>
      </c>
      <c r="C106" s="546">
        <f t="shared" si="171"/>
        <v>7.1054611529542636E-2</v>
      </c>
      <c r="D106" s="546">
        <f t="shared" si="171"/>
        <v>0.13556918975180965</v>
      </c>
      <c r="E106" s="546">
        <f t="shared" si="171"/>
        <v>0.16377192436130864</v>
      </c>
      <c r="F106" s="546">
        <f t="shared" si="171"/>
        <v>0.17096456838289925</v>
      </c>
      <c r="G106" s="546">
        <f t="shared" si="171"/>
        <v>0.16936561603924488</v>
      </c>
      <c r="H106" s="546">
        <f t="shared" si="171"/>
        <v>0.18110717365829335</v>
      </c>
      <c r="I106" s="546">
        <f>I81/I64</f>
        <v>0.21003472275069338</v>
      </c>
      <c r="J106" s="546">
        <f>J81/J64</f>
        <v>0.21736219576143012</v>
      </c>
      <c r="K106" s="546">
        <f>K81/K64</f>
        <v>0.22263851822432407</v>
      </c>
      <c r="L106" s="546">
        <f>L81/L64</f>
        <v>0.22670522430559689</v>
      </c>
      <c r="M106" s="546" t="e">
        <f>M81/M64</f>
        <v>#REF!</v>
      </c>
      <c r="N106" s="547"/>
      <c r="O106" s="524"/>
      <c r="P106" s="524"/>
      <c r="Q106" s="524"/>
      <c r="R106" s="524"/>
      <c r="S106" s="524"/>
      <c r="T106" s="542"/>
      <c r="U106" s="546">
        <f t="shared" ref="U106:AB106" si="172">U81/U64</f>
        <v>0.17318147789800592</v>
      </c>
      <c r="V106" s="546">
        <f t="shared" si="172"/>
        <v>0.15443638044026814</v>
      </c>
      <c r="W106" s="546">
        <f t="shared" si="172"/>
        <v>0.18120200405459591</v>
      </c>
      <c r="X106" s="546">
        <f t="shared" si="172"/>
        <v>0.15952587219780701</v>
      </c>
      <c r="Y106" s="546">
        <f t="shared" si="172"/>
        <v>0.17585215426397971</v>
      </c>
      <c r="Z106" s="546">
        <f t="shared" si="172"/>
        <v>0.16276031267895535</v>
      </c>
      <c r="AA106" s="546">
        <f t="shared" si="172"/>
        <v>0.21417388878724128</v>
      </c>
      <c r="AB106" s="546">
        <f t="shared" si="172"/>
        <v>0.14999179524982095</v>
      </c>
      <c r="AC106" s="542"/>
      <c r="AD106" s="546">
        <f t="shared" ref="AD106:AS106" si="173">AD81/AD64</f>
        <v>0.15665786821000688</v>
      </c>
      <c r="AE106" s="546">
        <f t="shared" si="173"/>
        <v>0.18321899464539179</v>
      </c>
      <c r="AF106" s="546">
        <f t="shared" si="173"/>
        <v>0.161037117885344</v>
      </c>
      <c r="AG106" s="546">
        <f t="shared" si="173"/>
        <v>0.14307953039837024</v>
      </c>
      <c r="AH106" s="546">
        <f t="shared" si="173"/>
        <v>0.19708777885999751</v>
      </c>
      <c r="AI106" s="546">
        <f t="shared" si="173"/>
        <v>0.16740965597911103</v>
      </c>
      <c r="AJ106" s="546">
        <f t="shared" si="173"/>
        <v>0.16371979778049683</v>
      </c>
      <c r="AK106" s="546">
        <f t="shared" si="173"/>
        <v>0.15397005261253038</v>
      </c>
      <c r="AL106" s="546">
        <f t="shared" si="173"/>
        <v>0.17176255001062765</v>
      </c>
      <c r="AM106" s="546">
        <f t="shared" si="173"/>
        <v>0.17944380938070975</v>
      </c>
      <c r="AN106" s="546">
        <f t="shared" si="173"/>
        <v>0.17461257281055023</v>
      </c>
      <c r="AO106" s="546">
        <f t="shared" si="173"/>
        <v>0.14777449060961459</v>
      </c>
      <c r="AP106" s="546">
        <f t="shared" si="173"/>
        <v>0.19963005662102706</v>
      </c>
      <c r="AQ106" s="546">
        <f t="shared" si="173"/>
        <v>0.20572681595288125</v>
      </c>
      <c r="AR106" s="546">
        <f t="shared" si="173"/>
        <v>0.17212433803332552</v>
      </c>
      <c r="AS106" s="546">
        <f t="shared" si="173"/>
        <v>0.1465252789975067</v>
      </c>
      <c r="AT106" s="546">
        <f t="shared" ref="AT106:AZ106" si="174">AT81/AT64</f>
        <v>0.19065146871846347</v>
      </c>
      <c r="AU106" s="546">
        <f t="shared" si="174"/>
        <v>0.24292460210479427</v>
      </c>
      <c r="AV106" s="546">
        <f t="shared" si="174"/>
        <v>0.20849567397314206</v>
      </c>
      <c r="AW106" s="546">
        <f t="shared" si="174"/>
        <v>0.18878316373520485</v>
      </c>
      <c r="AX106" s="546">
        <f t="shared" si="174"/>
        <v>0.20214419050858348</v>
      </c>
      <c r="AY106" s="546">
        <f t="shared" si="174"/>
        <v>0.23685623754733337</v>
      </c>
      <c r="AZ106" s="546">
        <f t="shared" si="174"/>
        <v>0.22696828609916406</v>
      </c>
      <c r="BA106" s="546">
        <f t="shared" ref="BA106:BE106" si="175">BA81/BA64</f>
        <v>0.19353093068476851</v>
      </c>
      <c r="BB106" s="546">
        <f t="shared" si="175"/>
        <v>0.20977874941486291</v>
      </c>
      <c r="BC106" s="546">
        <f t="shared" si="175"/>
        <v>0.2402124381518779</v>
      </c>
      <c r="BD106" s="546">
        <f t="shared" si="175"/>
        <v>0.21536148163019936</v>
      </c>
      <c r="BE106" s="546">
        <f t="shared" si="175"/>
        <v>0.22371307557025893</v>
      </c>
    </row>
    <row r="107" spans="1:57">
      <c r="A107" s="523"/>
      <c r="B107" s="534"/>
      <c r="C107" s="534"/>
      <c r="D107" s="534"/>
      <c r="E107" s="534"/>
      <c r="F107" s="534"/>
      <c r="G107" s="534"/>
      <c r="H107" s="534"/>
      <c r="I107" s="534"/>
      <c r="J107" s="534"/>
      <c r="K107" s="534"/>
      <c r="L107" s="534"/>
      <c r="M107" s="534"/>
      <c r="N107" s="534"/>
      <c r="O107" s="524"/>
      <c r="P107" s="524"/>
      <c r="Q107" s="524"/>
      <c r="R107" s="524"/>
      <c r="S107" s="524"/>
      <c r="T107" s="523"/>
      <c r="U107" s="534"/>
      <c r="V107" s="534"/>
      <c r="W107" s="534"/>
      <c r="X107" s="534"/>
      <c r="Y107" s="534"/>
      <c r="Z107" s="534"/>
      <c r="AA107" s="534"/>
      <c r="AB107" s="534"/>
      <c r="AC107" s="523"/>
      <c r="AH107" s="636"/>
      <c r="AI107" s="636"/>
      <c r="AJ107" s="636"/>
      <c r="AK107" s="636"/>
      <c r="AL107" s="636"/>
      <c r="AM107" s="636"/>
      <c r="AN107" s="636"/>
      <c r="AO107" s="636"/>
      <c r="AP107" s="636"/>
      <c r="AQ107" s="636"/>
      <c r="AR107" s="636"/>
      <c r="AS107" s="636"/>
      <c r="AT107" s="636"/>
      <c r="AU107" s="636"/>
      <c r="AV107" s="636"/>
      <c r="AW107" s="636"/>
      <c r="AX107" s="636"/>
      <c r="AY107" s="636"/>
      <c r="AZ107" s="636"/>
      <c r="BA107" s="636"/>
    </row>
    <row r="108" spans="1:57">
      <c r="A108" s="523" t="s">
        <v>1379</v>
      </c>
      <c r="B108" s="546">
        <f t="shared" ref="B108:H109" si="176">B68/B$64</f>
        <v>-0.29019185404807274</v>
      </c>
      <c r="C108" s="546">
        <f t="shared" si="176"/>
        <v>-0.31915682216812563</v>
      </c>
      <c r="D108" s="546">
        <f t="shared" si="176"/>
        <v>-0.23370316402796393</v>
      </c>
      <c r="E108" s="546">
        <f t="shared" si="176"/>
        <v>-0.20981077853831201</v>
      </c>
      <c r="F108" s="546">
        <f t="shared" si="176"/>
        <v>-0.19610478370269829</v>
      </c>
      <c r="G108" s="546">
        <f t="shared" si="176"/>
        <v>-0.17039502368515247</v>
      </c>
      <c r="H108" s="546">
        <f t="shared" si="176"/>
        <v>-0.17363998317003096</v>
      </c>
      <c r="I108" s="546">
        <f>I68/I$64</f>
        <v>-0.16927235739049407</v>
      </c>
      <c r="J108" s="546">
        <f t="shared" ref="J108:M109" si="177">J68/J$64</f>
        <v>-0.16057235739049408</v>
      </c>
      <c r="K108" s="546">
        <f t="shared" si="177"/>
        <v>-0.15637235739049407</v>
      </c>
      <c r="L108" s="546">
        <f t="shared" si="177"/>
        <v>-0.1538723573904941</v>
      </c>
      <c r="M108" s="546" t="e">
        <f t="shared" si="177"/>
        <v>#REF!</v>
      </c>
      <c r="N108" s="534"/>
      <c r="O108" s="524"/>
      <c r="P108" s="524"/>
      <c r="Q108" s="524"/>
      <c r="R108" s="524"/>
      <c r="S108" s="524"/>
      <c r="T108" s="523"/>
      <c r="U108" s="546">
        <f t="shared" ref="U108:AB108" si="178">U68/U$64</f>
        <v>-0.18311999610279597</v>
      </c>
      <c r="V108" s="546">
        <f t="shared" si="178"/>
        <v>-0.23629162810698931</v>
      </c>
      <c r="W108" s="546">
        <f t="shared" si="178"/>
        <v>-0.2168933971352478</v>
      </c>
      <c r="X108" s="546">
        <f t="shared" si="178"/>
        <v>-0.17287683475238735</v>
      </c>
      <c r="Y108" s="546">
        <f t="shared" si="178"/>
        <v>-0.16375048189918112</v>
      </c>
      <c r="Z108" s="546">
        <f t="shared" si="178"/>
        <v>-0.17716122356956848</v>
      </c>
      <c r="AA108" s="546">
        <f t="shared" si="178"/>
        <v>-0.15809625061983129</v>
      </c>
      <c r="AB108" s="546">
        <f t="shared" si="178"/>
        <v>-0.18826644722288591</v>
      </c>
      <c r="AC108" s="523"/>
      <c r="AD108" s="546">
        <f t="shared" ref="AD108:AW108" si="179">AD68/AD$64</f>
        <v>-0.21598347332306397</v>
      </c>
      <c r="AE108" s="546">
        <f t="shared" si="179"/>
        <v>-0.16315657956098825</v>
      </c>
      <c r="AF108" s="546">
        <f t="shared" si="179"/>
        <v>-0.22893230841461093</v>
      </c>
      <c r="AG108" s="546">
        <f t="shared" si="179"/>
        <v>-0.24895365122973526</v>
      </c>
      <c r="AH108" s="546">
        <f t="shared" si="179"/>
        <v>-0.19647330340408531</v>
      </c>
      <c r="AI108" s="546">
        <f t="shared" si="179"/>
        <v>-0.23462253178082104</v>
      </c>
      <c r="AJ108" s="546">
        <f t="shared" si="179"/>
        <v>-0.21259513087069171</v>
      </c>
      <c r="AK108" s="546">
        <f t="shared" si="179"/>
        <v>-0.12026081114465106</v>
      </c>
      <c r="AL108" s="546">
        <f t="shared" si="179"/>
        <v>-0.16843149707600344</v>
      </c>
      <c r="AM108" s="546">
        <f t="shared" si="179"/>
        <v>-0.15963942589723554</v>
      </c>
      <c r="AN108" s="546">
        <f t="shared" si="179"/>
        <v>-0.16272594675477683</v>
      </c>
      <c r="AO108" s="546">
        <f t="shared" si="179"/>
        <v>-0.19541297365489513</v>
      </c>
      <c r="AP108" s="546">
        <f t="shared" si="179"/>
        <v>-0.15685623361360601</v>
      </c>
      <c r="AQ108" s="546">
        <f t="shared" si="179"/>
        <v>-0.15913646097829423</v>
      </c>
      <c r="AR108" s="546">
        <f t="shared" si="179"/>
        <v>-0.17532819017059978</v>
      </c>
      <c r="AS108" s="546">
        <f t="shared" si="179"/>
        <v>-0.20396245251378883</v>
      </c>
      <c r="AT108" s="546">
        <f t="shared" si="179"/>
        <v>-0.17114316579408873</v>
      </c>
      <c r="AU108" s="546">
        <f t="shared" si="179"/>
        <v>-0.14325613274877363</v>
      </c>
      <c r="AV108" s="546">
        <f t="shared" si="179"/>
        <v>-0.17863854164272297</v>
      </c>
      <c r="AW108" s="546">
        <f t="shared" si="179"/>
        <v>-0.18873402955913723</v>
      </c>
      <c r="AX108" s="546">
        <f t="shared" ref="AX108:AZ109" si="180">AX68/AX$64</f>
        <v>-0.16681995612969658</v>
      </c>
      <c r="AY108" s="546">
        <f t="shared" si="180"/>
        <v>-0.14821357323795306</v>
      </c>
      <c r="AZ108" s="546">
        <f t="shared" si="180"/>
        <v>-0.15257470233685927</v>
      </c>
      <c r="BA108" s="546">
        <f t="shared" ref="BA108:BE108" si="181">BA68/BA$64</f>
        <v>-0.18259073983699217</v>
      </c>
      <c r="BB108" s="546">
        <f t="shared" si="181"/>
        <v>-0.16900000000000001</v>
      </c>
      <c r="BC108" s="546">
        <f t="shared" si="181"/>
        <v>-0.15</v>
      </c>
      <c r="BD108" s="546">
        <f t="shared" si="181"/>
        <v>-0.17699999999999999</v>
      </c>
      <c r="BE108" s="546">
        <f t="shared" si="181"/>
        <v>-0.11748866553893461</v>
      </c>
    </row>
    <row r="109" spans="1:57">
      <c r="A109" s="523" t="s">
        <v>1380</v>
      </c>
      <c r="B109" s="546">
        <f t="shared" si="176"/>
        <v>-3.8957909810776223E-2</v>
      </c>
      <c r="C109" s="546">
        <f t="shared" si="176"/>
        <v>-4.7284495452224476E-2</v>
      </c>
      <c r="D109" s="546">
        <f t="shared" si="176"/>
        <v>-5.4471929973435709E-2</v>
      </c>
      <c r="E109" s="546">
        <f t="shared" si="176"/>
        <v>-4.4255088560627591E-2</v>
      </c>
      <c r="F109" s="546">
        <f t="shared" si="176"/>
        <v>-4.2196767117509117E-2</v>
      </c>
      <c r="G109" s="546">
        <f t="shared" si="176"/>
        <v>-3.5187077466514456E-2</v>
      </c>
      <c r="H109" s="546">
        <f t="shared" si="176"/>
        <v>-3.7555965810256643E-2</v>
      </c>
      <c r="I109" s="546">
        <f>I69/I$64</f>
        <v>-3.0830838059764672E-2</v>
      </c>
      <c r="J109" s="546">
        <f t="shared" si="177"/>
        <v>-2.9030838059764676E-2</v>
      </c>
      <c r="K109" s="546">
        <f t="shared" si="177"/>
        <v>-2.7930838059764668E-2</v>
      </c>
      <c r="L109" s="546">
        <f t="shared" si="177"/>
        <v>-2.6830838059764668E-2</v>
      </c>
      <c r="M109" s="546" t="e">
        <f t="shared" si="177"/>
        <v>#REF!</v>
      </c>
      <c r="N109" s="534"/>
      <c r="O109" s="524"/>
      <c r="P109" s="524"/>
      <c r="Q109" s="524"/>
      <c r="R109" s="524"/>
      <c r="S109" s="524"/>
      <c r="T109" s="523"/>
      <c r="U109" s="546">
        <f t="shared" ref="U109:AB109" si="182">U69/U$64</f>
        <v>-4.185129016121604E-2</v>
      </c>
      <c r="V109" s="546">
        <f t="shared" si="182"/>
        <v>-4.663998019735769E-2</v>
      </c>
      <c r="W109" s="546">
        <f t="shared" si="182"/>
        <v>-4.1418987895209133E-2</v>
      </c>
      <c r="X109" s="546">
        <f t="shared" si="182"/>
        <v>-4.3065810939446253E-2</v>
      </c>
      <c r="Y109" s="546">
        <f t="shared" si="182"/>
        <v>-3.5270845973409369E-2</v>
      </c>
      <c r="Z109" s="546">
        <f t="shared" si="182"/>
        <v>-3.5101775201899804E-2</v>
      </c>
      <c r="AA109" s="546">
        <f t="shared" si="182"/>
        <v>-3.4644847466385971E-2</v>
      </c>
      <c r="AB109" s="546">
        <f t="shared" si="182"/>
        <v>-4.0295292910277031E-2</v>
      </c>
      <c r="AC109" s="523"/>
      <c r="AD109" s="546">
        <f t="shared" ref="AD109:AW109" si="183">AD69/AD$64</f>
        <v>-4.8683322061429661E-2</v>
      </c>
      <c r="AE109" s="546">
        <f t="shared" si="183"/>
        <v>-3.7701068998168635E-2</v>
      </c>
      <c r="AF109" s="546">
        <f t="shared" si="183"/>
        <v>-3.3932384474738363E-2</v>
      </c>
      <c r="AG109" s="546">
        <f t="shared" si="183"/>
        <v>-6.8503940128457244E-2</v>
      </c>
      <c r="AH109" s="546">
        <f t="shared" si="183"/>
        <v>-3.7190143207669522E-2</v>
      </c>
      <c r="AI109" s="546">
        <f t="shared" si="183"/>
        <v>-4.5090555609229532E-2</v>
      </c>
      <c r="AJ109" s="546">
        <f t="shared" si="183"/>
        <v>-3.8089187507789911E-2</v>
      </c>
      <c r="AK109" s="546">
        <f t="shared" si="183"/>
        <v>-4.9658493948478169E-2</v>
      </c>
      <c r="AL109" s="546">
        <f t="shared" si="183"/>
        <v>-3.9331988319633776E-2</v>
      </c>
      <c r="AM109" s="546">
        <f t="shared" si="183"/>
        <v>-3.170418724949238E-2</v>
      </c>
      <c r="AN109" s="546">
        <f t="shared" si="183"/>
        <v>-3.5776387291625356E-2</v>
      </c>
      <c r="AO109" s="546">
        <f t="shared" si="183"/>
        <v>-3.4248805672864244E-2</v>
      </c>
      <c r="AP109" s="546">
        <f t="shared" si="183"/>
        <v>-3.6638116814650852E-2</v>
      </c>
      <c r="AQ109" s="546">
        <f t="shared" si="183"/>
        <v>-3.2972757893110334E-2</v>
      </c>
      <c r="AR109" s="546">
        <f t="shared" si="183"/>
        <v>-3.5309662692753103E-2</v>
      </c>
      <c r="AS109" s="546">
        <f t="shared" si="183"/>
        <v>-4.634359438886438E-2</v>
      </c>
      <c r="AT109" s="546">
        <f t="shared" si="183"/>
        <v>-3.2665963528667546E-2</v>
      </c>
      <c r="AU109" s="546">
        <f t="shared" si="183"/>
        <v>-2.4843357970458484E-2</v>
      </c>
      <c r="AV109" s="546">
        <f t="shared" si="183"/>
        <v>-2.8504488881311352E-2</v>
      </c>
      <c r="AW109" s="546">
        <f t="shared" si="183"/>
        <v>-4.0219589838964433E-2</v>
      </c>
      <c r="AX109" s="546">
        <f t="shared" si="180"/>
        <v>-2.824637055166063E-2</v>
      </c>
      <c r="AY109" s="546">
        <f t="shared" si="180"/>
        <v>-2.6236413219864922E-2</v>
      </c>
      <c r="AZ109" s="546">
        <f t="shared" si="180"/>
        <v>-2.8429582499246549E-2</v>
      </c>
      <c r="BA109" s="546">
        <f t="shared" ref="BA109:BE109" si="184">BA69/BA$64</f>
        <v>-3.4800048662093748E-2</v>
      </c>
      <c r="BB109" s="546">
        <f t="shared" si="184"/>
        <v>-2.9000000000000001E-2</v>
      </c>
      <c r="BC109" s="546">
        <f t="shared" si="184"/>
        <v>-2.3000000000000003E-2</v>
      </c>
      <c r="BD109" s="546">
        <f t="shared" si="184"/>
        <v>-2.5999999999999999E-2</v>
      </c>
      <c r="BE109" s="546">
        <f t="shared" si="184"/>
        <v>-3.7110731145101758E-2</v>
      </c>
    </row>
    <row r="110" spans="1:57" hidden="1" outlineLevel="1">
      <c r="A110" s="524" t="s">
        <v>1023</v>
      </c>
      <c r="B110" s="546">
        <f t="shared" ref="B110:J110" si="185">SUM(B67)/B64</f>
        <v>-0.3453057794767832</v>
      </c>
      <c r="C110" s="546">
        <f t="shared" si="185"/>
        <v>-0.37946801486935394</v>
      </c>
      <c r="D110" s="546">
        <f t="shared" si="185"/>
        <v>-0.29870233479353669</v>
      </c>
      <c r="E110" s="546">
        <f t="shared" si="185"/>
        <v>-0.2642216704396057</v>
      </c>
      <c r="F110" s="546">
        <f t="shared" si="185"/>
        <v>-0.24930935713108587</v>
      </c>
      <c r="G110" s="546">
        <f t="shared" si="185"/>
        <v>-0.21647392034342006</v>
      </c>
      <c r="H110" s="546">
        <f t="shared" si="185"/>
        <v>-0.22194024926715311</v>
      </c>
      <c r="I110" s="546">
        <f>SUM(I67)/I64</f>
        <v>-0.21019185267759596</v>
      </c>
      <c r="J110" s="546">
        <f t="shared" si="185"/>
        <v>-0.19969185267759598</v>
      </c>
      <c r="K110" s="546">
        <f>SUM(K67)/K64</f>
        <v>-0.19439185267759598</v>
      </c>
      <c r="L110" s="546">
        <f>SUM(L67)/L64</f>
        <v>-0.19079185267759605</v>
      </c>
      <c r="M110" s="546" t="e">
        <f>SUM(M67)/M64</f>
        <v>#REF!</v>
      </c>
      <c r="N110" s="547"/>
      <c r="O110" s="524"/>
      <c r="P110" s="524"/>
      <c r="Q110" s="524"/>
      <c r="R110" s="524"/>
      <c r="S110" s="524"/>
      <c r="T110" s="542"/>
      <c r="U110" s="546">
        <f t="shared" ref="U110:AB110" si="186">SUM(U67)/U64</f>
        <v>-0.23458390361595663</v>
      </c>
      <c r="V110" s="546">
        <f t="shared" si="186"/>
        <v>-0.2936263252752111</v>
      </c>
      <c r="W110" s="546">
        <f t="shared" si="186"/>
        <v>-0.26960487311091197</v>
      </c>
      <c r="X110" s="546">
        <f t="shared" si="186"/>
        <v>-0.22663236567953018</v>
      </c>
      <c r="Y110" s="546">
        <f t="shared" si="186"/>
        <v>-0.21012542148037364</v>
      </c>
      <c r="Z110" s="546">
        <f t="shared" si="186"/>
        <v>-0.22293865691322409</v>
      </c>
      <c r="AA110" s="546">
        <f t="shared" si="186"/>
        <v>-0.20363255170809683</v>
      </c>
      <c r="AB110" s="546">
        <f t="shared" si="186"/>
        <v>-0.23916757091420743</v>
      </c>
      <c r="AC110" s="542"/>
      <c r="AD110" s="546">
        <f t="shared" ref="AD110:AS110" si="187">SUM(AD67)/AD64</f>
        <v>-0.27194545485738736</v>
      </c>
      <c r="AE110" s="546">
        <f t="shared" si="187"/>
        <v>-0.21188806394319137</v>
      </c>
      <c r="AF110" s="546">
        <f t="shared" si="187"/>
        <v>-0.27294198893156713</v>
      </c>
      <c r="AG110" s="546">
        <f t="shared" si="187"/>
        <v>-0.32921460734605451</v>
      </c>
      <c r="AH110" s="546">
        <f t="shared" si="187"/>
        <v>-0.24425308611111818</v>
      </c>
      <c r="AI110" s="546">
        <f t="shared" si="187"/>
        <v>-0.29161580269539877</v>
      </c>
      <c r="AJ110" s="546">
        <f t="shared" si="187"/>
        <v>-0.26055632582766236</v>
      </c>
      <c r="AK110" s="546">
        <f t="shared" si="187"/>
        <v>-0.18169227351884384</v>
      </c>
      <c r="AL110" s="546">
        <f t="shared" si="187"/>
        <v>-0.21812253203155565</v>
      </c>
      <c r="AM110" s="546">
        <f t="shared" si="187"/>
        <v>-0.20310203700333862</v>
      </c>
      <c r="AN110" s="546">
        <f t="shared" si="187"/>
        <v>-0.20759817445878717</v>
      </c>
      <c r="AO110" s="546">
        <f t="shared" si="187"/>
        <v>-0.24233493559489225</v>
      </c>
      <c r="AP110" s="546">
        <f t="shared" si="187"/>
        <v>-0.20357132074953535</v>
      </c>
      <c r="AQ110" s="546">
        <f t="shared" si="187"/>
        <v>-0.20368391632125332</v>
      </c>
      <c r="AR110" s="546">
        <f t="shared" si="187"/>
        <v>-0.22112706693109488</v>
      </c>
      <c r="AS110" s="546">
        <f t="shared" si="187"/>
        <v>-0.26105335087762221</v>
      </c>
      <c r="AT110" s="546">
        <f t="shared" ref="AT110:AZ110" si="188">SUM(AT67)/AT64</f>
        <v>-0.21438662934834057</v>
      </c>
      <c r="AU110" s="546">
        <f t="shared" si="188"/>
        <v>-0.17890349842457701</v>
      </c>
      <c r="AV110" s="546">
        <f t="shared" si="188"/>
        <v>-0.21555981910146457</v>
      </c>
      <c r="AW110" s="546">
        <f t="shared" si="188"/>
        <v>-0.23995348145376122</v>
      </c>
      <c r="AX110" s="546">
        <f t="shared" si="188"/>
        <v>-0.2047117556826118</v>
      </c>
      <c r="AY110" s="546">
        <f t="shared" si="188"/>
        <v>-0.18507525313196038</v>
      </c>
      <c r="AZ110" s="546">
        <f t="shared" si="188"/>
        <v>-0.19131898579910894</v>
      </c>
      <c r="BA110" s="546">
        <f t="shared" ref="BA110:BE110" si="189">SUM(BA67)/BA64</f>
        <v>-0.22690287588894695</v>
      </c>
      <c r="BB110" s="546">
        <f t="shared" si="189"/>
        <v>-0.2076454290012546</v>
      </c>
      <c r="BC110" s="546">
        <f t="shared" si="189"/>
        <v>-0.18362526667414242</v>
      </c>
      <c r="BD110" s="546">
        <f t="shared" si="189"/>
        <v>-0.21331470096300312</v>
      </c>
      <c r="BE110" s="546">
        <f t="shared" si="189"/>
        <v>-0.16407467894889471</v>
      </c>
    </row>
    <row r="111" spans="1:57" collapsed="1">
      <c r="A111" s="544" t="s">
        <v>1024</v>
      </c>
      <c r="B111" s="530">
        <f t="shared" ref="B111:J111" si="190">B79/B78</f>
        <v>-0.24022081804471002</v>
      </c>
      <c r="C111" s="530">
        <f t="shared" si="190"/>
        <v>-0.21035877926230176</v>
      </c>
      <c r="D111" s="530">
        <f t="shared" si="190"/>
        <v>-0.22529310448288958</v>
      </c>
      <c r="E111" s="530">
        <f t="shared" si="190"/>
        <v>-0.21124395280420835</v>
      </c>
      <c r="F111" s="530">
        <f t="shared" si="190"/>
        <v>-0.21179573544741856</v>
      </c>
      <c r="G111" s="530">
        <f t="shared" si="190"/>
        <v>-0.21540690521539008</v>
      </c>
      <c r="H111" s="530">
        <f t="shared" si="190"/>
        <v>-0.20916691000768836</v>
      </c>
      <c r="I111" s="530">
        <f>I79/I78</f>
        <v>-0.19012026289239214</v>
      </c>
      <c r="J111" s="530">
        <f t="shared" si="190"/>
        <v>-0.20499999999999996</v>
      </c>
      <c r="K111" s="530">
        <f>K79/K78</f>
        <v>-0.20500000000000002</v>
      </c>
      <c r="L111" s="530">
        <f>L79/L78</f>
        <v>-0.20499999999999999</v>
      </c>
      <c r="M111" s="530" t="e">
        <f>M79/M78</f>
        <v>#REF!</v>
      </c>
      <c r="N111" s="535"/>
      <c r="O111" s="524"/>
      <c r="P111" s="524"/>
      <c r="Q111" s="524"/>
      <c r="R111" s="524"/>
      <c r="S111" s="524"/>
      <c r="T111" s="541"/>
      <c r="U111" s="530">
        <f t="shared" ref="U111:AB111" si="191">U79/U78</f>
        <v>-0.22425752029891641</v>
      </c>
      <c r="V111" s="530">
        <f t="shared" si="191"/>
        <v>-0.19624274817738685</v>
      </c>
      <c r="W111" s="530">
        <f t="shared" si="191"/>
        <v>-0.21619385597432902</v>
      </c>
      <c r="X111" s="530">
        <f t="shared" si="191"/>
        <v>-0.20614222270720967</v>
      </c>
      <c r="Y111" s="530">
        <f t="shared" si="191"/>
        <v>-0.21475458864015692</v>
      </c>
      <c r="Z111" s="530">
        <f t="shared" si="191"/>
        <v>-0.21612334501111194</v>
      </c>
      <c r="AA111" s="530">
        <f t="shared" si="191"/>
        <v>-0.20092288191818813</v>
      </c>
      <c r="AB111" s="530">
        <f t="shared" si="191"/>
        <v>-0.21050674689438217</v>
      </c>
      <c r="AC111" s="541"/>
      <c r="AD111" s="530">
        <f t="shared" ref="AD111:AS111" si="192">AD79/AD78</f>
        <v>-0.23325839703182719</v>
      </c>
      <c r="AE111" s="530">
        <f t="shared" si="192"/>
        <v>-0.21949855466070259</v>
      </c>
      <c r="AF111" s="530">
        <f t="shared" si="192"/>
        <v>-0.21648557220817791</v>
      </c>
      <c r="AG111" s="530">
        <f t="shared" si="192"/>
        <v>-0.15391224532565892</v>
      </c>
      <c r="AH111" s="530">
        <f t="shared" si="192"/>
        <v>-0.22230459543872375</v>
      </c>
      <c r="AI111" s="530">
        <f t="shared" si="192"/>
        <v>-0.20984779869679279</v>
      </c>
      <c r="AJ111" s="530">
        <f t="shared" si="192"/>
        <v>-0.21298526258392009</v>
      </c>
      <c r="AK111" s="530">
        <f t="shared" si="192"/>
        <v>-0.19629863838941244</v>
      </c>
      <c r="AL111" s="530">
        <f t="shared" si="192"/>
        <v>-0.215562274275657</v>
      </c>
      <c r="AM111" s="530">
        <f t="shared" si="192"/>
        <v>-0.21407432273021856</v>
      </c>
      <c r="AN111" s="530">
        <f t="shared" si="192"/>
        <v>-0.2126115150097988</v>
      </c>
      <c r="AO111" s="530">
        <f t="shared" si="192"/>
        <v>-0.22131210148664238</v>
      </c>
      <c r="AP111" s="530">
        <f t="shared" si="192"/>
        <v>-0.22461193554485859</v>
      </c>
      <c r="AQ111" s="530">
        <f t="shared" si="192"/>
        <v>-0.19714654314300098</v>
      </c>
      <c r="AR111" s="530">
        <f t="shared" si="192"/>
        <v>-0.19485080046540434</v>
      </c>
      <c r="AS111" s="530">
        <f t="shared" si="192"/>
        <v>-0.22722198575256289</v>
      </c>
      <c r="AT111" s="530">
        <f t="shared" ref="AT111:AZ111" si="193">AT79/AT78</f>
        <v>-0.19987248250012088</v>
      </c>
      <c r="AU111" s="530">
        <f t="shared" si="193"/>
        <v>-0.18709623785846433</v>
      </c>
      <c r="AV111" s="530">
        <f t="shared" si="193"/>
        <v>-0.19408004666153647</v>
      </c>
      <c r="AW111" s="530">
        <f t="shared" si="193"/>
        <v>-0.17827594458083296</v>
      </c>
      <c r="AX111" s="530">
        <f t="shared" si="193"/>
        <v>-0.20534928162413549</v>
      </c>
      <c r="AY111" s="530">
        <f t="shared" si="193"/>
        <v>-0.21139141039061876</v>
      </c>
      <c r="AZ111" s="530">
        <f t="shared" si="193"/>
        <v>-0.22008108016156791</v>
      </c>
      <c r="BA111" s="530">
        <f t="shared" ref="BA111:BE111" si="194">BA79/BA78</f>
        <v>-0.16492902011867544</v>
      </c>
      <c r="BB111" s="530">
        <f t="shared" si="194"/>
        <v>-0.20554710291266615</v>
      </c>
      <c r="BC111" s="530">
        <f t="shared" si="194"/>
        <v>-0.21139141039061898</v>
      </c>
      <c r="BD111" s="530">
        <f t="shared" si="194"/>
        <v>-0.22008108016156766</v>
      </c>
      <c r="BE111" s="530">
        <f t="shared" si="194"/>
        <v>-0.16886649997902994</v>
      </c>
    </row>
    <row r="114" spans="1:13">
      <c r="A114" s="516" t="s">
        <v>1652</v>
      </c>
      <c r="B114" s="569"/>
      <c r="C114" s="569">
        <f>Model!D204</f>
        <v>194.93967529</v>
      </c>
      <c r="D114" s="569">
        <f>Model!E204</f>
        <v>1210.98143514</v>
      </c>
      <c r="E114" s="569">
        <f>Model!F204</f>
        <v>1340.3631529700001</v>
      </c>
      <c r="F114" s="569">
        <f>Model!G204</f>
        <v>2076.84403767</v>
      </c>
      <c r="G114" s="569">
        <f>Model!H204</f>
        <v>2026.1051407299999</v>
      </c>
      <c r="H114" s="569">
        <f>Model!I204</f>
        <v>3281.2696526500004</v>
      </c>
      <c r="I114" s="569">
        <f>Model!J204</f>
        <v>5789.4085085400002</v>
      </c>
      <c r="J114" s="569">
        <f>Model!K204</f>
        <v>5614.921295616351</v>
      </c>
      <c r="K114" s="569">
        <f>Model!L204</f>
        <v>6650.4638669790065</v>
      </c>
      <c r="L114" s="569">
        <f>Model!M204</f>
        <v>7998.9832318615418</v>
      </c>
      <c r="M114" s="569" t="e">
        <f>Model!#REF!</f>
        <v>#REF!</v>
      </c>
    </row>
    <row r="115" spans="1:13">
      <c r="A115" s="544" t="s">
        <v>1653</v>
      </c>
      <c r="B115" s="530"/>
      <c r="C115" s="530">
        <f t="shared" ref="C115:H115" si="195">C114/C$64</f>
        <v>6.4176910270162132E-2</v>
      </c>
      <c r="D115" s="530">
        <f t="shared" si="195"/>
        <v>0.28773094798219045</v>
      </c>
      <c r="E115" s="530">
        <f t="shared" si="195"/>
        <v>0.27031611275286604</v>
      </c>
      <c r="F115" s="530">
        <f t="shared" si="195"/>
        <v>0.29763497785827586</v>
      </c>
      <c r="G115" s="530">
        <f t="shared" si="195"/>
        <v>0.23821426235936785</v>
      </c>
      <c r="H115" s="530">
        <f t="shared" si="195"/>
        <v>0.29133708992498081</v>
      </c>
      <c r="I115" s="530">
        <f>I114/I$64</f>
        <v>0.36551945629081301</v>
      </c>
      <c r="J115" s="530">
        <f>J114/J$64</f>
        <v>0.2674802417166503</v>
      </c>
      <c r="K115" s="530">
        <f>K114/K$64</f>
        <v>0.26179312500687113</v>
      </c>
      <c r="L115" s="530">
        <f>L114/L$64</f>
        <v>0.26849445595719901</v>
      </c>
      <c r="M115" s="530" t="e">
        <f>M114/M$64</f>
        <v>#REF!</v>
      </c>
    </row>
    <row r="117" spans="1:13">
      <c r="A117" s="516" t="s">
        <v>1654</v>
      </c>
      <c r="B117" s="569"/>
      <c r="C117" s="569">
        <f>Model!D204+Model!D207</f>
        <v>-196.94870638</v>
      </c>
      <c r="D117" s="569">
        <f>Model!E204+Model!E207</f>
        <v>702.71347662000005</v>
      </c>
      <c r="E117" s="569">
        <f>Model!F204+Model!F207</f>
        <v>694.99433069000008</v>
      </c>
      <c r="F117" s="569">
        <f>Model!G204+Model!G207</f>
        <v>1467.36004622</v>
      </c>
      <c r="G117" s="569">
        <f>Model!H204+Model!H207</f>
        <v>1233.41266885</v>
      </c>
      <c r="H117" s="569">
        <f>Model!I204+Model!I207</f>
        <v>2363.5460245600002</v>
      </c>
      <c r="I117" s="569">
        <f>Model!J204+Model!J207</f>
        <v>4101.9277985300005</v>
      </c>
      <c r="J117" s="569">
        <f>Model!K204+Model!K207</f>
        <v>3140.8728256693071</v>
      </c>
      <c r="K117" s="569">
        <f>Model!L204+Model!L207</f>
        <v>3681.8801804175005</v>
      </c>
      <c r="L117" s="569">
        <f>Model!M204+Model!M207</f>
        <v>4547.3661244506347</v>
      </c>
      <c r="M117" s="569" t="e">
        <f>Model!#REF!+Model!#REF!</f>
        <v>#REF!</v>
      </c>
    </row>
    <row r="118" spans="1:13">
      <c r="A118" s="544" t="s">
        <v>1653</v>
      </c>
      <c r="B118" s="530"/>
      <c r="C118" s="530">
        <f t="shared" ref="C118:H118" si="196">C117/C$64</f>
        <v>-6.4838311843757102E-2</v>
      </c>
      <c r="D118" s="530">
        <f t="shared" si="196"/>
        <v>0.16696574276083617</v>
      </c>
      <c r="E118" s="530">
        <f t="shared" si="196"/>
        <v>0.1401621384780081</v>
      </c>
      <c r="F118" s="530">
        <f t="shared" si="196"/>
        <v>0.21028910546252763</v>
      </c>
      <c r="G118" s="530">
        <f t="shared" si="196"/>
        <v>0.14501542056644739</v>
      </c>
      <c r="H118" s="530">
        <f t="shared" si="196"/>
        <v>0.20985432274453689</v>
      </c>
      <c r="I118" s="530">
        <f>I117/I$64</f>
        <v>0.25897886052628311</v>
      </c>
      <c r="J118" s="530">
        <f>J117/J$64</f>
        <v>0.14962300954550858</v>
      </c>
      <c r="K118" s="530">
        <f>K117/K$64</f>
        <v>0.14493589283572941</v>
      </c>
      <c r="L118" s="530">
        <f>L117/L$64</f>
        <v>0.15263722378605726</v>
      </c>
      <c r="M118" s="530" t="e">
        <f>M117/M$64</f>
        <v>#REF!</v>
      </c>
    </row>
    <row r="120" spans="1:13">
      <c r="A120" s="516" t="s">
        <v>1214</v>
      </c>
      <c r="B120" s="569"/>
      <c r="C120" s="569">
        <f>+Model!D207</f>
        <v>-391.88838167</v>
      </c>
      <c r="D120" s="569">
        <f>+Model!E207</f>
        <v>-508.26795851999998</v>
      </c>
      <c r="E120" s="569">
        <f>+Model!F207</f>
        <v>-645.36882228000002</v>
      </c>
      <c r="F120" s="569">
        <f>+Model!G207</f>
        <v>-609.48399145000008</v>
      </c>
      <c r="G120" s="569">
        <f>+Model!H207</f>
        <v>-792.69247187999997</v>
      </c>
      <c r="H120" s="569">
        <f>+Model!I207</f>
        <v>-917.72362809000003</v>
      </c>
      <c r="I120" s="569">
        <f>+Model!J207</f>
        <v>-1687.4807100099999</v>
      </c>
      <c r="J120" s="569">
        <f>+Model!K207</f>
        <v>-2474.0484699470439</v>
      </c>
      <c r="K120" s="569">
        <f>+Model!L207</f>
        <v>-2968.5836865615061</v>
      </c>
      <c r="L120" s="569">
        <f>+Model!M207</f>
        <v>-3451.6171074109066</v>
      </c>
      <c r="M120" s="569" t="e">
        <f>+Model!#REF!</f>
        <v>#REF!</v>
      </c>
    </row>
    <row r="121" spans="1:13">
      <c r="A121" s="544" t="s">
        <v>1653</v>
      </c>
      <c r="B121" s="530"/>
      <c r="C121" s="530">
        <f t="shared" ref="C121:H121" si="197">C120/C$64</f>
        <v>-0.12901522211391925</v>
      </c>
      <c r="D121" s="530">
        <f t="shared" si="197"/>
        <v>-0.1207652052213543</v>
      </c>
      <c r="E121" s="530">
        <f t="shared" si="197"/>
        <v>-0.13015397427485792</v>
      </c>
      <c r="F121" s="530">
        <f t="shared" si="197"/>
        <v>-8.7345872395748245E-2</v>
      </c>
      <c r="G121" s="530">
        <f t="shared" si="197"/>
        <v>-9.3198841792920484E-2</v>
      </c>
      <c r="H121" s="530">
        <f t="shared" si="197"/>
        <v>-8.1482767180443894E-2</v>
      </c>
      <c r="I121" s="530">
        <f>I120/I$64</f>
        <v>-0.10654059576452993</v>
      </c>
      <c r="J121" s="530">
        <f>J120/J$64</f>
        <v>-0.11785723217114172</v>
      </c>
      <c r="K121" s="530">
        <f>K120/K$64</f>
        <v>-0.11685723217114172</v>
      </c>
      <c r="L121" s="530">
        <f>L120/L$64</f>
        <v>-0.11585723217114173</v>
      </c>
      <c r="M121" s="530" t="e">
        <f>M120/M$64</f>
        <v>#REF!</v>
      </c>
    </row>
    <row r="125" spans="1:13">
      <c r="A125" s="544" t="s">
        <v>1655</v>
      </c>
      <c r="B125" s="530"/>
      <c r="C125" s="530">
        <f>Model!D252</f>
        <v>0.19856675855989089</v>
      </c>
      <c r="D125" s="530">
        <f>Model!E252</f>
        <v>0.3489362690869609</v>
      </c>
      <c r="E125" s="530">
        <f>Model!F252</f>
        <v>0.4244411778480488</v>
      </c>
      <c r="F125" s="530">
        <f>Model!G252</f>
        <v>0.28148302737463543</v>
      </c>
      <c r="G125" s="530">
        <f>Model!H252</f>
        <v>0.28444664183840623</v>
      </c>
      <c r="H125" s="530">
        <f>Model!I252</f>
        <v>0.32255707015185114</v>
      </c>
      <c r="I125" s="530">
        <f>Model!J252</f>
        <v>0.43272554022091242</v>
      </c>
      <c r="J125" s="530">
        <f>Model!K252</f>
        <v>0.50163576244880048</v>
      </c>
      <c r="K125" s="530">
        <f>Model!L252</f>
        <v>0.52168693340754213</v>
      </c>
      <c r="L125" s="530">
        <f>Model!M252</f>
        <v>0.52252441377755166</v>
      </c>
      <c r="M125" s="530" t="e">
        <f>Model!#REF!</f>
        <v>#REF!</v>
      </c>
    </row>
    <row r="126" spans="1:13">
      <c r="A126" s="544" t="s">
        <v>1656</v>
      </c>
      <c r="C126" s="530">
        <f>Model!D257</f>
        <v>0.14754422848870424</v>
      </c>
      <c r="D126" s="530">
        <f>Model!E257</f>
        <v>0.28949435651074573</v>
      </c>
      <c r="E126" s="530">
        <f>Model!F257</f>
        <v>0.33963577313752435</v>
      </c>
      <c r="F126" s="530">
        <f>Model!G257</f>
        <v>0.23747263265359053</v>
      </c>
      <c r="G126" s="530">
        <f>Model!H257</f>
        <v>0.16852543227617636</v>
      </c>
      <c r="H126" s="530">
        <f>Model!I257</f>
        <v>0.19723467078633355</v>
      </c>
      <c r="I126" s="530">
        <f>Model!J257</f>
        <v>0.21613741207332551</v>
      </c>
      <c r="J126" s="530">
        <f>Model!K257</f>
        <v>0.27617165624545054</v>
      </c>
      <c r="K126" s="530">
        <f>Model!L257</f>
        <v>0.30931235903374105</v>
      </c>
      <c r="L126" s="530">
        <f>Model!M257</f>
        <v>0.33222118199240097</v>
      </c>
      <c r="M126" s="530" t="e">
        <f>Model!#REF!</f>
        <v>#REF!</v>
      </c>
    </row>
  </sheetData>
  <printOptions horizontalCentered="1" verticalCentered="1"/>
  <pageMargins left="0.1" right="0.1" top="0.1" bottom="0.1" header="0.1" footer="0.1"/>
  <pageSetup paperSize="9" scale="10" orientation="landscape" r:id="rId1"/>
  <customProperties>
    <customPr name="Qube.Worksheet.Visibility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6">
    <tabColor rgb="FFFF0000"/>
    <pageSetUpPr fitToPage="1"/>
  </sheetPr>
  <dimension ref="A1:AT86"/>
  <sheetViews>
    <sheetView showGridLines="0" topLeftCell="C1" zoomScale="85" zoomScaleNormal="85" workbookViewId="0">
      <selection activeCell="C1" sqref="C1"/>
    </sheetView>
  </sheetViews>
  <sheetFormatPr defaultColWidth="9" defaultRowHeight="12.75" outlineLevelRow="2" outlineLevelCol="3"/>
  <cols>
    <col min="1" max="1" width="17.5" style="252" hidden="1" customWidth="1" outlineLevel="1"/>
    <col min="2" max="2" width="30.25" style="252" hidden="1" customWidth="1" outlineLevel="1"/>
    <col min="3" max="3" width="23" style="31" customWidth="1" collapsed="1"/>
    <col min="4" max="4" width="8.25" style="31" hidden="1" customWidth="1" outlineLevel="3" collapsed="1"/>
    <col min="5" max="6" width="8.25" style="31" hidden="1" customWidth="1" outlineLevel="3"/>
    <col min="7" max="8" width="8.25" style="31" hidden="1" customWidth="1" outlineLevel="2"/>
    <col min="9" max="9" width="8.25" style="31" hidden="1" customWidth="1" outlineLevel="1" collapsed="1"/>
    <col min="10" max="12" width="8.25" style="31" hidden="1" customWidth="1" outlineLevel="1"/>
    <col min="13" max="13" width="1.5" style="31" hidden="1" customWidth="1" outlineLevel="1"/>
    <col min="14" max="14" width="7.5" style="31" hidden="1" customWidth="1" outlineLevel="1"/>
    <col min="15" max="15" width="7.5" style="1314" hidden="1" customWidth="1" outlineLevel="1"/>
    <col min="16" max="16" width="1.5" style="31" customWidth="1" collapsed="1"/>
    <col min="17" max="17" width="8.25" style="31" hidden="1" customWidth="1" outlineLevel="1" collapsed="1"/>
    <col min="18" max="24" width="8.25" style="31" hidden="1" customWidth="1" outlineLevel="1"/>
    <col min="25" max="25" width="8.25" style="31" hidden="1" customWidth="1" outlineLevel="1" collapsed="1"/>
    <col min="26" max="26" width="9.125" style="31" hidden="1" customWidth="1" outlineLevel="1"/>
    <col min="27" max="28" width="8.25" style="31" hidden="1" customWidth="1" outlineLevel="1"/>
    <col min="29" max="29" width="8.25" style="31" hidden="1" customWidth="1" outlineLevel="1" collapsed="1"/>
    <col min="30" max="30" width="8.25" style="31" hidden="1" customWidth="1" outlineLevel="1"/>
    <col min="31" max="31" width="9.625" style="31" hidden="1" customWidth="1" outlineLevel="1"/>
    <col min="32" max="32" width="8.25" style="31" hidden="1" customWidth="1" outlineLevel="1"/>
    <col min="33" max="33" width="8.25" style="31" customWidth="1" collapsed="1"/>
    <col min="34" max="40" width="8.25" style="31" customWidth="1"/>
    <col min="41" max="41" width="1.5" style="31" customWidth="1"/>
    <col min="42" max="43" width="7.5" style="31" customWidth="1"/>
    <col min="44" max="16384" width="9" style="31"/>
  </cols>
  <sheetData>
    <row r="1" spans="1:46">
      <c r="C1" s="272"/>
    </row>
    <row r="2" spans="1:46" ht="13.5" customHeight="1">
      <c r="A2" s="2301" t="s">
        <v>652</v>
      </c>
      <c r="B2" s="2301"/>
      <c r="C2" s="1003" t="str">
        <f>Coversheet!B6</f>
        <v>605499.SS</v>
      </c>
      <c r="D2" s="1003"/>
      <c r="E2" s="1003"/>
      <c r="F2" s="1003"/>
      <c r="G2" s="1003"/>
      <c r="H2" s="1003"/>
      <c r="I2" s="1003"/>
      <c r="J2" s="1003"/>
      <c r="K2" s="1003"/>
      <c r="L2" s="1004"/>
      <c r="M2" s="1004"/>
      <c r="N2" s="1004"/>
      <c r="O2" s="1909"/>
      <c r="P2" s="1004"/>
      <c r="Q2" s="1004"/>
      <c r="R2" s="1004"/>
      <c r="S2" s="1004"/>
      <c r="T2" s="1004"/>
      <c r="U2" s="1004"/>
      <c r="V2" s="1004"/>
      <c r="W2" s="1004"/>
      <c r="X2" s="1004"/>
      <c r="Y2" s="1004"/>
      <c r="Z2" s="1004"/>
      <c r="AA2" s="1004"/>
      <c r="AB2" s="1004"/>
      <c r="AC2" s="1004"/>
      <c r="AD2" s="1004"/>
      <c r="AE2" s="1004"/>
      <c r="AF2" s="1004"/>
      <c r="AG2" s="1004"/>
      <c r="AH2" s="1004"/>
      <c r="AI2" s="1004"/>
      <c r="AJ2" s="1004"/>
      <c r="AK2" s="1004"/>
      <c r="AL2" s="1004"/>
      <c r="AM2" s="1004"/>
      <c r="AN2" s="1004"/>
      <c r="AO2" s="1004"/>
      <c r="AP2" s="1004"/>
      <c r="AQ2" s="1004"/>
    </row>
    <row r="3" spans="1:46" ht="13.5" thickBot="1">
      <c r="A3" s="2301"/>
      <c r="B3" s="2301"/>
      <c r="C3" s="1006" t="str">
        <f>Coversheet!B7</f>
        <v>Eastroc Beverage</v>
      </c>
      <c r="D3" s="1006"/>
      <c r="E3" s="1006"/>
      <c r="F3" s="1006"/>
      <c r="G3" s="1006"/>
      <c r="H3" s="1006"/>
      <c r="I3" s="1006"/>
      <c r="J3" s="1006"/>
      <c r="K3" s="1006"/>
      <c r="L3" s="1004"/>
      <c r="M3" s="1004"/>
      <c r="N3" s="1004"/>
      <c r="O3" s="1909"/>
      <c r="P3" s="1004"/>
      <c r="Q3" s="1004"/>
      <c r="R3" s="1004"/>
      <c r="S3" s="1004"/>
      <c r="T3" s="1004"/>
      <c r="U3" s="1004"/>
      <c r="V3" s="1004"/>
      <c r="W3" s="1004"/>
      <c r="X3" s="1004"/>
      <c r="Y3" s="1004"/>
      <c r="Z3" s="1004"/>
      <c r="AA3" s="1004"/>
      <c r="AB3" s="1004"/>
      <c r="AC3" s="1004"/>
      <c r="AD3" s="1004"/>
      <c r="AE3" s="1004"/>
      <c r="AF3" s="1004"/>
      <c r="AG3" s="1004"/>
      <c r="AH3" s="1004"/>
      <c r="AI3" s="1004"/>
      <c r="AJ3" s="1004"/>
      <c r="AK3" s="1004"/>
      <c r="AL3" s="1004"/>
      <c r="AM3" s="1004"/>
      <c r="AN3" s="1004"/>
      <c r="AO3" s="1004"/>
      <c r="AP3" s="1004"/>
      <c r="AQ3" s="1004"/>
    </row>
    <row r="4" spans="1:46">
      <c r="A4" s="2301"/>
      <c r="B4" s="2301"/>
      <c r="C4" s="271"/>
      <c r="D4" s="271"/>
      <c r="E4" s="271"/>
      <c r="F4" s="271"/>
      <c r="G4" s="271"/>
      <c r="H4" s="271"/>
      <c r="I4" s="271"/>
      <c r="J4" s="271"/>
      <c r="K4" s="1930"/>
      <c r="L4" s="1931"/>
      <c r="AM4" s="1964"/>
      <c r="AN4" s="1931"/>
    </row>
    <row r="5" spans="1:46">
      <c r="A5" s="2302"/>
      <c r="B5" s="2302"/>
      <c r="D5" s="32" t="s">
        <v>930</v>
      </c>
      <c r="E5" s="32" t="s">
        <v>931</v>
      </c>
      <c r="F5" s="32" t="s">
        <v>932</v>
      </c>
      <c r="G5" s="32">
        <v>2020</v>
      </c>
      <c r="H5" s="32">
        <v>2021</v>
      </c>
      <c r="I5" s="32">
        <v>2022</v>
      </c>
      <c r="J5" s="32">
        <v>2023</v>
      </c>
      <c r="K5" s="1932">
        <v>2024</v>
      </c>
      <c r="L5" s="1933">
        <v>2024</v>
      </c>
      <c r="M5" s="623"/>
      <c r="Q5" s="495" t="s">
        <v>1059</v>
      </c>
      <c r="R5" s="495" t="s">
        <v>1060</v>
      </c>
      <c r="S5" s="495" t="s">
        <v>1068</v>
      </c>
      <c r="T5" s="495" t="s">
        <v>1073</v>
      </c>
      <c r="U5" s="495" t="s">
        <v>1076</v>
      </c>
      <c r="V5" s="495" t="s">
        <v>1093</v>
      </c>
      <c r="W5" s="495" t="s">
        <v>1100</v>
      </c>
      <c r="X5" s="495" t="s">
        <v>1231</v>
      </c>
      <c r="Y5" s="495" t="s">
        <v>1209</v>
      </c>
      <c r="Z5" s="495" t="s">
        <v>1232</v>
      </c>
      <c r="AA5" s="495" t="s">
        <v>1229</v>
      </c>
      <c r="AB5" s="495" t="s">
        <v>1276</v>
      </c>
      <c r="AC5" s="495" t="s">
        <v>1273</v>
      </c>
      <c r="AD5" s="495" t="s">
        <v>1277</v>
      </c>
      <c r="AE5" s="495" t="s">
        <v>1278</v>
      </c>
      <c r="AF5" s="495" t="s">
        <v>1279</v>
      </c>
      <c r="AG5" s="495" t="s">
        <v>1275</v>
      </c>
      <c r="AH5" s="495" t="s">
        <v>1475</v>
      </c>
      <c r="AI5" s="495" t="s">
        <v>1549</v>
      </c>
      <c r="AJ5" s="495" t="s">
        <v>1644</v>
      </c>
      <c r="AK5" s="495" t="s">
        <v>1758</v>
      </c>
      <c r="AL5" s="495" t="s">
        <v>1761</v>
      </c>
      <c r="AM5" s="1965" t="s">
        <v>1804</v>
      </c>
      <c r="AN5" s="1966" t="s">
        <v>1804</v>
      </c>
      <c r="AO5" s="495"/>
    </row>
    <row r="6" spans="1:46">
      <c r="A6" s="2302"/>
      <c r="B6" s="2302"/>
      <c r="C6" s="1060" t="s">
        <v>55</v>
      </c>
      <c r="D6" s="1061" t="s">
        <v>648</v>
      </c>
      <c r="E6" s="1061" t="s">
        <v>648</v>
      </c>
      <c r="F6" s="1061" t="s">
        <v>648</v>
      </c>
      <c r="G6" s="1061" t="s">
        <v>648</v>
      </c>
      <c r="H6" s="1061" t="s">
        <v>648</v>
      </c>
      <c r="I6" s="1061" t="s">
        <v>648</v>
      </c>
      <c r="J6" s="1061" t="s">
        <v>648</v>
      </c>
      <c r="K6" s="1934" t="s">
        <v>648</v>
      </c>
      <c r="L6" s="1935" t="s">
        <v>989</v>
      </c>
      <c r="M6" s="1062"/>
      <c r="N6" s="1061" t="s">
        <v>990</v>
      </c>
      <c r="O6" s="1910" t="s">
        <v>991</v>
      </c>
      <c r="P6" s="1008"/>
      <c r="Q6" s="1061" t="s">
        <v>648</v>
      </c>
      <c r="R6" s="1061" t="s">
        <v>648</v>
      </c>
      <c r="S6" s="1061" t="s">
        <v>648</v>
      </c>
      <c r="T6" s="1061" t="s">
        <v>648</v>
      </c>
      <c r="U6" s="1061" t="s">
        <v>648</v>
      </c>
      <c r="V6" s="1061" t="s">
        <v>648</v>
      </c>
      <c r="W6" s="1061" t="s">
        <v>648</v>
      </c>
      <c r="X6" s="1061" t="s">
        <v>648</v>
      </c>
      <c r="Y6" s="1061" t="s">
        <v>648</v>
      </c>
      <c r="Z6" s="1061" t="s">
        <v>648</v>
      </c>
      <c r="AA6" s="1061" t="s">
        <v>648</v>
      </c>
      <c r="AB6" s="1061" t="s">
        <v>648</v>
      </c>
      <c r="AC6" s="1061" t="s">
        <v>648</v>
      </c>
      <c r="AD6" s="1061" t="s">
        <v>648</v>
      </c>
      <c r="AE6" s="1061" t="s">
        <v>648</v>
      </c>
      <c r="AF6" s="1061" t="s">
        <v>648</v>
      </c>
      <c r="AG6" s="1061" t="s">
        <v>648</v>
      </c>
      <c r="AH6" s="1061" t="s">
        <v>648</v>
      </c>
      <c r="AI6" s="1061" t="s">
        <v>648</v>
      </c>
      <c r="AJ6" s="1061" t="s">
        <v>648</v>
      </c>
      <c r="AK6" s="1061" t="s">
        <v>648</v>
      </c>
      <c r="AL6" s="1061" t="s">
        <v>648</v>
      </c>
      <c r="AM6" s="1934" t="s">
        <v>648</v>
      </c>
      <c r="AN6" s="1935" t="s">
        <v>989</v>
      </c>
      <c r="AO6" s="495"/>
      <c r="AP6" s="1061" t="s">
        <v>990</v>
      </c>
      <c r="AQ6" s="1061" t="s">
        <v>991</v>
      </c>
    </row>
    <row r="7" spans="1:46">
      <c r="A7" s="270" t="s">
        <v>651</v>
      </c>
      <c r="B7" s="270" t="s">
        <v>650</v>
      </c>
      <c r="C7" s="67"/>
      <c r="D7" s="67"/>
      <c r="E7" s="67"/>
      <c r="F7" s="67"/>
      <c r="G7" s="67"/>
      <c r="H7" s="67"/>
      <c r="I7" s="67"/>
      <c r="J7" s="67"/>
      <c r="K7" s="1936"/>
      <c r="L7" s="1937"/>
      <c r="M7" s="67"/>
      <c r="N7" s="67"/>
      <c r="O7" s="1801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1936"/>
      <c r="AN7" s="1937"/>
      <c r="AP7" s="67"/>
      <c r="AQ7" s="67"/>
      <c r="AS7" s="31" t="s">
        <v>1733</v>
      </c>
      <c r="AT7" s="31" t="s">
        <v>1732</v>
      </c>
    </row>
    <row r="8" spans="1:46">
      <c r="A8" s="269" t="str">
        <f>Model!B13</f>
        <v>Total sales/revenues</v>
      </c>
      <c r="B8" s="269" t="str">
        <f>'Raw Data'!B8</f>
        <v>Turnover</v>
      </c>
      <c r="C8" s="1080" t="s">
        <v>52</v>
      </c>
      <c r="D8" s="1081">
        <f>Segment!F9</f>
        <v>2843.8076000000001</v>
      </c>
      <c r="E8" s="1081">
        <f>Segment!G9</f>
        <v>3037.53599962</v>
      </c>
      <c r="F8" s="1081">
        <f>Segment!H9</f>
        <v>4208.7284792700002</v>
      </c>
      <c r="G8" s="1081">
        <f>Segment!I9</f>
        <v>4958.50261873</v>
      </c>
      <c r="H8" s="1081">
        <f>Segment!J9</f>
        <v>6977.8224744099998</v>
      </c>
      <c r="I8" s="1081">
        <f>Segment!K9</f>
        <v>8505.3897304999991</v>
      </c>
      <c r="J8" s="1081">
        <f>Segment!L9</f>
        <v>11262.79408329</v>
      </c>
      <c r="K8" s="1938">
        <f>Segment!M9</f>
        <v>15838.851828270001</v>
      </c>
      <c r="L8" s="1939">
        <v>16329.345196942963</v>
      </c>
      <c r="M8" s="1082"/>
      <c r="N8" s="1083">
        <f>K8/L8-1</f>
        <v>-3.0037540560094667E-2</v>
      </c>
      <c r="O8" s="1911">
        <f>+K8/J8-1</f>
        <v>0.40629862458102206</v>
      </c>
      <c r="P8" s="1014"/>
      <c r="Q8" s="1081">
        <f>Segment!BB9</f>
        <v>933.21618977999992</v>
      </c>
      <c r="R8" s="1081">
        <f>Segment!BC9</f>
        <v>1536.2465102200001</v>
      </c>
      <c r="S8" s="1081">
        <f>Segment!BD9</f>
        <v>1574.13422743</v>
      </c>
      <c r="T8" s="1081">
        <f>Segment!BE9</f>
        <v>914.90569129999994</v>
      </c>
      <c r="U8" s="1081">
        <f>Segment!BF9</f>
        <v>1711.2617271900001</v>
      </c>
      <c r="V8" s="1081">
        <f>Segment!BG9</f>
        <v>1971.0000271500001</v>
      </c>
      <c r="W8" s="1081">
        <f>Segment!BH9</f>
        <v>1877.9507030799996</v>
      </c>
      <c r="X8" s="1081">
        <f>Segment!BI9</f>
        <v>1417.6100169900001</v>
      </c>
      <c r="Y8" s="1081">
        <f>Segment!BJ9</f>
        <v>2006.5428683299999</v>
      </c>
      <c r="Z8" s="1081">
        <f>Segment!BK9</f>
        <v>2284.7311287299999</v>
      </c>
      <c r="AA8" s="1081">
        <f>Segment!BL9</f>
        <v>2353.0738183200001</v>
      </c>
      <c r="AB8" s="1081">
        <f>Segment!BM9</f>
        <v>1861.0419151199994</v>
      </c>
      <c r="AC8" s="1081">
        <f>Segment!BN9</f>
        <v>2490.8660470100003</v>
      </c>
      <c r="AD8" s="1081">
        <f>Segment!BO9</f>
        <v>2969.3188818899989</v>
      </c>
      <c r="AE8" s="1081">
        <f>Segment!BP9</f>
        <v>3180.7274410200016</v>
      </c>
      <c r="AF8" s="1081">
        <f>Segment!BQ9</f>
        <v>2621.8817133699995</v>
      </c>
      <c r="AG8" s="1081">
        <f>Segment!BR9</f>
        <v>3482.1677627899999</v>
      </c>
      <c r="AH8" s="1081">
        <f>Segment!BS9</f>
        <v>4391.1200893100004</v>
      </c>
      <c r="AI8" s="1081">
        <f>Segment!BT9</f>
        <v>4684.9936501600005</v>
      </c>
      <c r="AJ8" s="1081">
        <f>Segment!BU9</f>
        <v>3280.5703260099999</v>
      </c>
      <c r="AK8" s="1081">
        <f>Segment!BV9</f>
        <v>4848.0717046300006</v>
      </c>
      <c r="AL8" s="1081">
        <f>Segment!BW9</f>
        <v>5888.5561538200009</v>
      </c>
      <c r="AM8" s="1938">
        <f>Segment!BX9</f>
        <v>6107.3400368999992</v>
      </c>
      <c r="AN8" s="1939">
        <v>6137.3416817096013</v>
      </c>
      <c r="AO8" s="497"/>
      <c r="AP8" s="1083">
        <f>AM8/AN8-1</f>
        <v>-4.8883777970212261E-3</v>
      </c>
      <c r="AQ8" s="1083">
        <f>AM8/AI8-1</f>
        <v>0.30359622508590234</v>
      </c>
      <c r="AR8" s="192">
        <f>SUM(AG8:AJ8)</f>
        <v>15838.851828270001</v>
      </c>
      <c r="AS8" s="31" t="b">
        <f>AR8=K8</f>
        <v>1</v>
      </c>
      <c r="AT8" s="31" t="e">
        <f>SUM(AG8:AI8,#REF!)=L8</f>
        <v>#REF!</v>
      </c>
    </row>
    <row r="9" spans="1:46">
      <c r="A9" s="269"/>
      <c r="B9" s="259"/>
      <c r="C9" s="179"/>
      <c r="D9" s="192"/>
      <c r="E9" s="192"/>
      <c r="F9" s="192"/>
      <c r="G9" s="192"/>
      <c r="H9" s="192"/>
      <c r="I9" s="192"/>
      <c r="J9" s="192"/>
      <c r="K9" s="1940"/>
      <c r="L9" s="1941"/>
      <c r="M9" s="192"/>
      <c r="N9" s="253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40"/>
      <c r="AN9" s="1941"/>
      <c r="AO9" s="497"/>
      <c r="AP9" s="253"/>
      <c r="AQ9" s="253"/>
      <c r="AR9" s="192">
        <f>SUM(AF9:AI9)</f>
        <v>0</v>
      </c>
    </row>
    <row r="10" spans="1:46">
      <c r="A10" s="259" t="str">
        <f>Model!B16</f>
        <v>COGS</v>
      </c>
      <c r="B10" s="259" t="str">
        <f>'Raw Data'!B15</f>
        <v>COGS</v>
      </c>
      <c r="C10" s="264" t="s">
        <v>49</v>
      </c>
      <c r="D10" s="263">
        <f>-Segment!F23</f>
        <v>-1480.9947999999999</v>
      </c>
      <c r="E10" s="263">
        <f>-Segment!G23</f>
        <v>-1641.2420573099998</v>
      </c>
      <c r="F10" s="263">
        <f>-Segment!H23</f>
        <v>-2241.7192595500001</v>
      </c>
      <c r="G10" s="263">
        <f>-Segment!I23</f>
        <v>-2647.8475059899997</v>
      </c>
      <c r="H10" s="263">
        <f>-Segment!J23</f>
        <v>-3881.56479257</v>
      </c>
      <c r="I10" s="263">
        <f>-Segment!K23</f>
        <v>-4905.4613287299999</v>
      </c>
      <c r="J10" s="263">
        <f>-Segment!L23</f>
        <v>-6411.6537601099999</v>
      </c>
      <c r="K10" s="1942">
        <f>-Segment!M23</f>
        <v>-8741.5610026499999</v>
      </c>
      <c r="L10" s="1943">
        <v>-8969.8904589301274</v>
      </c>
      <c r="M10" s="233"/>
      <c r="N10" s="498">
        <f>K10/L10-1</f>
        <v>-2.5455099739017495E-2</v>
      </c>
      <c r="O10" s="1912">
        <f>+K10/J10-1</f>
        <v>0.36338631649691999</v>
      </c>
      <c r="Q10" s="263">
        <f>-Segment!BB23</f>
        <v>-474.49274026999996</v>
      </c>
      <c r="R10" s="263">
        <f>-Segment!BC23</f>
        <v>-848.15725973000008</v>
      </c>
      <c r="S10" s="263">
        <f>-Segment!BD23</f>
        <v>-828.35414730000002</v>
      </c>
      <c r="T10" s="263">
        <f>-Segment!BE23</f>
        <v>-496.8433586899996</v>
      </c>
      <c r="U10" s="263">
        <f>-Segment!BF23</f>
        <v>-863.46210910000002</v>
      </c>
      <c r="V10" s="263">
        <f>-Segment!BG23</f>
        <v>-989.45249907000004</v>
      </c>
      <c r="W10" s="263">
        <f>-Segment!BH23</f>
        <v>-1011.1235660900002</v>
      </c>
      <c r="X10" s="263">
        <f>-Segment!BI23</f>
        <v>-1017.5266183099998</v>
      </c>
      <c r="Y10" s="263">
        <f>-Segment!BJ23</f>
        <v>-1139.9789286800001</v>
      </c>
      <c r="Z10" s="263">
        <f>-Segment!BK23</f>
        <v>-1319.7633783199999</v>
      </c>
      <c r="AA10" s="263">
        <f>-Segment!BL23</f>
        <v>-1410.6329676199998</v>
      </c>
      <c r="AB10" s="263">
        <f>-Segment!BM23</f>
        <v>-1035.0860541100001</v>
      </c>
      <c r="AC10" s="263">
        <f>-Segment!BN23</f>
        <v>-1406.6463015300001</v>
      </c>
      <c r="AD10" s="263">
        <f>-Segment!BO23</f>
        <v>-1699.9645356699998</v>
      </c>
      <c r="AE10" s="263">
        <f>-Segment!BP23</f>
        <v>-1860.3978788100003</v>
      </c>
      <c r="AF10" s="263">
        <f>-Segment!BQ23</f>
        <v>-1444.6450440999997</v>
      </c>
      <c r="AG10" s="263">
        <f>-Segment!BR23</f>
        <v>-1992.8200776600002</v>
      </c>
      <c r="AH10" s="263">
        <f>-Segment!BS23</f>
        <v>-2368.9238972999997</v>
      </c>
      <c r="AI10" s="263">
        <f>-Segment!BT23</f>
        <v>-2539.02238055</v>
      </c>
      <c r="AJ10" s="263">
        <f>-Segment!BU23</f>
        <v>-1840.7946471400001</v>
      </c>
      <c r="AK10" s="263">
        <f>-Segment!BV23</f>
        <v>-2692.1916942500002</v>
      </c>
      <c r="AL10" s="263">
        <f>-Segment!BW23</f>
        <v>-3197.2225395299993</v>
      </c>
      <c r="AM10" s="1942">
        <f>-Segment!BX23</f>
        <v>-3346.3351016200004</v>
      </c>
      <c r="AN10" s="1943">
        <v>-3326.4391914866037</v>
      </c>
      <c r="AO10" s="497"/>
      <c r="AP10" s="498">
        <f>AM10/AN10-1</f>
        <v>5.9811434955181486E-3</v>
      </c>
      <c r="AQ10" s="498">
        <f>AM10/AI10-1</f>
        <v>0.31796203422796188</v>
      </c>
      <c r="AR10" s="192">
        <f t="shared" ref="AR10:AR32" si="0">SUM(AG10:AJ10)</f>
        <v>-8741.5610026499999</v>
      </c>
      <c r="AS10" s="31" t="b">
        <f t="shared" ref="AS10:AS32" si="1">AR10=K10</f>
        <v>1</v>
      </c>
      <c r="AT10" s="31" t="e">
        <f>SUM(AG10:AI10,#REF!)=L10</f>
        <v>#REF!</v>
      </c>
    </row>
    <row r="11" spans="1:46">
      <c r="A11" s="259"/>
      <c r="B11" s="259"/>
      <c r="C11" s="1080" t="s">
        <v>58</v>
      </c>
      <c r="D11" s="1081">
        <f>D10+D8</f>
        <v>1362.8128000000002</v>
      </c>
      <c r="E11" s="1081">
        <f t="shared" ref="E11:K11" si="2">E10+E8</f>
        <v>1396.2939423100001</v>
      </c>
      <c r="F11" s="1081">
        <f t="shared" si="2"/>
        <v>1967.0092197200001</v>
      </c>
      <c r="G11" s="1081">
        <f t="shared" si="2"/>
        <v>2310.6551127400003</v>
      </c>
      <c r="H11" s="1081">
        <f t="shared" si="2"/>
        <v>3096.2576818399998</v>
      </c>
      <c r="I11" s="1081">
        <f t="shared" si="2"/>
        <v>3599.9284017699993</v>
      </c>
      <c r="J11" s="1081">
        <f t="shared" si="2"/>
        <v>4851.1403231800005</v>
      </c>
      <c r="K11" s="1938">
        <f t="shared" si="2"/>
        <v>7097.2908256200008</v>
      </c>
      <c r="L11" s="1939">
        <v>7359.4547380128352</v>
      </c>
      <c r="M11" s="1082"/>
      <c r="N11" s="1083">
        <f>K11/L11-1</f>
        <v>-3.5622735885406431E-2</v>
      </c>
      <c r="O11" s="1911">
        <f>+K11/J11-1</f>
        <v>0.46301495170265716</v>
      </c>
      <c r="P11" s="1014"/>
      <c r="Q11" s="1081">
        <f t="shared" ref="Q11:AB11" si="3">Q10+Q8</f>
        <v>458.72344950999997</v>
      </c>
      <c r="R11" s="1081">
        <f t="shared" si="3"/>
        <v>688.08925049000004</v>
      </c>
      <c r="S11" s="1081">
        <f t="shared" si="3"/>
        <v>745.78008012999999</v>
      </c>
      <c r="T11" s="1081">
        <f t="shared" si="3"/>
        <v>418.06233261000034</v>
      </c>
      <c r="U11" s="1081">
        <f t="shared" si="3"/>
        <v>847.79961809000008</v>
      </c>
      <c r="V11" s="1081">
        <f t="shared" si="3"/>
        <v>981.54752808000001</v>
      </c>
      <c r="W11" s="1081">
        <f t="shared" si="3"/>
        <v>866.82713698999942</v>
      </c>
      <c r="X11" s="1081">
        <f t="shared" si="3"/>
        <v>400.0833986800003</v>
      </c>
      <c r="Y11" s="1081">
        <f t="shared" si="3"/>
        <v>866.56393964999984</v>
      </c>
      <c r="Z11" s="1081">
        <f t="shared" si="3"/>
        <v>964.96775041000001</v>
      </c>
      <c r="AA11" s="1081">
        <f t="shared" si="3"/>
        <v>942.44085070000028</v>
      </c>
      <c r="AB11" s="1081">
        <f t="shared" si="3"/>
        <v>825.95586100999935</v>
      </c>
      <c r="AC11" s="1081">
        <f>AC10+AC8</f>
        <v>1084.2197454800003</v>
      </c>
      <c r="AD11" s="1081">
        <f t="shared" ref="AD11:AJ11" si="4">AD10+AD8</f>
        <v>1269.3543462199991</v>
      </c>
      <c r="AE11" s="1081">
        <f t="shared" si="4"/>
        <v>1320.3295622100013</v>
      </c>
      <c r="AF11" s="1081">
        <f t="shared" si="4"/>
        <v>1177.2366692699998</v>
      </c>
      <c r="AG11" s="1081">
        <f t="shared" si="4"/>
        <v>1489.3476851299997</v>
      </c>
      <c r="AH11" s="1081">
        <f t="shared" si="4"/>
        <v>2022.1961920100007</v>
      </c>
      <c r="AI11" s="1081">
        <f t="shared" si="4"/>
        <v>2145.9712696100005</v>
      </c>
      <c r="AJ11" s="1081">
        <f t="shared" si="4"/>
        <v>1439.7756788699999</v>
      </c>
      <c r="AK11" s="1081">
        <f>AK10+AK8</f>
        <v>2155.8800103800004</v>
      </c>
      <c r="AL11" s="1081">
        <f>AL10+AL8</f>
        <v>2691.3336142900016</v>
      </c>
      <c r="AM11" s="1938">
        <f>AM10+AM8</f>
        <v>2761.0049352799988</v>
      </c>
      <c r="AN11" s="1939">
        <v>2810.9024902229976</v>
      </c>
      <c r="AO11" s="497"/>
      <c r="AP11" s="1083">
        <f>AM11/AN11-1</f>
        <v>-1.7751435745834154E-2</v>
      </c>
      <c r="AQ11" s="1083">
        <f>AM11/AI11-1</f>
        <v>0.28659920772460845</v>
      </c>
      <c r="AR11" s="192">
        <f t="shared" si="0"/>
        <v>7097.2908256200008</v>
      </c>
      <c r="AS11" s="31" t="b">
        <f t="shared" si="1"/>
        <v>1</v>
      </c>
      <c r="AT11" s="31" t="e">
        <f>SUM(AG11:AI11,#REF!)=L11</f>
        <v>#REF!</v>
      </c>
    </row>
    <row r="12" spans="1:46">
      <c r="A12" s="259" t="str">
        <f>Model!B23</f>
        <v xml:space="preserve">SG&amp;A </v>
      </c>
      <c r="B12" s="259" t="str">
        <f>'Raw Data'!B23</f>
        <v>SG&amp;A</v>
      </c>
      <c r="C12" s="264" t="s">
        <v>47</v>
      </c>
      <c r="D12" s="263">
        <f>-(Segment!F47+Segment!F49)</f>
        <v>-936.03860000000009</v>
      </c>
      <c r="E12" s="263">
        <f>-(Segment!G47+Segment!G49)</f>
        <v>-1113.0786940200001</v>
      </c>
      <c r="F12" s="263">
        <f>-(Segment!H47+Segment!H49)</f>
        <v>-1212.8507251400001</v>
      </c>
      <c r="G12" s="263">
        <f>-(Segment!I47+Segment!I49)</f>
        <v>-1259.78626734</v>
      </c>
      <c r="H12" s="263">
        <f>-(Segment!J47+Segment!J49)</f>
        <v>-1662.8259169999999</v>
      </c>
      <c r="I12" s="263">
        <f>-(Segment!K47+Segment!K49)</f>
        <v>-1748.5558919099999</v>
      </c>
      <c r="J12" s="263">
        <f>-(Segment!L47+Segment!L49)</f>
        <v>-2378.6564845899998</v>
      </c>
      <c r="K12" s="1942">
        <f>-(Segment!M47+Segment!M49)</f>
        <v>-3169.4048630999996</v>
      </c>
      <c r="L12" s="1943">
        <v>-3338.5171247123153</v>
      </c>
      <c r="M12" s="233"/>
      <c r="N12" s="498">
        <f>K12/L12-1</f>
        <v>-5.06549031486212E-2</v>
      </c>
      <c r="O12" s="1912">
        <f>+K12/J12-1</f>
        <v>0.33243487810569605</v>
      </c>
      <c r="Q12" s="263">
        <f>-(Segment!BB47+Segment!BB49)</f>
        <v>-246.99133835000001</v>
      </c>
      <c r="R12" s="263">
        <f>-(Segment!BC47+Segment!BC49)</f>
        <v>-308.56686165000002</v>
      </c>
      <c r="S12" s="263">
        <f>-(Segment!BD47+Segment!BD49)</f>
        <v>-413.7843102600001</v>
      </c>
      <c r="T12" s="263">
        <f>-(Segment!BE47+Segment!BE49)</f>
        <v>-290.44375708000001</v>
      </c>
      <c r="U12" s="263">
        <f>-(Segment!BF47+Segment!BF49)</f>
        <v>-399.85931322999994</v>
      </c>
      <c r="V12" s="263">
        <f>-(Segment!BG47+Segment!BG49)</f>
        <v>-551.31450283999993</v>
      </c>
      <c r="W12" s="263">
        <f>-(Segment!BH47+Segment!BH49)</f>
        <v>-470.77279195</v>
      </c>
      <c r="X12" s="263">
        <f>-(Segment!BI47+Segment!BI49)</f>
        <v>-240.87930897999993</v>
      </c>
      <c r="Y12" s="263">
        <f>-(Segment!BJ47+Segment!BJ49)</f>
        <v>-416.88633991999995</v>
      </c>
      <c r="Z12" s="263">
        <f>-(Segment!BK47+Segment!BK49)</f>
        <v>-437.16870924000011</v>
      </c>
      <c r="AA12" s="263">
        <f>-(Segment!BL47+Segment!BL49)</f>
        <v>-467.09064511999975</v>
      </c>
      <c r="AB12" s="263">
        <f>-(Segment!BM47+Segment!BM49)</f>
        <v>-427.41019762999997</v>
      </c>
      <c r="AC12" s="263">
        <f>-(Segment!BN47+Segment!BN49)</f>
        <v>-481.96850776999997</v>
      </c>
      <c r="AD12" s="263">
        <f>-(Segment!BO47+Segment!BO49)</f>
        <v>-570.43353098</v>
      </c>
      <c r="AE12" s="263">
        <f>-(Segment!BP47+Segment!BP49)</f>
        <v>-669.98159871999997</v>
      </c>
      <c r="AF12" s="263">
        <f>-(Segment!BQ47+Segment!BQ49)</f>
        <v>-656.27284711999982</v>
      </c>
      <c r="AG12" s="263">
        <f>-(Segment!BR47+Segment!BR49)</f>
        <v>-709.69757989000004</v>
      </c>
      <c r="AH12" s="263">
        <f>-(Segment!BS47+Segment!BS49)</f>
        <v>-738.14505070000007</v>
      </c>
      <c r="AI12" s="263">
        <f>-(Segment!BT47+Segment!BT49)</f>
        <v>-970.46378267999989</v>
      </c>
      <c r="AJ12" s="263">
        <f>-(Segment!BU47+Segment!BU49)</f>
        <v>-751.09844982999982</v>
      </c>
      <c r="AK12" s="263">
        <f>-(Segment!BV47+Segment!BV49)</f>
        <v>-945.69553890999998</v>
      </c>
      <c r="AL12" s="263">
        <f>-(Segment!BW47+Segment!BW49)</f>
        <v>-1027.2585412899998</v>
      </c>
      <c r="AM12" s="1942">
        <f>-(Segment!BX47+Segment!BX49)</f>
        <v>-1105.4547156300005</v>
      </c>
      <c r="AN12" s="1943">
        <v>-1172.2322612065338</v>
      </c>
      <c r="AO12" s="497"/>
      <c r="AP12" s="498">
        <f>(AM12/AN12-1)</f>
        <v>-5.6966138696611046E-2</v>
      </c>
      <c r="AQ12" s="498">
        <f>AM12/AI12-1</f>
        <v>0.13909940315053704</v>
      </c>
      <c r="AR12" s="192">
        <f t="shared" si="0"/>
        <v>-3169.4048631000001</v>
      </c>
      <c r="AS12" s="31" t="b">
        <f t="shared" si="1"/>
        <v>1</v>
      </c>
      <c r="AT12" s="31" t="e">
        <f>SUM(AG12:AI12,#REF!)=L12</f>
        <v>#REF!</v>
      </c>
    </row>
    <row r="13" spans="1:46">
      <c r="A13" s="259"/>
      <c r="B13" s="259"/>
      <c r="C13" s="264" t="s">
        <v>908</v>
      </c>
      <c r="D13" s="263">
        <f>-(Segment!F47)</f>
        <v>-825.24980000000005</v>
      </c>
      <c r="E13" s="263">
        <f>-(Segment!G47)</f>
        <v>-969.45033685999999</v>
      </c>
      <c r="F13" s="263">
        <f>-(Segment!H47)</f>
        <v>-983.59316214</v>
      </c>
      <c r="G13" s="263">
        <f>-(Segment!I47)</f>
        <v>-1040.3472948200001</v>
      </c>
      <c r="H13" s="263">
        <f>-(Segment!J47)</f>
        <v>-1368.3843670599999</v>
      </c>
      <c r="I13" s="263">
        <f>-(Segment!K47)</f>
        <v>-1449.2760845799999</v>
      </c>
      <c r="J13" s="263">
        <f>-(Segment!L47)</f>
        <v>-1955.6713750699998</v>
      </c>
      <c r="K13" s="1942">
        <f>-(Segment!M47)</f>
        <v>-2681.0797873299998</v>
      </c>
      <c r="L13" s="1943">
        <v>-2830.5284216157193</v>
      </c>
      <c r="M13" s="233"/>
      <c r="N13" s="498"/>
      <c r="O13" s="1912"/>
      <c r="Q13" s="263">
        <f>-(Segment!BB47)</f>
        <v>-201.55927403000001</v>
      </c>
      <c r="R13" s="263">
        <f>-(Segment!BC47)</f>
        <v>-250.64872597000002</v>
      </c>
      <c r="S13" s="263">
        <f>-(Segment!BD47)</f>
        <v>-360.37018244000006</v>
      </c>
      <c r="T13" s="263">
        <f>-(Segment!BE47)</f>
        <v>-227.76911238000002</v>
      </c>
      <c r="U13" s="263">
        <f>-(Segment!BF47)</f>
        <v>-336.21724452999996</v>
      </c>
      <c r="V13" s="263">
        <f>-(Segment!BG47)</f>
        <v>-462.44101651</v>
      </c>
      <c r="W13" s="263">
        <f>-(Segment!BH47)</f>
        <v>-399.24317549</v>
      </c>
      <c r="X13" s="263">
        <f>-(Segment!BI47)</f>
        <v>-170.48293052999998</v>
      </c>
      <c r="Y13" s="263">
        <f>-(Segment!BJ47)</f>
        <v>-337.96501925999996</v>
      </c>
      <c r="Z13" s="263">
        <f>-(Segment!BK47)</f>
        <v>-364.7331657200001</v>
      </c>
      <c r="AA13" s="263">
        <f>-(Segment!BL47)</f>
        <v>-382.90616486999977</v>
      </c>
      <c r="AB13" s="263">
        <f>-(Segment!BM47)</f>
        <v>-363.67173473000003</v>
      </c>
      <c r="AC13" s="263">
        <f>-(Segment!BN47)</f>
        <v>-390.70786656999996</v>
      </c>
      <c r="AD13" s="263">
        <f>-(Segment!BO47)</f>
        <v>-472.52689838000003</v>
      </c>
      <c r="AE13" s="263">
        <f>-(Segment!BP47)</f>
        <v>-557.67118565999999</v>
      </c>
      <c r="AF13" s="263">
        <f>-(Segment!BQ47)</f>
        <v>-534.76542445999985</v>
      </c>
      <c r="AG13" s="263">
        <f>-(Segment!BR47)</f>
        <v>-595.94921475000001</v>
      </c>
      <c r="AH13" s="263">
        <f>-(Segment!BS47)</f>
        <v>-629.05488243000013</v>
      </c>
      <c r="AI13" s="263">
        <f>-(Segment!BT47)</f>
        <v>-836.92043326999988</v>
      </c>
      <c r="AJ13" s="263">
        <f>-(Segment!BU47)</f>
        <v>-619.1552568799998</v>
      </c>
      <c r="AK13" s="263">
        <f>-(Segment!BV47)</f>
        <v>-808.75510908000001</v>
      </c>
      <c r="AL13" s="263">
        <f>-(Segment!BW47)</f>
        <v>-872.76394876999984</v>
      </c>
      <c r="AM13" s="1942">
        <f>-(Segment!BX47)</f>
        <v>-931.82558820000054</v>
      </c>
      <c r="AN13" s="1943">
        <v>-1000.386694118665</v>
      </c>
      <c r="AO13" s="497"/>
      <c r="AP13" s="498">
        <f>(AM13/AN13-1)</f>
        <v>-6.8534603990376364E-2</v>
      </c>
      <c r="AQ13" s="498">
        <f>AM13/AI13-1</f>
        <v>0.11339806170006983</v>
      </c>
      <c r="AR13" s="192">
        <f t="shared" si="0"/>
        <v>-2681.0797873299998</v>
      </c>
      <c r="AS13" s="31" t="b">
        <f t="shared" si="1"/>
        <v>1</v>
      </c>
      <c r="AT13" s="31" t="e">
        <f>SUM(AG13:AI13,#REF!)=L13</f>
        <v>#REF!</v>
      </c>
    </row>
    <row r="14" spans="1:46">
      <c r="A14" s="259"/>
      <c r="B14" s="259"/>
      <c r="C14" s="264" t="s">
        <v>918</v>
      </c>
      <c r="D14" s="263">
        <f>-(Segment!F49)</f>
        <v>-110.78879999999999</v>
      </c>
      <c r="E14" s="263">
        <f>-(Segment!G49)</f>
        <v>-143.62835716000001</v>
      </c>
      <c r="F14" s="263">
        <f>-(Segment!H49)</f>
        <v>-229.257563</v>
      </c>
      <c r="G14" s="263">
        <f>-(Segment!I49)</f>
        <v>-219.43897251999999</v>
      </c>
      <c r="H14" s="263">
        <f>-(Segment!J49)</f>
        <v>-294.44154993999996</v>
      </c>
      <c r="I14" s="263">
        <f>-(Segment!K49)</f>
        <v>-299.27980732999998</v>
      </c>
      <c r="J14" s="263">
        <f>-(Segment!L49)</f>
        <v>-422.98510952000004</v>
      </c>
      <c r="K14" s="1942">
        <f>-(Segment!M49)</f>
        <v>-488.32507577000001</v>
      </c>
      <c r="L14" s="1943">
        <v>-507.988703096596</v>
      </c>
      <c r="M14" s="233"/>
      <c r="N14" s="498"/>
      <c r="O14" s="1912"/>
      <c r="Q14" s="263">
        <f>-(Segment!BB49)</f>
        <v>-45.432064320000002</v>
      </c>
      <c r="R14" s="263">
        <f>-(Segment!BC49)</f>
        <v>-57.918135679999999</v>
      </c>
      <c r="S14" s="263">
        <f>-(Segment!BD49)</f>
        <v>-53.414127820000004</v>
      </c>
      <c r="T14" s="263">
        <f>-(Segment!BE49)</f>
        <v>-62.674644699999988</v>
      </c>
      <c r="U14" s="263">
        <f>-(Segment!BF49)</f>
        <v>-63.642068700000003</v>
      </c>
      <c r="V14" s="263">
        <f>-(Segment!BG49)</f>
        <v>-88.873486329999992</v>
      </c>
      <c r="W14" s="263">
        <f>-(Segment!BH49)</f>
        <v>-71.52961646</v>
      </c>
      <c r="X14" s="263">
        <f>-(Segment!BI49)</f>
        <v>-70.396378449999958</v>
      </c>
      <c r="Y14" s="263">
        <f>-(Segment!BJ49)</f>
        <v>-78.921320660000006</v>
      </c>
      <c r="Z14" s="263">
        <f>-(Segment!BK49)</f>
        <v>-72.435543519999996</v>
      </c>
      <c r="AA14" s="263">
        <f>-(Segment!BL49)</f>
        <v>-84.184480250000007</v>
      </c>
      <c r="AB14" s="263">
        <f>-(Segment!BM49)</f>
        <v>-63.738462899999973</v>
      </c>
      <c r="AC14" s="263">
        <f>-(Segment!BN49)</f>
        <v>-91.260641199999995</v>
      </c>
      <c r="AD14" s="263">
        <f>-(Segment!BO49)</f>
        <v>-97.906632600000009</v>
      </c>
      <c r="AE14" s="263">
        <f>-(Segment!BP49)</f>
        <v>-112.31041306</v>
      </c>
      <c r="AF14" s="263">
        <f>-(Segment!BQ49)</f>
        <v>-121.50742266000003</v>
      </c>
      <c r="AG14" s="263">
        <f>-(Segment!BR49)</f>
        <v>-113.74836514</v>
      </c>
      <c r="AH14" s="263">
        <f>-(Segment!BS49)</f>
        <v>-109.09016826999996</v>
      </c>
      <c r="AI14" s="263">
        <f>-(Segment!BT49)</f>
        <v>-133.54334941000002</v>
      </c>
      <c r="AJ14" s="263">
        <f>-(Segment!BU49)</f>
        <v>-131.94319295000003</v>
      </c>
      <c r="AK14" s="263">
        <f>-(Segment!BV49)</f>
        <v>-136.94042983</v>
      </c>
      <c r="AL14" s="263">
        <f>-(Segment!BW49)</f>
        <v>-154.49459252</v>
      </c>
      <c r="AM14" s="1942">
        <f>-(Segment!BX49)</f>
        <v>-173.62912742999998</v>
      </c>
      <c r="AN14" s="1943">
        <v>-171.84556708786883</v>
      </c>
      <c r="AO14" s="497"/>
      <c r="AP14" s="498">
        <f>(AM14/AN14-1)</f>
        <v>1.0378855692094513E-2</v>
      </c>
      <c r="AQ14" s="498">
        <f>AM14/AI14-1</f>
        <v>0.30017053037160268</v>
      </c>
      <c r="AR14" s="192">
        <f t="shared" si="0"/>
        <v>-488.32507577000001</v>
      </c>
      <c r="AS14" s="31" t="b">
        <f t="shared" si="1"/>
        <v>1</v>
      </c>
      <c r="AT14" s="31" t="e">
        <f>SUM(AG14:AI14,#REF!)=L14</f>
        <v>#REF!</v>
      </c>
    </row>
    <row r="15" spans="1:46">
      <c r="A15" s="259" t="str">
        <f>Model!B27</f>
        <v>Other operating expense</v>
      </c>
      <c r="B15" s="259" t="str">
        <f>'Raw Data'!B27</f>
        <v>Other operating gains/expenses</v>
      </c>
      <c r="C15" s="31" t="s">
        <v>44</v>
      </c>
      <c r="D15" s="268">
        <f>-Segment!F45+Model!C27</f>
        <v>-46.480000000000004</v>
      </c>
      <c r="E15" s="268">
        <f>-Segment!G45+Model!D27</f>
        <v>-41.853672730000007</v>
      </c>
      <c r="F15" s="268">
        <f>-Segment!H45+Model!E27</f>
        <v>-50.867283030000003</v>
      </c>
      <c r="G15" s="268">
        <f>-Segment!I45+Model!F27</f>
        <v>-49.740056760000002</v>
      </c>
      <c r="H15" s="268">
        <f>-Segment!J45+Model!G27</f>
        <v>39.074537219999996</v>
      </c>
      <c r="I15" s="268">
        <f>-Segment!K45+Model!H27</f>
        <v>-80.20947704999999</v>
      </c>
      <c r="J15" s="268">
        <f>-Segment!L45+Model!I27</f>
        <v>-93.33082838</v>
      </c>
      <c r="K15" s="1944">
        <f>-Segment!M45+Model!J27</f>
        <v>-127.80209237999999</v>
      </c>
      <c r="L15" s="1945">
        <v>-144.83013167384033</v>
      </c>
      <c r="M15" s="233"/>
      <c r="N15" s="499">
        <f>K15/L15-1</f>
        <v>-0.11757249059324026</v>
      </c>
      <c r="O15" s="1913">
        <f>+K15/J15-1</f>
        <v>0.36934488419677303</v>
      </c>
      <c r="Q15" s="233">
        <f>-Segment!BB45+Segment!BB54+Segment!BB55</f>
        <v>-6.6531128000000006</v>
      </c>
      <c r="R15" s="233">
        <f>-Segment!BC45+Segment!BC54+Segment!BC55</f>
        <v>-18.0777872</v>
      </c>
      <c r="S15" s="233">
        <f>-Segment!BD45+Segment!BD54+Segment!BD55</f>
        <v>-15.362782599999996</v>
      </c>
      <c r="T15" s="233">
        <f>-Segment!BE45+Segment!BE54+Segment!BE55</f>
        <v>-9.6463741600000059</v>
      </c>
      <c r="U15" s="233">
        <f>-Segment!BF45+Segment!BF54+Segment!BF55</f>
        <v>-18.664352260000001</v>
      </c>
      <c r="V15" s="233">
        <f>-Segment!BG45+Segment!BG54+Segment!BG55</f>
        <v>-17.477148839999995</v>
      </c>
      <c r="W15" s="233">
        <f>-Segment!BH45+Segment!BH54+Segment!BH55</f>
        <v>-6.2363416600000008</v>
      </c>
      <c r="X15" s="233">
        <f>-Segment!BI45+Segment!BI54+Segment!BI55</f>
        <v>81.452379979999989</v>
      </c>
      <c r="Y15" s="233">
        <f>-Segment!BJ45+Segment!BJ54+Segment!BJ55</f>
        <v>-11.961504469999998</v>
      </c>
      <c r="Z15" s="233">
        <f>-Segment!BK45+Segment!BK54+Segment!BK55</f>
        <v>-3.6691477099999972</v>
      </c>
      <c r="AA15" s="233">
        <f>-Segment!BL45+Segment!BL54+Segment!BL55</f>
        <v>-8.780978630000007</v>
      </c>
      <c r="AB15" s="233">
        <f>-Segment!BM45+Segment!BM54+Segment!BM55</f>
        <v>-55.797846239999991</v>
      </c>
      <c r="AC15" s="233">
        <f>-Segment!BN45+Segment!BN54+Segment!BN55</f>
        <v>4.9485386899999959</v>
      </c>
      <c r="AD15" s="233">
        <f>-Segment!BO45+Segment!BO54+Segment!BO55</f>
        <v>6.651858539999985</v>
      </c>
      <c r="AE15" s="233">
        <f>-Segment!BP45+Segment!BP54+Segment!BP55</f>
        <v>-43.705155839999989</v>
      </c>
      <c r="AF15" s="233">
        <f>-Segment!BQ45+Segment!BQ54+Segment!BQ55</f>
        <v>-61.226069770000002</v>
      </c>
      <c r="AG15" s="233">
        <f>-Segment!BR45+Segment!BR54+Segment!BR55</f>
        <v>-10.101714410000003</v>
      </c>
      <c r="AH15" s="233">
        <f>-Segment!BS45+Segment!BS54+Segment!BS55</f>
        <v>-61.263149339999991</v>
      </c>
      <c r="AI15" s="233">
        <f>-Segment!BT45+Segment!BT54+Segment!BT55</f>
        <v>-25.558034590000013</v>
      </c>
      <c r="AJ15" s="233">
        <f>-Segment!BU45+Segment!BU54+Segment!BU55</f>
        <v>-30.879194039999991</v>
      </c>
      <c r="AK15" s="233">
        <f>-Segment!BV45+Segment!BV54+Segment!BV55</f>
        <v>-23.414575420000006</v>
      </c>
      <c r="AL15" s="233">
        <f>-Segment!BW45+Segment!BW54+Segment!BW55</f>
        <v>-8.5463617499999955</v>
      </c>
      <c r="AM15" s="1946">
        <f>-Segment!BX45+Segment!BX54+Segment!BX55</f>
        <v>57.695610750000007</v>
      </c>
      <c r="AN15" s="1947">
        <v>-56.096248023254816</v>
      </c>
      <c r="AO15" s="497"/>
      <c r="AP15" s="498">
        <f>-(AM15/AN15-1)</f>
        <v>2.0285110463373979</v>
      </c>
      <c r="AQ15" s="498">
        <f>-(AM15/AI15-1)</f>
        <v>3.2574353496091728</v>
      </c>
      <c r="AR15" s="192">
        <f t="shared" si="0"/>
        <v>-127.80209238</v>
      </c>
      <c r="AS15" s="31" t="b">
        <f t="shared" si="1"/>
        <v>1</v>
      </c>
      <c r="AT15" s="31" t="e">
        <f>SUM(AG15:AI15,#REF!)=L15</f>
        <v>#REF!</v>
      </c>
    </row>
    <row r="16" spans="1:46">
      <c r="A16" s="259"/>
      <c r="B16" s="259"/>
      <c r="C16" s="1080" t="s">
        <v>35</v>
      </c>
      <c r="D16" s="1081">
        <f t="shared" ref="D16:K16" si="5">D8+SUM(D10,D12,D15)</f>
        <v>380.29419999999982</v>
      </c>
      <c r="E16" s="1081">
        <f t="shared" si="5"/>
        <v>241.36157555999989</v>
      </c>
      <c r="F16" s="1081">
        <f t="shared" si="5"/>
        <v>703.29121154999984</v>
      </c>
      <c r="G16" s="1081">
        <f t="shared" si="5"/>
        <v>1001.1287886400005</v>
      </c>
      <c r="H16" s="1081">
        <f t="shared" si="5"/>
        <v>1472.5063020600001</v>
      </c>
      <c r="I16" s="1081">
        <f t="shared" si="5"/>
        <v>1771.1630328099991</v>
      </c>
      <c r="J16" s="1081">
        <f t="shared" si="5"/>
        <v>2379.1530102100005</v>
      </c>
      <c r="K16" s="1938">
        <f t="shared" si="5"/>
        <v>3800.0838701400007</v>
      </c>
      <c r="L16" s="1939">
        <v>3876.107481626681</v>
      </c>
      <c r="M16" s="1082"/>
      <c r="N16" s="1083">
        <f>K16/L16-1</f>
        <v>-1.9613390972010758E-2</v>
      </c>
      <c r="O16" s="1911">
        <f>+K16/J16-1</f>
        <v>0.59724231851930321</v>
      </c>
      <c r="P16" s="1014"/>
      <c r="Q16" s="1081">
        <f t="shared" ref="Q16:W16" si="6">Q8+SUM(Q10,Q12,Q15)</f>
        <v>205.0789983599999</v>
      </c>
      <c r="R16" s="1081">
        <f t="shared" si="6"/>
        <v>361.44460163999997</v>
      </c>
      <c r="S16" s="1081">
        <f t="shared" si="6"/>
        <v>316.63298727000006</v>
      </c>
      <c r="T16" s="1081">
        <f t="shared" si="6"/>
        <v>117.97220137000022</v>
      </c>
      <c r="U16" s="1081">
        <f t="shared" si="6"/>
        <v>429.27595260000021</v>
      </c>
      <c r="V16" s="1081">
        <f t="shared" si="6"/>
        <v>412.75587640000003</v>
      </c>
      <c r="W16" s="1081">
        <f t="shared" si="6"/>
        <v>389.81800337999925</v>
      </c>
      <c r="X16" s="1081">
        <f t="shared" ref="X16:AF16" si="7">X8+SUM(X10,X12,X15)</f>
        <v>240.65646968000033</v>
      </c>
      <c r="Y16" s="1081">
        <f t="shared" si="7"/>
        <v>437.71609525999997</v>
      </c>
      <c r="Z16" s="1081">
        <f t="shared" si="7"/>
        <v>524.12989345999972</v>
      </c>
      <c r="AA16" s="1081">
        <f t="shared" si="7"/>
        <v>466.56922695000048</v>
      </c>
      <c r="AB16" s="1081">
        <f t="shared" si="7"/>
        <v>342.7478171399996</v>
      </c>
      <c r="AC16" s="1081">
        <f t="shared" si="7"/>
        <v>607.19977640000025</v>
      </c>
      <c r="AD16" s="1081">
        <f t="shared" si="7"/>
        <v>705.57267377999915</v>
      </c>
      <c r="AE16" s="1081">
        <f t="shared" si="7"/>
        <v>606.64280765000149</v>
      </c>
      <c r="AF16" s="1081">
        <f t="shared" si="7"/>
        <v>459.73775238000007</v>
      </c>
      <c r="AG16" s="1081">
        <f t="shared" ref="AG16:AL16" si="8">AG8+SUM(AG10,AG12,AG15)</f>
        <v>769.54839082999979</v>
      </c>
      <c r="AH16" s="1081">
        <f t="shared" si="8"/>
        <v>1222.7879919700008</v>
      </c>
      <c r="AI16" s="1081">
        <f t="shared" si="8"/>
        <v>1149.9494523400008</v>
      </c>
      <c r="AJ16" s="1081">
        <f t="shared" si="8"/>
        <v>657.7980349999998</v>
      </c>
      <c r="AK16" s="1081">
        <f t="shared" si="8"/>
        <v>1186.7698960500006</v>
      </c>
      <c r="AL16" s="1081">
        <f t="shared" si="8"/>
        <v>1655.5287112500018</v>
      </c>
      <c r="AM16" s="1938">
        <f t="shared" ref="AM16" si="9">AM8+SUM(AM10,AM12,AM15)</f>
        <v>1713.2458303999983</v>
      </c>
      <c r="AN16" s="1939">
        <v>1582.5739809932093</v>
      </c>
      <c r="AO16" s="497"/>
      <c r="AP16" s="1083">
        <f>AM16/AN16-1</f>
        <v>8.2569188534731719E-2</v>
      </c>
      <c r="AQ16" s="1083">
        <f>AM16/AI16-1</f>
        <v>0.48984446830576855</v>
      </c>
      <c r="AR16" s="192">
        <f t="shared" si="0"/>
        <v>3800.0838701400012</v>
      </c>
      <c r="AS16" s="31" t="b">
        <f t="shared" si="1"/>
        <v>1</v>
      </c>
      <c r="AT16" s="31" t="e">
        <f>SUM(AG16:AI16,#REF!)=L16</f>
        <v>#REF!</v>
      </c>
    </row>
    <row r="17" spans="1:46" hidden="1" outlineLevel="1">
      <c r="A17" s="267"/>
      <c r="B17" s="267"/>
      <c r="C17" s="179" t="s">
        <v>41</v>
      </c>
      <c r="D17" s="192"/>
      <c r="E17" s="192"/>
      <c r="F17" s="192"/>
      <c r="G17" s="192"/>
      <c r="H17" s="192"/>
      <c r="I17" s="192"/>
      <c r="J17" s="192"/>
      <c r="K17" s="1940"/>
      <c r="L17" s="1941"/>
      <c r="M17" s="192"/>
      <c r="N17" s="253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40"/>
      <c r="AN17" s="1941"/>
      <c r="AO17" s="497"/>
      <c r="AP17" s="253"/>
      <c r="AQ17" s="253"/>
      <c r="AR17" s="192">
        <f t="shared" si="0"/>
        <v>0</v>
      </c>
      <c r="AS17" s="31" t="b">
        <f t="shared" si="1"/>
        <v>1</v>
      </c>
      <c r="AT17" s="31" t="e">
        <f>SUM(AG17:AI17,#REF!)=L17</f>
        <v>#REF!</v>
      </c>
    </row>
    <row r="18" spans="1:46" hidden="1" outlineLevel="2">
      <c r="A18" s="267" t="str">
        <f>Model!B33</f>
        <v>Depreciation</v>
      </c>
      <c r="B18" s="267" t="str">
        <f>'Raw Data'!B31</f>
        <v>Depreciation</v>
      </c>
      <c r="C18" s="264" t="s">
        <v>40</v>
      </c>
      <c r="D18" s="263">
        <f>Model!C$33</f>
        <v>0</v>
      </c>
      <c r="E18" s="263">
        <f>Model!D$33</f>
        <v>-77.859574969999997</v>
      </c>
      <c r="F18" s="263">
        <f>Model!E$33</f>
        <v>-102.17591390000001</v>
      </c>
      <c r="G18" s="263">
        <f>Model!F$33</f>
        <v>-124.58530337000001</v>
      </c>
      <c r="H18" s="263">
        <f>Model!G$33</f>
        <v>-173.10489672</v>
      </c>
      <c r="I18" s="263">
        <f>Model!H$33</f>
        <v>-211.9910213</v>
      </c>
      <c r="J18" s="263">
        <f>Model!I$33</f>
        <v>-241.69913559</v>
      </c>
      <c r="K18" s="1942">
        <f>Model!J$33</f>
        <v>-325.93171645999996</v>
      </c>
      <c r="L18" s="1943">
        <v>-337.90731083933252</v>
      </c>
      <c r="M18" s="233"/>
      <c r="N18" s="498">
        <f>K18/L18-1</f>
        <v>-3.5440471381297467E-2</v>
      </c>
      <c r="O18" s="1912">
        <f>+K18/J18-1</f>
        <v>0.34850178782966656</v>
      </c>
      <c r="Q18" s="263">
        <f>Model!$F$33/4</f>
        <v>-31.146325842500001</v>
      </c>
      <c r="R18" s="263">
        <f>Model!$F$33/4</f>
        <v>-31.146325842500001</v>
      </c>
      <c r="S18" s="263">
        <f>Model!$F$33/4</f>
        <v>-31.146325842500001</v>
      </c>
      <c r="T18" s="263">
        <f>Model!$F$33/4</f>
        <v>-31.146325842500001</v>
      </c>
      <c r="U18" s="263">
        <f>Model!$G$33/4</f>
        <v>-43.27622418</v>
      </c>
      <c r="V18" s="263">
        <f>Model!$G$33/4</f>
        <v>-43.27622418</v>
      </c>
      <c r="W18" s="263">
        <f>Model!$G$33/4</f>
        <v>-43.27622418</v>
      </c>
      <c r="X18" s="263">
        <f>Model!$G$33/4</f>
        <v>-43.27622418</v>
      </c>
      <c r="Y18" s="263">
        <f>Model!$G$33/4</f>
        <v>-43.27622418</v>
      </c>
      <c r="Z18" s="263">
        <f>Model!$G$33/4</f>
        <v>-43.27622418</v>
      </c>
      <c r="AA18" s="263">
        <f>Model!$G$33/4</f>
        <v>-43.27622418</v>
      </c>
      <c r="AB18" s="263">
        <f>Model!$G$33/4</f>
        <v>-43.27622418</v>
      </c>
      <c r="AC18" s="263">
        <f>Model!$G$33/4</f>
        <v>-43.27622418</v>
      </c>
      <c r="AD18" s="263">
        <f>Model!$G$33/4</f>
        <v>-43.27622418</v>
      </c>
      <c r="AE18" s="263">
        <f>Model!$G$33/4</f>
        <v>-43.27622418</v>
      </c>
      <c r="AF18" s="263">
        <f>Model!$G$33/4</f>
        <v>-43.27622418</v>
      </c>
      <c r="AG18" s="263">
        <f>Model!$J$33/4</f>
        <v>-81.48292911499999</v>
      </c>
      <c r="AH18" s="263">
        <f>Model!$J$33/4</f>
        <v>-81.48292911499999</v>
      </c>
      <c r="AI18" s="263">
        <f>Model!$J$33/4</f>
        <v>-81.48292911499999</v>
      </c>
      <c r="AJ18" s="263">
        <f>Model!$J$33/4</f>
        <v>-81.48292911499999</v>
      </c>
      <c r="AK18" s="263">
        <f>Model!$J$33/4</f>
        <v>-81.48292911499999</v>
      </c>
      <c r="AL18" s="263">
        <f>Model!$J$33/4</f>
        <v>-81.48292911499999</v>
      </c>
      <c r="AM18" s="1942">
        <f>Model!$J$33/4</f>
        <v>-81.48292911499999</v>
      </c>
      <c r="AN18" s="1943">
        <v>-81.48292911499999</v>
      </c>
      <c r="AO18" s="497"/>
      <c r="AP18" s="498">
        <f>AM18/AN18-1</f>
        <v>0</v>
      </c>
      <c r="AQ18" s="498">
        <f>AM18/AI18-1</f>
        <v>0</v>
      </c>
      <c r="AR18" s="192">
        <f t="shared" si="0"/>
        <v>-325.93171645999996</v>
      </c>
      <c r="AS18" s="31" t="b">
        <f t="shared" si="1"/>
        <v>1</v>
      </c>
      <c r="AT18" s="31" t="e">
        <f>SUM(AG18:AI18,#REF!)=L18</f>
        <v>#REF!</v>
      </c>
    </row>
    <row r="19" spans="1:46" hidden="1" outlineLevel="2">
      <c r="A19" s="267" t="str">
        <f>Model!B34</f>
        <v>Amortization</v>
      </c>
      <c r="B19" s="267" t="str">
        <f>'Raw Data'!B32</f>
        <v>Amortization</v>
      </c>
      <c r="C19" s="31" t="s">
        <v>38</v>
      </c>
      <c r="D19" s="233">
        <f>Model!C$34</f>
        <v>0</v>
      </c>
      <c r="E19" s="233">
        <f>Model!D$34</f>
        <v>-7.1119130899999998</v>
      </c>
      <c r="F19" s="233">
        <f>Model!E$34</f>
        <v>-7.5485511800000005</v>
      </c>
      <c r="G19" s="233">
        <f>Model!F$34</f>
        <v>-9.8574460500000001</v>
      </c>
      <c r="H19" s="233">
        <f>Model!G$34</f>
        <v>-12.007907210000001</v>
      </c>
      <c r="I19" s="233">
        <f>Model!H$34</f>
        <v>-11.950350090000001</v>
      </c>
      <c r="J19" s="233">
        <f>Model!I$34</f>
        <v>-12.33999043</v>
      </c>
      <c r="K19" s="1946">
        <f>Model!J$34</f>
        <v>-17.11997002</v>
      </c>
      <c r="L19" s="1947">
        <v>-18.608241734073822</v>
      </c>
      <c r="M19" s="233"/>
      <c r="N19" s="499">
        <f>K19/L19-1</f>
        <v>-7.9979169195154243E-2</v>
      </c>
      <c r="O19" s="1913">
        <f>+K19/J19-1</f>
        <v>0.38735683119974662</v>
      </c>
      <c r="Q19" s="233">
        <f>Model!$F$34/4</f>
        <v>-2.4643615125</v>
      </c>
      <c r="R19" s="233">
        <f>Model!$F$34/4</f>
        <v>-2.4643615125</v>
      </c>
      <c r="S19" s="233">
        <f>Model!$F$34/4</f>
        <v>-2.4643615125</v>
      </c>
      <c r="T19" s="233">
        <f>Model!$F$34/4</f>
        <v>-2.4643615125</v>
      </c>
      <c r="U19" s="233">
        <f>Model!$G$34/4</f>
        <v>-3.0019768025000002</v>
      </c>
      <c r="V19" s="233">
        <f>Model!$G$34/4</f>
        <v>-3.0019768025000002</v>
      </c>
      <c r="W19" s="233">
        <f>Model!$G$34/4</f>
        <v>-3.0019768025000002</v>
      </c>
      <c r="X19" s="233">
        <f>Model!$G$34/4</f>
        <v>-3.0019768025000002</v>
      </c>
      <c r="Y19" s="233">
        <f>Model!$G$34/4</f>
        <v>-3.0019768025000002</v>
      </c>
      <c r="Z19" s="233">
        <f>Model!$G$34/4</f>
        <v>-3.0019768025000002</v>
      </c>
      <c r="AA19" s="233">
        <f>Model!$G$34/4</f>
        <v>-3.0019768025000002</v>
      </c>
      <c r="AB19" s="233">
        <f>Model!$G$34/4</f>
        <v>-3.0019768025000002</v>
      </c>
      <c r="AC19" s="233">
        <f>Model!$G$34/4</f>
        <v>-3.0019768025000002</v>
      </c>
      <c r="AD19" s="233">
        <f>Model!$G$34/4</f>
        <v>-3.0019768025000002</v>
      </c>
      <c r="AE19" s="233">
        <f>Model!$G$34/4</f>
        <v>-3.0019768025000002</v>
      </c>
      <c r="AF19" s="233">
        <f>Model!$G$34/4</f>
        <v>-3.0019768025000002</v>
      </c>
      <c r="AG19" s="233">
        <f>Model!$J$34/4</f>
        <v>-4.2799925050000001</v>
      </c>
      <c r="AH19" s="233">
        <f>Model!$J$34/4</f>
        <v>-4.2799925050000001</v>
      </c>
      <c r="AI19" s="233">
        <f>Model!$J$34/4</f>
        <v>-4.2799925050000001</v>
      </c>
      <c r="AJ19" s="233">
        <f>Model!$J$34/4</f>
        <v>-4.2799925050000001</v>
      </c>
      <c r="AK19" s="233">
        <f>Model!$J$34/4</f>
        <v>-4.2799925050000001</v>
      </c>
      <c r="AL19" s="233">
        <f>Model!$J$34/4</f>
        <v>-4.2799925050000001</v>
      </c>
      <c r="AM19" s="1946">
        <f>Model!$J$34/4</f>
        <v>-4.2799925050000001</v>
      </c>
      <c r="AN19" s="1943">
        <v>-4.2799925050000001</v>
      </c>
      <c r="AO19" s="497"/>
      <c r="AP19" s="498">
        <f>AM19/AN19-1</f>
        <v>0</v>
      </c>
      <c r="AQ19" s="499">
        <f>AM19/AI19-1</f>
        <v>0</v>
      </c>
      <c r="AR19" s="192">
        <f t="shared" si="0"/>
        <v>-17.11997002</v>
      </c>
      <c r="AS19" s="31" t="b">
        <f t="shared" si="1"/>
        <v>1</v>
      </c>
      <c r="AT19" s="31" t="e">
        <f>SUM(AG19:AI19,#REF!)=L19</f>
        <v>#REF!</v>
      </c>
    </row>
    <row r="20" spans="1:46" hidden="1" outlineLevel="2">
      <c r="A20" s="259"/>
      <c r="B20" s="259"/>
      <c r="C20" s="1080" t="s">
        <v>42</v>
      </c>
      <c r="D20" s="1081">
        <f t="shared" ref="D20:K20" si="10">D16-SUM(D18:D19)</f>
        <v>380.29419999999982</v>
      </c>
      <c r="E20" s="1081">
        <f t="shared" si="10"/>
        <v>326.3330636199999</v>
      </c>
      <c r="F20" s="1081">
        <f t="shared" si="10"/>
        <v>813.01567662999992</v>
      </c>
      <c r="G20" s="1081">
        <f t="shared" si="10"/>
        <v>1135.5715380600004</v>
      </c>
      <c r="H20" s="1081">
        <f t="shared" si="10"/>
        <v>1657.61910599</v>
      </c>
      <c r="I20" s="1081">
        <f t="shared" si="10"/>
        <v>1995.1044041999992</v>
      </c>
      <c r="J20" s="1081">
        <f t="shared" si="10"/>
        <v>2633.1921362300004</v>
      </c>
      <c r="K20" s="1938">
        <f t="shared" si="10"/>
        <v>4143.1355566200009</v>
      </c>
      <c r="L20" s="1939">
        <v>4232.6230342000872</v>
      </c>
      <c r="M20" s="1082"/>
      <c r="N20" s="1083">
        <f>K20/L20-1</f>
        <v>-2.1142321642399264E-2</v>
      </c>
      <c r="O20" s="1911">
        <f>+K20/J20-1</f>
        <v>0.57342698226032973</v>
      </c>
      <c r="P20" s="1014"/>
      <c r="Q20" s="1081">
        <f t="shared" ref="Q20:W20" si="11">Q16-SUM(Q18:Q19)</f>
        <v>238.68968571499991</v>
      </c>
      <c r="R20" s="1081">
        <f t="shared" si="11"/>
        <v>395.05528899499996</v>
      </c>
      <c r="S20" s="1081">
        <f t="shared" si="11"/>
        <v>350.24367462500004</v>
      </c>
      <c r="T20" s="1081">
        <f t="shared" si="11"/>
        <v>151.58288872500023</v>
      </c>
      <c r="U20" s="1081">
        <f t="shared" si="11"/>
        <v>475.55415358250019</v>
      </c>
      <c r="V20" s="1081">
        <f t="shared" si="11"/>
        <v>459.03407738250002</v>
      </c>
      <c r="W20" s="1081">
        <f t="shared" si="11"/>
        <v>436.09620436249924</v>
      </c>
      <c r="X20" s="1081">
        <f t="shared" ref="X20:AF20" si="12">X16-SUM(X18:X19)</f>
        <v>286.93467066250031</v>
      </c>
      <c r="Y20" s="1081">
        <f t="shared" si="12"/>
        <v>483.99429624249996</v>
      </c>
      <c r="Z20" s="1081">
        <f t="shared" si="12"/>
        <v>570.40809444249976</v>
      </c>
      <c r="AA20" s="1081">
        <f t="shared" si="12"/>
        <v>512.84742793250052</v>
      </c>
      <c r="AB20" s="1081">
        <f t="shared" si="12"/>
        <v>389.02601812249958</v>
      </c>
      <c r="AC20" s="1081">
        <f t="shared" si="12"/>
        <v>653.47797738250028</v>
      </c>
      <c r="AD20" s="1081">
        <f t="shared" si="12"/>
        <v>751.85087476249919</v>
      </c>
      <c r="AE20" s="1081">
        <f t="shared" si="12"/>
        <v>652.92100863250153</v>
      </c>
      <c r="AF20" s="1081">
        <f t="shared" si="12"/>
        <v>506.01595336250006</v>
      </c>
      <c r="AG20" s="1081">
        <f t="shared" ref="AG20:AL20" si="13">AG16-SUM(AG18:AG19)</f>
        <v>855.31131244999983</v>
      </c>
      <c r="AH20" s="1081">
        <f t="shared" si="13"/>
        <v>1308.5509135900008</v>
      </c>
      <c r="AI20" s="1081">
        <f t="shared" si="13"/>
        <v>1235.7123739600008</v>
      </c>
      <c r="AJ20" s="1081">
        <f t="shared" si="13"/>
        <v>743.56095661999984</v>
      </c>
      <c r="AK20" s="1081">
        <f t="shared" si="13"/>
        <v>1272.5328176700007</v>
      </c>
      <c r="AL20" s="1081">
        <f t="shared" si="13"/>
        <v>1741.2916328700019</v>
      </c>
      <c r="AM20" s="1938">
        <f t="shared" ref="AM20" si="14">AM16-SUM(AM18:AM19)</f>
        <v>1799.0087520199984</v>
      </c>
      <c r="AN20" s="1939">
        <v>1668.3369026132093</v>
      </c>
      <c r="AO20" s="497"/>
      <c r="AP20" s="1083">
        <f>AM20/AN20-1</f>
        <v>7.8324617289295961E-2</v>
      </c>
      <c r="AQ20" s="1083">
        <f>AM20/AI20-1</f>
        <v>0.45584748516747564</v>
      </c>
      <c r="AR20" s="192">
        <f t="shared" si="0"/>
        <v>4143.1355566200018</v>
      </c>
      <c r="AS20" s="31" t="b">
        <f t="shared" si="1"/>
        <v>1</v>
      </c>
      <c r="AT20" s="31" t="e">
        <f>SUM(AG20:AI20,#REF!)=L20</f>
        <v>#REF!</v>
      </c>
    </row>
    <row r="21" spans="1:46" collapsed="1">
      <c r="A21" s="259"/>
      <c r="B21" s="259"/>
      <c r="C21" s="31" t="s">
        <v>1808</v>
      </c>
      <c r="D21" s="192"/>
      <c r="E21" s="192"/>
      <c r="F21" s="192"/>
      <c r="G21" s="192"/>
      <c r="H21" s="192"/>
      <c r="I21" s="192"/>
      <c r="J21" s="192"/>
      <c r="K21" s="1940"/>
      <c r="L21" s="1941"/>
      <c r="M21" s="192"/>
      <c r="N21" s="253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>
        <f t="shared" ref="AG21:AK21" si="15">AG11+AG13+AG14</f>
        <v>779.65010523999968</v>
      </c>
      <c r="AH21" s="192">
        <f t="shared" si="15"/>
        <v>1284.0511413100005</v>
      </c>
      <c r="AI21" s="192">
        <f t="shared" si="15"/>
        <v>1175.5074869300006</v>
      </c>
      <c r="AJ21" s="192">
        <f t="shared" si="15"/>
        <v>688.67722904000004</v>
      </c>
      <c r="AK21" s="192">
        <f t="shared" si="15"/>
        <v>1210.1844714700003</v>
      </c>
      <c r="AL21" s="192">
        <f>AL11+AL13+AL14</f>
        <v>1664.0750730000018</v>
      </c>
      <c r="AM21" s="1940">
        <f>AM11+AM13+AM14</f>
        <v>1655.5502196499983</v>
      </c>
      <c r="AN21" s="1941">
        <f>AN11+AN13+AN14</f>
        <v>1638.6702290164637</v>
      </c>
      <c r="AO21" s="497"/>
      <c r="AP21" s="498">
        <f>(AM21/AN21-1)</f>
        <v>1.0301029660901406E-2</v>
      </c>
      <c r="AQ21" s="498">
        <f>(AM21/AI21-1)</f>
        <v>0.40837062975557514</v>
      </c>
      <c r="AR21" s="192">
        <f t="shared" si="0"/>
        <v>3927.8859625200007</v>
      </c>
      <c r="AS21" s="31" t="b">
        <f t="shared" si="1"/>
        <v>0</v>
      </c>
      <c r="AT21" s="31" t="e">
        <f>SUM(AG21:AI21,#REF!)=L21</f>
        <v>#REF!</v>
      </c>
    </row>
    <row r="22" spans="1:46" outlineLevel="1">
      <c r="A22" s="259" t="str">
        <f>Model!B39</f>
        <v>Interest income</v>
      </c>
      <c r="B22" s="259" t="str">
        <f>'Raw Data'!B38</f>
        <v>Interest income</v>
      </c>
      <c r="C22" s="264" t="s">
        <v>34</v>
      </c>
      <c r="D22" s="263"/>
      <c r="E22" s="263"/>
      <c r="F22" s="263"/>
      <c r="G22" s="263"/>
      <c r="H22" s="263"/>
      <c r="I22" s="263"/>
      <c r="J22" s="263"/>
      <c r="K22" s="1942"/>
      <c r="L22" s="1943"/>
      <c r="M22" s="233"/>
      <c r="N22" s="263"/>
      <c r="O22" s="1912" t="str">
        <f>IF(ISERROR(#REF!/K22-1)," ",(#REF!/K22-1))</f>
        <v xml:space="preserve"> </v>
      </c>
      <c r="Q22" s="263"/>
      <c r="R22" s="263"/>
      <c r="S22" s="263"/>
      <c r="T22" s="263"/>
      <c r="U22" s="263"/>
      <c r="V22" s="263"/>
      <c r="W22" s="263"/>
      <c r="X22" s="263"/>
      <c r="Y22" s="263"/>
      <c r="Z22" s="263"/>
      <c r="AA22" s="263"/>
      <c r="AB22" s="263"/>
      <c r="AC22" s="263"/>
      <c r="AD22" s="263"/>
      <c r="AE22" s="263"/>
      <c r="AF22" s="263"/>
      <c r="AG22" s="263"/>
      <c r="AH22" s="263"/>
      <c r="AI22" s="263"/>
      <c r="AJ22" s="263"/>
      <c r="AK22" s="263"/>
      <c r="AL22" s="263"/>
      <c r="AM22" s="1942"/>
      <c r="AN22" s="1943"/>
      <c r="AO22" s="497"/>
      <c r="AP22" s="498"/>
      <c r="AQ22" s="498"/>
      <c r="AR22" s="192">
        <f t="shared" si="0"/>
        <v>0</v>
      </c>
      <c r="AS22" s="31" t="b">
        <f t="shared" si="1"/>
        <v>1</v>
      </c>
      <c r="AT22" s="31" t="e">
        <f>SUM(AG22:AI22,#REF!)=L22</f>
        <v>#REF!</v>
      </c>
    </row>
    <row r="23" spans="1:46" outlineLevel="1">
      <c r="A23" s="259" t="str">
        <f>Model!B40</f>
        <v>Interest expense</v>
      </c>
      <c r="B23" s="259" t="str">
        <f>'Raw Data'!B93</f>
        <v>Total finance costs</v>
      </c>
      <c r="C23" s="31" t="s">
        <v>32</v>
      </c>
      <c r="D23" s="233"/>
      <c r="E23" s="233"/>
      <c r="F23" s="233"/>
      <c r="G23" s="233"/>
      <c r="H23" s="233"/>
      <c r="I23" s="233"/>
      <c r="J23" s="233"/>
      <c r="K23" s="1946"/>
      <c r="L23" s="1947"/>
      <c r="M23" s="233"/>
      <c r="N23" s="233"/>
      <c r="O23" s="1913" t="str">
        <f>IF(ISERROR(#REF!/K23-1)," ",(#REF!/K23-1))</f>
        <v xml:space="preserve"> </v>
      </c>
      <c r="Q23" s="233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1946"/>
      <c r="AN23" s="1947"/>
      <c r="AO23" s="497"/>
      <c r="AP23" s="499"/>
      <c r="AQ23" s="499"/>
      <c r="AR23" s="192">
        <f t="shared" si="0"/>
        <v>0</v>
      </c>
      <c r="AS23" s="31" t="b">
        <f t="shared" si="1"/>
        <v>1</v>
      </c>
      <c r="AT23" s="31" t="e">
        <f>SUM(AG23:AI23,#REF!)=L23</f>
        <v>#REF!</v>
      </c>
    </row>
    <row r="24" spans="1:46">
      <c r="A24" s="259"/>
      <c r="B24" s="259"/>
      <c r="C24" s="264" t="s">
        <v>30</v>
      </c>
      <c r="D24" s="263">
        <f>Segment!F53</f>
        <v>-10.454000000000001</v>
      </c>
      <c r="E24" s="263">
        <f>Segment!G53</f>
        <v>-5.0820752200000001</v>
      </c>
      <c r="F24" s="263">
        <f>Segment!H53</f>
        <v>13.965657160000001</v>
      </c>
      <c r="G24" s="263">
        <f>Segment!I53</f>
        <v>15.930939990000001</v>
      </c>
      <c r="H24" s="263">
        <f>Segment!J53</f>
        <v>11.39395732</v>
      </c>
      <c r="I24" s="263">
        <f>Segment!K53</f>
        <v>-41.039483529999998</v>
      </c>
      <c r="J24" s="263">
        <f>Segment!L53</f>
        <v>-2.28561682</v>
      </c>
      <c r="K24" s="1942">
        <f>Segment!M53</f>
        <v>190.5357315</v>
      </c>
      <c r="L24" s="1943">
        <v>91.666162252523506</v>
      </c>
      <c r="M24" s="233"/>
      <c r="N24" s="498">
        <f>K24/L24-1</f>
        <v>1.0785830541820758</v>
      </c>
      <c r="O24" s="1929" t="s">
        <v>1351</v>
      </c>
      <c r="Q24" s="263">
        <f>-Segment!BB53</f>
        <v>3.7269526499999999</v>
      </c>
      <c r="R24" s="263">
        <f>-Segment!BC53</f>
        <v>3.0950473500000002</v>
      </c>
      <c r="S24" s="263">
        <f>-Segment!BD53</f>
        <v>4.619569470000001</v>
      </c>
      <c r="T24" s="263">
        <f>-Segment!BE53</f>
        <v>-27.372509460000003</v>
      </c>
      <c r="U24" s="263">
        <f>-Segment!BF53</f>
        <v>2.3103463500000001</v>
      </c>
      <c r="V24" s="263">
        <f>-Segment!BG53</f>
        <v>1.9861141999999998</v>
      </c>
      <c r="W24" s="263">
        <f>-Segment!BH53</f>
        <v>6.3750548500000006</v>
      </c>
      <c r="X24" s="263">
        <f>-Segment!BI53</f>
        <v>-22.065472720000002</v>
      </c>
      <c r="Y24" s="263">
        <f>-Segment!BJ53</f>
        <v>-7.1531040399999997</v>
      </c>
      <c r="Z24" s="263">
        <f>-Segment!BK53</f>
        <v>-13.614283990000004</v>
      </c>
      <c r="AA24" s="263">
        <f>-Segment!BL53</f>
        <v>-13.885305319999997</v>
      </c>
      <c r="AB24" s="263">
        <f>-Segment!BM53</f>
        <v>-6.3867901799999984</v>
      </c>
      <c r="AC24" s="263">
        <f>-Segment!BN53</f>
        <v>5.9037631100000008</v>
      </c>
      <c r="AD24" s="263">
        <f>-Segment!BO53</f>
        <v>-0.61068727000000056</v>
      </c>
      <c r="AE24" s="263">
        <f>-Segment!BP53</f>
        <v>18.629631809999999</v>
      </c>
      <c r="AF24" s="263">
        <f>-Segment!BQ53</f>
        <v>-26.208324470000001</v>
      </c>
      <c r="AG24" s="263">
        <f>-Segment!BR53</f>
        <v>45.066576090000005</v>
      </c>
      <c r="AH24" s="263">
        <f>-Segment!BS53</f>
        <v>59.377861069999987</v>
      </c>
      <c r="AI24" s="263">
        <f>-Segment!BT53</f>
        <v>30.469263840000011</v>
      </c>
      <c r="AJ24" s="263">
        <f>-Segment!BU53</f>
        <v>55.622030499999994</v>
      </c>
      <c r="AK24" s="263">
        <f>-Segment!BV53</f>
        <v>18.06672721</v>
      </c>
      <c r="AL24" s="263">
        <f>-Segment!BW53</f>
        <v>46.155894979999999</v>
      </c>
      <c r="AM24" s="1942">
        <f>-Segment!BX53</f>
        <v>9.4679810700000075</v>
      </c>
      <c r="AN24" s="1943">
        <v>25.469263840000011</v>
      </c>
      <c r="AO24" s="497"/>
      <c r="AP24" s="498">
        <f>AM24/AN24-1</f>
        <v>-0.62825855001233499</v>
      </c>
      <c r="AQ24" s="498">
        <f>AM24/AI24-1</f>
        <v>-0.68926124635901265</v>
      </c>
      <c r="AR24" s="192">
        <f t="shared" si="0"/>
        <v>190.5357315</v>
      </c>
      <c r="AS24" s="31" t="b">
        <f t="shared" si="1"/>
        <v>1</v>
      </c>
      <c r="AT24" s="31" t="e">
        <f>SUM(AG24:AI24,#REF!)=L24</f>
        <v>#REF!</v>
      </c>
    </row>
    <row r="25" spans="1:46">
      <c r="A25" s="259" t="str">
        <f>Model!B47</f>
        <v>Other non-operating income/expense</v>
      </c>
      <c r="B25" s="259" t="str">
        <f>'Raw Data'!B49</f>
        <v>Other non operating income/expense</v>
      </c>
      <c r="C25" s="31" t="s">
        <v>26</v>
      </c>
      <c r="D25" s="233">
        <f>Segment!F56++Segment!F58+Segment!F59-Segment!F60</f>
        <v>19.9649</v>
      </c>
      <c r="E25" s="233">
        <f>Segment!G56++Segment!G58+Segment!G59-Segment!G60</f>
        <v>37.04835387</v>
      </c>
      <c r="F25" s="233">
        <f>Segment!H56++Segment!H58+Segment!H59-Segment!H60</f>
        <v>19.246075980000001</v>
      </c>
      <c r="G25" s="233">
        <f>Segment!I56++Segment!I58+Segment!I59-Segment!I60</f>
        <v>12.489925800000002</v>
      </c>
      <c r="H25" s="233">
        <f>Segment!J56++Segment!J58+Segment!J59-Segment!J60</f>
        <v>29.616555029999994</v>
      </c>
      <c r="I25" s="233">
        <f>Segment!K56++Segment!K58+Segment!K59-Segment!K60</f>
        <v>105.88620015000001</v>
      </c>
      <c r="J25" s="233">
        <f>Segment!L56++Segment!L58+Segment!L59-Segment!L60</f>
        <v>202.4035422</v>
      </c>
      <c r="K25" s="1946">
        <f>Segment!M56++Segment!M58+Segment!M59-Segment!M60</f>
        <v>116.69269706000003</v>
      </c>
      <c r="L25" s="1947">
        <v>160.99800392999998</v>
      </c>
      <c r="M25" s="233"/>
      <c r="N25" s="499">
        <f>K25/L25-1</f>
        <v>-0.27519165324101391</v>
      </c>
      <c r="O25" s="1913">
        <f>+K25/J25-1</f>
        <v>-0.42346514398106205</v>
      </c>
      <c r="Q25" s="233">
        <f>Segment!BB56++Segment!BB58+Segment!BB59-Segment!BB60</f>
        <v>-10.680692669999999</v>
      </c>
      <c r="R25" s="233">
        <f>Segment!BC56++Segment!BC58+Segment!BC59-Segment!BC60</f>
        <v>2.2769926699999985</v>
      </c>
      <c r="S25" s="233">
        <f>Segment!BD56++Segment!BD58+Segment!BD59-Segment!BD60</f>
        <v>11.521197720000002</v>
      </c>
      <c r="T25" s="233">
        <f>Segment!BE56++Segment!BE58+Segment!BE59-Segment!BE60</f>
        <v>9.3724280799999971</v>
      </c>
      <c r="U25" s="233">
        <f>Segment!BF56++Segment!BF58+Segment!BF59-Segment!BF60</f>
        <v>6.7116032099999998</v>
      </c>
      <c r="V25" s="233">
        <f>Segment!BG56++Segment!BG58+Segment!BG59-Segment!BG60</f>
        <v>6.8262856699999999</v>
      </c>
      <c r="W25" s="233">
        <f>Segment!BH56++Segment!BH58+Segment!BH59-Segment!BH60</f>
        <v>7.2202687299999972</v>
      </c>
      <c r="X25" s="233">
        <f>Segment!BI56++Segment!BI58+Segment!BI59-Segment!BI60</f>
        <v>8.8583974200000011</v>
      </c>
      <c r="Y25" s="233">
        <f>Segment!BJ56++Segment!BJ58+Segment!BJ59-Segment!BJ60</f>
        <v>8.7949188699999983</v>
      </c>
      <c r="Z25" s="233">
        <f>Segment!BK56++Segment!BK58+Segment!BK59-Segment!BK60</f>
        <v>11.137861090000001</v>
      </c>
      <c r="AA25" s="233">
        <f>Segment!BL56++Segment!BL58+Segment!BL59-Segment!BL60</f>
        <v>69.13762041999999</v>
      </c>
      <c r="AB25" s="233">
        <f>Segment!BM56++Segment!BM58+Segment!BM59-Segment!BM60</f>
        <v>16.815799770000002</v>
      </c>
      <c r="AC25" s="233">
        <f>Segment!BN56++Segment!BN58+Segment!BN59-Segment!BN60</f>
        <v>28.190481890000001</v>
      </c>
      <c r="AD25" s="233">
        <f>Segment!BO56++Segment!BO58+Segment!BO59-Segment!BO60</f>
        <v>55.909768980000003</v>
      </c>
      <c r="AE25" s="233">
        <f>Segment!BP56++Segment!BP58+Segment!BP59-Segment!BP60</f>
        <v>54.701664179999995</v>
      </c>
      <c r="AF25" s="233">
        <f>Segment!BQ56++Segment!BQ58+Segment!BQ59-Segment!BQ60</f>
        <v>63.601627149999999</v>
      </c>
      <c r="AG25" s="233">
        <f>Segment!BR56++Segment!BR58+Segment!BR59-Segment!BR60</f>
        <v>15.103276460000004</v>
      </c>
      <c r="AH25" s="233">
        <f>Segment!BS56++Segment!BS58+Segment!BS59-Segment!BS60</f>
        <v>30.057254009999998</v>
      </c>
      <c r="AI25" s="233">
        <f>Segment!BT56++Segment!BT58+Segment!BT59-Segment!BT60</f>
        <v>31.613452280000004</v>
      </c>
      <c r="AJ25" s="233">
        <f>Segment!BU56++Segment!BU58+Segment!BU59-Segment!BU60</f>
        <v>39.918714310000006</v>
      </c>
      <c r="AK25" s="233">
        <f>Segment!BV56++Segment!BV58+Segment!BV59-Segment!BV60</f>
        <v>28.353444400000001</v>
      </c>
      <c r="AL25" s="233">
        <f>Segment!BW56++Segment!BW58+Segment!BW59-Segment!BW60</f>
        <v>66.694801519999999</v>
      </c>
      <c r="AM25" s="1946">
        <f>Segment!BX56++Segment!BX58+Segment!BX59-Segment!BX60</f>
        <v>53.494099509999998</v>
      </c>
      <c r="AN25" s="1943">
        <v>34.613452280000004</v>
      </c>
      <c r="AO25" s="497"/>
      <c r="AP25" s="499">
        <f>AM25/AN25-1</f>
        <v>0.54547136983817768</v>
      </c>
      <c r="AQ25" s="499">
        <f>AM25/AI25-1</f>
        <v>0.6921309016238828</v>
      </c>
      <c r="AR25" s="192">
        <f t="shared" si="0"/>
        <v>116.69269706</v>
      </c>
      <c r="AS25" s="31" t="b">
        <f t="shared" si="1"/>
        <v>1</v>
      </c>
      <c r="AT25" s="31" t="e">
        <f>SUM(AG25:AI25,#REF!)=L25</f>
        <v>#REF!</v>
      </c>
    </row>
    <row r="26" spans="1:46">
      <c r="A26" s="259"/>
      <c r="B26" s="259" t="str">
        <f>'Raw Data'!B51</f>
        <v>Pre-tax profits</v>
      </c>
      <c r="C26" s="1080" t="s">
        <v>852</v>
      </c>
      <c r="D26" s="1081">
        <f t="shared" ref="D26:J26" si="16">D16+D24+D25</f>
        <v>389.80509999999981</v>
      </c>
      <c r="E26" s="1081">
        <f t="shared" si="16"/>
        <v>273.32785420999988</v>
      </c>
      <c r="F26" s="1081">
        <f t="shared" si="16"/>
        <v>736.50294468999982</v>
      </c>
      <c r="G26" s="1081">
        <f t="shared" si="16"/>
        <v>1029.5496544300004</v>
      </c>
      <c r="H26" s="1081">
        <f t="shared" si="16"/>
        <v>1513.5168144100001</v>
      </c>
      <c r="I26" s="1081">
        <f t="shared" si="16"/>
        <v>1836.0097494299989</v>
      </c>
      <c r="J26" s="1081">
        <f t="shared" si="16"/>
        <v>2579.2709355900006</v>
      </c>
      <c r="K26" s="1938">
        <f>K16+K24+K25</f>
        <v>4107.3122987000006</v>
      </c>
      <c r="L26" s="1939">
        <v>4128.7716478092043</v>
      </c>
      <c r="M26" s="1082"/>
      <c r="N26" s="1083">
        <f>K26/L26-1</f>
        <v>-5.1975141615280274E-3</v>
      </c>
      <c r="O26" s="1911">
        <f>+K26/J26-1</f>
        <v>0.59243150536276068</v>
      </c>
      <c r="P26" s="1014"/>
      <c r="Q26" s="1081">
        <f t="shared" ref="Q26:W26" si="17">Q16+Q24+Q25</f>
        <v>198.1252583399999</v>
      </c>
      <c r="R26" s="1081">
        <f t="shared" si="17"/>
        <v>366.81664165999996</v>
      </c>
      <c r="S26" s="1081">
        <f t="shared" si="17"/>
        <v>332.77375446000002</v>
      </c>
      <c r="T26" s="1081">
        <f t="shared" si="17"/>
        <v>99.972119990000209</v>
      </c>
      <c r="U26" s="1081">
        <f t="shared" si="17"/>
        <v>438.29790216000021</v>
      </c>
      <c r="V26" s="1081">
        <f t="shared" si="17"/>
        <v>421.56827627000001</v>
      </c>
      <c r="W26" s="1081">
        <f t="shared" si="17"/>
        <v>403.41332695999927</v>
      </c>
      <c r="X26" s="1081">
        <f t="shared" ref="X26:AJ26" si="18">X16+X24+X25</f>
        <v>227.44939438000031</v>
      </c>
      <c r="Y26" s="1081">
        <f t="shared" si="18"/>
        <v>439.35791008999996</v>
      </c>
      <c r="Z26" s="1081">
        <f t="shared" si="18"/>
        <v>521.65347055999973</v>
      </c>
      <c r="AA26" s="1081">
        <f t="shared" si="18"/>
        <v>521.82154205000052</v>
      </c>
      <c r="AB26" s="1081">
        <f t="shared" si="18"/>
        <v>353.17682672999962</v>
      </c>
      <c r="AC26" s="1081">
        <f t="shared" si="18"/>
        <v>641.29402140000025</v>
      </c>
      <c r="AD26" s="1081">
        <f t="shared" si="18"/>
        <v>760.87175548999915</v>
      </c>
      <c r="AE26" s="1081">
        <f t="shared" si="18"/>
        <v>679.97410364000143</v>
      </c>
      <c r="AF26" s="1081">
        <f t="shared" si="18"/>
        <v>497.13105506000011</v>
      </c>
      <c r="AG26" s="1081">
        <f t="shared" si="18"/>
        <v>829.71824337999976</v>
      </c>
      <c r="AH26" s="1081">
        <f t="shared" si="18"/>
        <v>1312.2231070500006</v>
      </c>
      <c r="AI26" s="1081">
        <f t="shared" si="18"/>
        <v>1212.0321684600008</v>
      </c>
      <c r="AJ26" s="1081">
        <f t="shared" si="18"/>
        <v>753.33877980999978</v>
      </c>
      <c r="AK26" s="1081">
        <f>AK16+AK24+AK25</f>
        <v>1233.1900676600005</v>
      </c>
      <c r="AL26" s="1081">
        <f>AL16+AL24+AL25</f>
        <v>1768.379407750002</v>
      </c>
      <c r="AM26" s="1938">
        <f>AM16+AM24+AM25</f>
        <v>1776.2079109799984</v>
      </c>
      <c r="AN26" s="1939">
        <v>1642.6566971132092</v>
      </c>
      <c r="AO26" s="497"/>
      <c r="AP26" s="1083">
        <f>AM26/AN26-1</f>
        <v>8.1301962912573744E-2</v>
      </c>
      <c r="AQ26" s="1083">
        <f>AM26/AI26-1</f>
        <v>0.46547918215474038</v>
      </c>
      <c r="AR26" s="192">
        <f t="shared" si="0"/>
        <v>4107.3122987000006</v>
      </c>
      <c r="AS26" s="31" t="b">
        <f t="shared" si="1"/>
        <v>1</v>
      </c>
      <c r="AT26" s="31" t="e">
        <f>SUM(AG26:AI26,#REF!)=L26</f>
        <v>#REF!</v>
      </c>
    </row>
    <row r="27" spans="1:46">
      <c r="A27" s="259"/>
      <c r="B27" s="259" t="str">
        <f>'Raw Data'!B49</f>
        <v>Other non operating income/expense</v>
      </c>
      <c r="D27" s="192"/>
      <c r="E27" s="192"/>
      <c r="F27" s="192"/>
      <c r="G27" s="192"/>
      <c r="H27" s="192"/>
      <c r="I27" s="192"/>
      <c r="J27" s="192"/>
      <c r="K27" s="1940"/>
      <c r="L27" s="1941"/>
      <c r="M27" s="192"/>
      <c r="N27" s="253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40"/>
      <c r="AN27" s="1941"/>
      <c r="AO27" s="497"/>
      <c r="AP27" s="253"/>
      <c r="AQ27" s="253"/>
      <c r="AR27" s="192">
        <f t="shared" si="0"/>
        <v>0</v>
      </c>
      <c r="AS27" s="31" t="b">
        <f t="shared" si="1"/>
        <v>1</v>
      </c>
      <c r="AT27" s="31" t="e">
        <f>SUM(AG27:AI27,#REF!)=L27</f>
        <v>#REF!</v>
      </c>
    </row>
    <row r="28" spans="1:46">
      <c r="A28" s="259" t="str">
        <f>Model!B53</f>
        <v>Income taxes</v>
      </c>
      <c r="B28" s="259" t="str">
        <f>'Raw Data'!B54</f>
        <v>Taxation</v>
      </c>
      <c r="C28" s="264" t="s">
        <v>22</v>
      </c>
      <c r="D28" s="263">
        <f>-Segment!F62</f>
        <v>-93.639300000000006</v>
      </c>
      <c r="E28" s="263">
        <f>-Segment!G62</f>
        <v>-57.496913749999997</v>
      </c>
      <c r="F28" s="263">
        <f>-Segment!H62</f>
        <v>-165.92903487000001</v>
      </c>
      <c r="G28" s="263">
        <f>-Segment!I62</f>
        <v>-217.48613861000001</v>
      </c>
      <c r="H28" s="263">
        <f>-Segment!J62</f>
        <v>-320.55640682000001</v>
      </c>
      <c r="I28" s="263">
        <f>-Segment!K62</f>
        <v>-395.48917806999998</v>
      </c>
      <c r="J28" s="263">
        <f>-Segment!L62</f>
        <v>-539.49813166999991</v>
      </c>
      <c r="K28" s="1942">
        <f>-Segment!M62</f>
        <v>-780.88329400999999</v>
      </c>
      <c r="L28" s="1943">
        <v>-822.31469122151077</v>
      </c>
      <c r="M28" s="233"/>
      <c r="N28" s="498">
        <f>K28/L28-1</f>
        <v>-5.0383870863314306E-2</v>
      </c>
      <c r="O28" s="1912">
        <f>+K28/J28-1</f>
        <v>0.44742539069190057</v>
      </c>
      <c r="Q28" s="263">
        <f>-Segment!BB62</f>
        <v>-44.475694170000004</v>
      </c>
      <c r="R28" s="263">
        <f>-Segment!BC62</f>
        <v>-79.157005830000003</v>
      </c>
      <c r="S28" s="263">
        <f>-Segment!BD62</f>
        <v>-70.040576369999997</v>
      </c>
      <c r="T28" s="263">
        <f>-Segment!BE62</f>
        <v>-23.812862240000015</v>
      </c>
      <c r="U28" s="263">
        <f>-Segment!BF62</f>
        <v>-96.408436599999987</v>
      </c>
      <c r="V28" s="263">
        <f>-Segment!BG62</f>
        <v>-87.631611390000018</v>
      </c>
      <c r="W28" s="263">
        <f>-Segment!BH62</f>
        <v>-83.205507909999994</v>
      </c>
      <c r="X28" s="263">
        <f>-Segment!BI62</f>
        <v>-53.310850920000007</v>
      </c>
      <c r="Y28" s="263">
        <f>-Segment!BJ62</f>
        <v>-94.708990319999998</v>
      </c>
      <c r="Z28" s="263">
        <f>-Segment!BK62</f>
        <v>-111.67261341</v>
      </c>
      <c r="AA28" s="263">
        <f>-Segment!BL62</f>
        <v>-110.94526862000004</v>
      </c>
      <c r="AB28" s="263">
        <f>-Segment!BM62</f>
        <v>-78.162305719999949</v>
      </c>
      <c r="AC28" s="263">
        <f>-Segment!BN62</f>
        <v>-144.04229140000001</v>
      </c>
      <c r="AD28" s="263">
        <f>-Segment!BO62</f>
        <v>-150.00323636999997</v>
      </c>
      <c r="AE28" s="263">
        <f>-Segment!BP62</f>
        <v>-132.49349839000007</v>
      </c>
      <c r="AF28" s="263">
        <f>-Segment!BQ62</f>
        <v>-112.95910550999986</v>
      </c>
      <c r="AG28" s="263">
        <f>-Segment!BR62</f>
        <v>-165.83784508000002</v>
      </c>
      <c r="AH28" s="263">
        <f>-Segment!BS62</f>
        <v>-245.51200655999997</v>
      </c>
      <c r="AI28" s="263">
        <f>-Segment!BT62</f>
        <v>-235.2312598100001</v>
      </c>
      <c r="AJ28" s="263">
        <f>-Segment!BU62</f>
        <v>-134.30218255999989</v>
      </c>
      <c r="AK28" s="263">
        <f>-Segment!BV62</f>
        <v>-253.23469449999999</v>
      </c>
      <c r="AL28" s="263">
        <f>-Segment!BW62</f>
        <v>-373.82021710999999</v>
      </c>
      <c r="AM28" s="1942">
        <f>-Segment!BX62</f>
        <v>-390.90975564000007</v>
      </c>
      <c r="AN28" s="1943">
        <v>-321.96071263418889</v>
      </c>
      <c r="AO28" s="496"/>
      <c r="AP28" s="498">
        <f>AM28/AN28-1</f>
        <v>0.21415359172766824</v>
      </c>
      <c r="AQ28" s="498">
        <f>AM28/AI28-1</f>
        <v>0.66181040715313055</v>
      </c>
      <c r="AR28" s="192">
        <f t="shared" si="0"/>
        <v>-780.88329400999999</v>
      </c>
      <c r="AS28" s="31" t="b">
        <f t="shared" si="1"/>
        <v>1</v>
      </c>
      <c r="AT28" s="31" t="e">
        <f>SUM(AG28:AI28,#REF!)=L28</f>
        <v>#REF!</v>
      </c>
    </row>
    <row r="29" spans="1:46">
      <c r="A29" s="259"/>
      <c r="B29" s="259"/>
      <c r="C29" s="266"/>
      <c r="D29" s="265"/>
      <c r="E29" s="265"/>
      <c r="F29" s="265"/>
      <c r="G29" s="265"/>
      <c r="H29" s="265"/>
      <c r="I29" s="265"/>
      <c r="J29" s="265"/>
      <c r="K29" s="1948"/>
      <c r="L29" s="1949"/>
      <c r="M29" s="254"/>
      <c r="N29" s="256"/>
      <c r="O29" s="1914"/>
      <c r="Q29" s="265"/>
      <c r="R29" s="265"/>
      <c r="S29" s="265"/>
      <c r="T29" s="265"/>
      <c r="U29" s="265"/>
      <c r="V29" s="265"/>
      <c r="W29" s="265"/>
      <c r="X29" s="265"/>
      <c r="Y29" s="265"/>
      <c r="Z29" s="265"/>
      <c r="AA29" s="265"/>
      <c r="AB29" s="265"/>
      <c r="AC29" s="265"/>
      <c r="AD29" s="265"/>
      <c r="AE29" s="265"/>
      <c r="AF29" s="265"/>
      <c r="AG29" s="265"/>
      <c r="AH29" s="265"/>
      <c r="AI29" s="265"/>
      <c r="AJ29" s="265"/>
      <c r="AK29" s="265"/>
      <c r="AL29" s="265"/>
      <c r="AM29" s="1948"/>
      <c r="AN29" s="1949"/>
      <c r="AO29" s="497"/>
      <c r="AP29" s="256"/>
      <c r="AQ29" s="256"/>
      <c r="AR29" s="192">
        <f t="shared" si="0"/>
        <v>0</v>
      </c>
      <c r="AS29" s="31" t="b">
        <f t="shared" si="1"/>
        <v>1</v>
      </c>
      <c r="AT29" s="31" t="e">
        <f>SUM(AG29:AI29,#REF!)=L29</f>
        <v>#REF!</v>
      </c>
    </row>
    <row r="30" spans="1:46">
      <c r="A30" s="259" t="str">
        <f>Model!B54</f>
        <v>Minority interest</v>
      </c>
      <c r="B30" s="259" t="str">
        <f>'Raw Data'!B55</f>
        <v>Minority interest</v>
      </c>
      <c r="C30" s="264" t="s">
        <v>18</v>
      </c>
      <c r="D30" s="263">
        <f>-Segment!F64</f>
        <v>0</v>
      </c>
      <c r="E30" s="263">
        <f>-Segment!G64</f>
        <v>0</v>
      </c>
      <c r="F30" s="263">
        <f>-Segment!H64</f>
        <v>0</v>
      </c>
      <c r="G30" s="263">
        <f>-Segment!I64</f>
        <v>0</v>
      </c>
      <c r="H30" s="263">
        <f>-Segment!J64</f>
        <v>0</v>
      </c>
      <c r="I30" s="263">
        <f>-Segment!K64</f>
        <v>0</v>
      </c>
      <c r="J30" s="263">
        <f>-Segment!L64</f>
        <v>0</v>
      </c>
      <c r="K30" s="1942">
        <f>-Segment!M64</f>
        <v>0.27984775000000001</v>
      </c>
      <c r="L30" s="1943">
        <v>0</v>
      </c>
      <c r="M30" s="233"/>
      <c r="N30" s="498"/>
      <c r="O30" s="1912"/>
      <c r="Q30" s="263">
        <f>-Segment!BB64</f>
        <v>0</v>
      </c>
      <c r="R30" s="263">
        <f>-Segment!BC64</f>
        <v>0</v>
      </c>
      <c r="S30" s="263">
        <f>-Segment!BD64</f>
        <v>0</v>
      </c>
      <c r="T30" s="263">
        <f>-Segment!BE64</f>
        <v>0</v>
      </c>
      <c r="U30" s="263">
        <f>-Segment!BF64</f>
        <v>0</v>
      </c>
      <c r="V30" s="263">
        <f>-Segment!BG64</f>
        <v>0</v>
      </c>
      <c r="W30" s="263">
        <f>-Segment!BH64</f>
        <v>0</v>
      </c>
      <c r="X30" s="263">
        <f>-Segment!BI64</f>
        <v>0</v>
      </c>
      <c r="Y30" s="263">
        <f>-Segment!BJ64</f>
        <v>0</v>
      </c>
      <c r="Z30" s="263">
        <f>-Segment!BK64</f>
        <v>0</v>
      </c>
      <c r="AA30" s="263">
        <f>-Segment!BL64</f>
        <v>0</v>
      </c>
      <c r="AB30" s="263">
        <f>-Segment!BM64</f>
        <v>0</v>
      </c>
      <c r="AC30" s="263">
        <f>-Segment!BN64</f>
        <v>0</v>
      </c>
      <c r="AD30" s="263">
        <f>-Segment!BO64</f>
        <v>0</v>
      </c>
      <c r="AE30" s="263">
        <f>-Segment!BP64</f>
        <v>0</v>
      </c>
      <c r="AF30" s="263">
        <f>-Segment!BQ64</f>
        <v>0</v>
      </c>
      <c r="AG30" s="263">
        <f>-Segment!BR64</f>
        <v>0</v>
      </c>
      <c r="AH30" s="263">
        <f>-Segment!BS64</f>
        <v>0</v>
      </c>
      <c r="AI30" s="263">
        <f>-Segment!BT64</f>
        <v>0</v>
      </c>
      <c r="AJ30" s="263">
        <f>-Segment!BU64</f>
        <v>0.27984775000000001</v>
      </c>
      <c r="AK30" s="263">
        <f>-Segment!BV64</f>
        <v>5.41571E-2</v>
      </c>
      <c r="AL30" s="263">
        <f>-Segment!BW64</f>
        <v>0.18206454</v>
      </c>
      <c r="AM30" s="1942">
        <f>-Segment!BX64</f>
        <v>0.87434546000000013</v>
      </c>
      <c r="AN30" s="1943">
        <v>0</v>
      </c>
      <c r="AO30" s="497"/>
      <c r="AP30" s="498"/>
      <c r="AQ30" s="498"/>
      <c r="AR30" s="192">
        <f t="shared" si="0"/>
        <v>0.27984775000000001</v>
      </c>
      <c r="AS30" s="31" t="b">
        <f t="shared" si="1"/>
        <v>1</v>
      </c>
      <c r="AT30" s="31" t="e">
        <f>SUM(AG30:AI30,#REF!)=L30</f>
        <v>#REF!</v>
      </c>
    </row>
    <row r="31" spans="1:46" hidden="1" outlineLevel="1">
      <c r="A31" s="259" t="str">
        <f>+Model!B55</f>
        <v>Preferred dividends</v>
      </c>
      <c r="B31" s="259" t="str">
        <f>+'Raw Data'!B56</f>
        <v>Preferred dividend</v>
      </c>
      <c r="C31" s="31" t="s">
        <v>649</v>
      </c>
      <c r="D31" s="263"/>
      <c r="E31" s="263"/>
      <c r="F31" s="263"/>
      <c r="G31" s="263"/>
      <c r="H31" s="263"/>
      <c r="I31" s="263"/>
      <c r="J31" s="263"/>
      <c r="K31" s="1942"/>
      <c r="L31" s="1943"/>
      <c r="M31" s="233"/>
      <c r="N31" s="498"/>
      <c r="O31" s="1912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263"/>
      <c r="AJ31" s="263"/>
      <c r="AK31" s="263"/>
      <c r="AL31" s="263"/>
      <c r="AM31" s="1942"/>
      <c r="AN31" s="1943"/>
      <c r="AO31" s="497"/>
      <c r="AP31" s="498"/>
      <c r="AQ31" s="498"/>
      <c r="AR31" s="192">
        <f t="shared" si="0"/>
        <v>0</v>
      </c>
      <c r="AS31" s="31" t="b">
        <f t="shared" si="1"/>
        <v>1</v>
      </c>
      <c r="AT31" s="31" t="e">
        <f>SUM(AG31:AI31,#REF!)=L31</f>
        <v>#REF!</v>
      </c>
    </row>
    <row r="32" spans="1:46" collapsed="1">
      <c r="A32" s="259" t="str">
        <f>+Model!B56</f>
        <v>Extraordinary gain/(loss)</v>
      </c>
      <c r="B32" s="259" t="str">
        <f>+'Raw Data'!B60</f>
        <v>Extraordinary gain/(loss)</v>
      </c>
      <c r="C32" s="1080" t="s">
        <v>16</v>
      </c>
      <c r="D32" s="1081">
        <f t="shared" ref="D32:K32" si="19">D26+D28+D30</f>
        <v>296.16579999999982</v>
      </c>
      <c r="E32" s="1081">
        <f t="shared" si="19"/>
        <v>215.83094045999988</v>
      </c>
      <c r="F32" s="1081">
        <f t="shared" si="19"/>
        <v>570.57390981999981</v>
      </c>
      <c r="G32" s="1081">
        <f t="shared" si="19"/>
        <v>812.06351582000036</v>
      </c>
      <c r="H32" s="1081">
        <f t="shared" si="19"/>
        <v>1192.9604075900002</v>
      </c>
      <c r="I32" s="1081">
        <f t="shared" si="19"/>
        <v>1440.5205713599989</v>
      </c>
      <c r="J32" s="1081">
        <f t="shared" si="19"/>
        <v>2039.7728039200006</v>
      </c>
      <c r="K32" s="1938">
        <f t="shared" si="19"/>
        <v>3326.7088524400006</v>
      </c>
      <c r="L32" s="1939">
        <v>3306.4569565876936</v>
      </c>
      <c r="M32" s="1082"/>
      <c r="N32" s="1083">
        <f>K32/L32-1</f>
        <v>6.1249537248497798E-3</v>
      </c>
      <c r="O32" s="1911">
        <f>+K32/J32-1</f>
        <v>0.63092127027421308</v>
      </c>
      <c r="P32" s="1014"/>
      <c r="Q32" s="1081">
        <f t="shared" ref="Q32:W32" si="20">Q26+Q28+Q30</f>
        <v>153.64956416999991</v>
      </c>
      <c r="R32" s="1081">
        <f t="shared" si="20"/>
        <v>287.65963582999996</v>
      </c>
      <c r="S32" s="1081">
        <f t="shared" si="20"/>
        <v>262.73317809000002</v>
      </c>
      <c r="T32" s="1081">
        <f t="shared" si="20"/>
        <v>76.159257750000194</v>
      </c>
      <c r="U32" s="1081">
        <f t="shared" si="20"/>
        <v>341.88946556000019</v>
      </c>
      <c r="V32" s="1081">
        <f t="shared" si="20"/>
        <v>333.93666487999997</v>
      </c>
      <c r="W32" s="1081">
        <f t="shared" si="20"/>
        <v>320.20781904999927</v>
      </c>
      <c r="X32" s="1081">
        <f t="shared" ref="X32:AF32" si="21">X26+X28+X30</f>
        <v>174.13854346000031</v>
      </c>
      <c r="Y32" s="1081">
        <f t="shared" si="21"/>
        <v>344.64891976999996</v>
      </c>
      <c r="Z32" s="1081">
        <f t="shared" si="21"/>
        <v>409.98085714999974</v>
      </c>
      <c r="AA32" s="1081">
        <f t="shared" si="21"/>
        <v>410.87627343000048</v>
      </c>
      <c r="AB32" s="1081">
        <f t="shared" si="21"/>
        <v>275.01452100999967</v>
      </c>
      <c r="AC32" s="1081">
        <f t="shared" si="21"/>
        <v>497.25173000000024</v>
      </c>
      <c r="AD32" s="1081">
        <f t="shared" si="21"/>
        <v>610.86851911999918</v>
      </c>
      <c r="AE32" s="1081">
        <f t="shared" si="21"/>
        <v>547.48060525000142</v>
      </c>
      <c r="AF32" s="1081">
        <f t="shared" si="21"/>
        <v>384.17194955000025</v>
      </c>
      <c r="AG32" s="1081">
        <f t="shared" ref="AG32:AL32" si="22">AG26+AG28+AG30</f>
        <v>663.8803982999998</v>
      </c>
      <c r="AH32" s="1081">
        <f t="shared" si="22"/>
        <v>1066.7111004900007</v>
      </c>
      <c r="AI32" s="1081">
        <f t="shared" si="22"/>
        <v>976.80090865000068</v>
      </c>
      <c r="AJ32" s="1081">
        <f t="shared" si="22"/>
        <v>619.31644499999993</v>
      </c>
      <c r="AK32" s="1081">
        <f t="shared" si="22"/>
        <v>980.00953026000059</v>
      </c>
      <c r="AL32" s="1081">
        <f t="shared" si="22"/>
        <v>1394.7412551800021</v>
      </c>
      <c r="AM32" s="1938">
        <f>AM26+AM28+AM30</f>
        <v>1386.1725007999983</v>
      </c>
      <c r="AN32" s="1939">
        <v>1320.6959844790204</v>
      </c>
      <c r="AO32" s="497"/>
      <c r="AP32" s="1083">
        <f>AM32/AN32-1</f>
        <v>4.9577281289915121E-2</v>
      </c>
      <c r="AQ32" s="1083">
        <f>AM32/AI32-1</f>
        <v>0.41909419670357839</v>
      </c>
      <c r="AR32" s="192">
        <f t="shared" si="0"/>
        <v>3326.708852440001</v>
      </c>
      <c r="AS32" s="31" t="b">
        <f t="shared" si="1"/>
        <v>1</v>
      </c>
      <c r="AT32" s="31" t="e">
        <f>SUM(AG32:AI32,#REF!)=L32</f>
        <v>#REF!</v>
      </c>
    </row>
    <row r="33" spans="1:45">
      <c r="A33" s="259"/>
      <c r="B33" s="259"/>
      <c r="C33" s="2286" t="s">
        <v>1791</v>
      </c>
      <c r="D33" s="2287"/>
      <c r="E33" s="2287"/>
      <c r="F33" s="2287"/>
      <c r="G33" s="2287"/>
      <c r="H33" s="2287"/>
      <c r="I33" s="2287"/>
      <c r="J33" s="2287"/>
      <c r="K33" s="2288"/>
      <c r="L33" s="2289"/>
      <c r="M33" s="2290"/>
      <c r="N33" s="2291"/>
      <c r="O33" s="2292"/>
      <c r="P33" s="221"/>
      <c r="Q33" s="2287"/>
      <c r="R33" s="2287"/>
      <c r="S33" s="2287"/>
      <c r="T33" s="2287"/>
      <c r="U33" s="2287"/>
      <c r="V33" s="2287"/>
      <c r="W33" s="2287"/>
      <c r="X33" s="2287"/>
      <c r="Y33" s="2287"/>
      <c r="Z33" s="2287"/>
      <c r="AA33" s="2287"/>
      <c r="AB33" s="2287"/>
      <c r="AC33" s="2287"/>
      <c r="AD33" s="2287"/>
      <c r="AE33" s="2287"/>
      <c r="AF33" s="2287"/>
      <c r="AG33" s="2287">
        <f>Quarterly!T74</f>
        <v>624.42605335999997</v>
      </c>
      <c r="AH33" s="2287">
        <f>Quarterly!U74</f>
        <v>1082.48564057</v>
      </c>
      <c r="AI33" s="2287">
        <f>Quarterly!V74</f>
        <v>956.31947019000006</v>
      </c>
      <c r="AJ33" s="2287">
        <f>Quarterly!W74</f>
        <v>599.01777369000001</v>
      </c>
      <c r="AK33" s="2287">
        <f>Quarterly!X74</f>
        <v>958.79253013000005</v>
      </c>
      <c r="AL33" s="2287">
        <f>Quarterly!Y74</f>
        <v>1311.6707536399999</v>
      </c>
      <c r="AM33" s="2293">
        <f>Quarterly!Z74</f>
        <v>1269.38948495</v>
      </c>
      <c r="AN33" s="2294">
        <v>1320.6959844790204</v>
      </c>
      <c r="AO33" s="221"/>
      <c r="AP33" s="2295">
        <f>AM33/AN33-1</f>
        <v>-3.8848077174444828E-2</v>
      </c>
      <c r="AQ33" s="2295">
        <f>AM33/AI33-1</f>
        <v>0.32736969654899917</v>
      </c>
    </row>
    <row r="34" spans="1:45" hidden="1">
      <c r="A34" s="259"/>
      <c r="B34" s="259"/>
      <c r="D34" s="192"/>
      <c r="E34" s="192"/>
      <c r="F34" s="192"/>
      <c r="G34" s="192"/>
      <c r="H34" s="192"/>
      <c r="I34" s="192"/>
      <c r="J34" s="192"/>
      <c r="K34" s="1940"/>
      <c r="L34" s="1941"/>
      <c r="M34" s="192"/>
      <c r="N34" s="253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40"/>
      <c r="AN34" s="1941"/>
      <c r="AP34" s="192"/>
      <c r="AQ34" s="253"/>
    </row>
    <row r="35" spans="1:45">
      <c r="A35" s="259"/>
      <c r="B35" s="259"/>
      <c r="D35" s="192"/>
      <c r="E35" s="192"/>
      <c r="F35" s="192"/>
      <c r="G35" s="192"/>
      <c r="H35" s="192"/>
      <c r="I35" s="192"/>
      <c r="J35" s="192"/>
      <c r="K35" s="1940"/>
      <c r="L35" s="1941"/>
      <c r="M35" s="192"/>
      <c r="N35" s="253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40"/>
      <c r="AN35" s="1941"/>
      <c r="AP35" s="192"/>
      <c r="AQ35" s="253"/>
    </row>
    <row r="36" spans="1:45">
      <c r="A36" s="259" t="str">
        <f>Model!B60</f>
        <v>EPS - basic</v>
      </c>
      <c r="B36" s="259" t="str">
        <f>'Raw Data'!B66</f>
        <v>Basic</v>
      </c>
      <c r="C36" s="262" t="s">
        <v>1729</v>
      </c>
      <c r="D36" s="260"/>
      <c r="E36" s="260"/>
      <c r="F36" s="260"/>
      <c r="G36" s="260"/>
      <c r="H36" s="260"/>
      <c r="I36" s="260"/>
      <c r="J36" s="260"/>
      <c r="K36" s="1950"/>
      <c r="L36" s="1951"/>
      <c r="M36" s="624"/>
      <c r="N36" s="500"/>
      <c r="O36" s="1915"/>
      <c r="Q36" s="261"/>
      <c r="R36" s="261"/>
      <c r="S36" s="261"/>
      <c r="T36" s="261"/>
      <c r="U36" s="261"/>
      <c r="V36" s="261"/>
      <c r="W36" s="261"/>
      <c r="X36" s="261"/>
      <c r="Y36" s="261"/>
      <c r="Z36" s="261"/>
      <c r="AA36" s="261"/>
      <c r="AB36" s="261"/>
      <c r="AC36" s="261"/>
      <c r="AD36" s="261"/>
      <c r="AE36" s="261"/>
      <c r="AF36" s="261"/>
      <c r="AG36" s="261"/>
      <c r="AH36" s="261"/>
      <c r="AI36" s="261"/>
      <c r="AJ36" s="261"/>
      <c r="AK36" s="261"/>
      <c r="AL36" s="261"/>
      <c r="AM36" s="1967"/>
      <c r="AN36" s="1968"/>
      <c r="AP36" s="2164"/>
      <c r="AQ36" s="500"/>
    </row>
    <row r="37" spans="1:45">
      <c r="A37" s="259"/>
      <c r="B37" s="259"/>
      <c r="C37" s="1919" t="s">
        <v>507</v>
      </c>
      <c r="E37" s="1314">
        <f t="shared" ref="E37:K37" si="23">E8/D8-1</f>
        <v>6.8122892568400095E-2</v>
      </c>
      <c r="F37" s="1314">
        <f t="shared" si="23"/>
        <v>0.38557320136996509</v>
      </c>
      <c r="G37" s="1314">
        <f>G8/F8-1</f>
        <v>0.17814742460888033</v>
      </c>
      <c r="H37" s="1314">
        <f t="shared" si="23"/>
        <v>0.40724388206478346</v>
      </c>
      <c r="I37" s="1314">
        <f t="shared" si="23"/>
        <v>0.21891747198959233</v>
      </c>
      <c r="J37" s="1314">
        <f t="shared" si="23"/>
        <v>0.32419494463634702</v>
      </c>
      <c r="K37" s="1952">
        <f t="shared" si="23"/>
        <v>0.40629862458102206</v>
      </c>
      <c r="L37" s="1953">
        <v>0.44984850794439457</v>
      </c>
      <c r="N37" s="253"/>
      <c r="Q37" s="224"/>
      <c r="R37" s="224"/>
      <c r="S37" s="224"/>
      <c r="T37" s="224"/>
      <c r="U37" s="224"/>
      <c r="V37" s="224"/>
      <c r="W37" s="224"/>
      <c r="X37" s="224"/>
      <c r="Y37" s="224">
        <f>Y8/U8-1</f>
        <v>0.1725517122531981</v>
      </c>
      <c r="Z37" s="224">
        <f t="shared" ref="Z37:AK37" si="24">Z8/V8-1</f>
        <v>0.15917356532645233</v>
      </c>
      <c r="AA37" s="224">
        <f t="shared" si="24"/>
        <v>0.25300084526220945</v>
      </c>
      <c r="AB37" s="224">
        <f t="shared" si="24"/>
        <v>0.31280245823286057</v>
      </c>
      <c r="AC37" s="224">
        <f t="shared" si="24"/>
        <v>0.24137195687381041</v>
      </c>
      <c r="AD37" s="224">
        <f t="shared" si="24"/>
        <v>0.2996360248046066</v>
      </c>
      <c r="AE37" s="224">
        <f t="shared" si="24"/>
        <v>0.35173296148053401</v>
      </c>
      <c r="AF37" s="224">
        <f t="shared" si="24"/>
        <v>0.40882464390972162</v>
      </c>
      <c r="AG37" s="224">
        <f t="shared" si="24"/>
        <v>0.39797471926278161</v>
      </c>
      <c r="AH37" s="224">
        <f t="shared" si="24"/>
        <v>0.47883075680811071</v>
      </c>
      <c r="AI37" s="224">
        <f t="shared" si="24"/>
        <v>0.47293150294500186</v>
      </c>
      <c r="AJ37" s="224">
        <f t="shared" si="24"/>
        <v>0.25122743306118256</v>
      </c>
      <c r="AK37" s="224">
        <f t="shared" si="24"/>
        <v>0.39225678798014152</v>
      </c>
      <c r="AL37" s="224">
        <f>AL8/AH8-1</f>
        <v>0.3410146008430619</v>
      </c>
      <c r="AM37" s="1952">
        <f>AM8/AI8-1</f>
        <v>0.30359622508590234</v>
      </c>
      <c r="AN37" s="1953">
        <v>0.31000000000000005</v>
      </c>
      <c r="AP37" s="246"/>
    </row>
    <row r="38" spans="1:45">
      <c r="A38" s="259"/>
      <c r="B38" s="259"/>
      <c r="C38" s="1920" t="s">
        <v>58</v>
      </c>
      <c r="E38" s="1314">
        <f>E11/D11-1</f>
        <v>2.4567675259580701E-2</v>
      </c>
      <c r="F38" s="1314">
        <f t="shared" ref="F38:K38" si="25">F11/E11-1</f>
        <v>0.4087357683911601</v>
      </c>
      <c r="G38" s="1314">
        <f t="shared" si="25"/>
        <v>0.17470476984796113</v>
      </c>
      <c r="H38" s="1314">
        <f t="shared" si="25"/>
        <v>0.33999127120638239</v>
      </c>
      <c r="I38" s="1314">
        <f t="shared" si="25"/>
        <v>0.16267080187934657</v>
      </c>
      <c r="J38" s="1314">
        <f t="shared" si="25"/>
        <v>0.34756577958461898</v>
      </c>
      <c r="K38" s="1952">
        <f t="shared" si="25"/>
        <v>0.46301495170265716</v>
      </c>
      <c r="L38" s="1953">
        <v>0.51705666044073406</v>
      </c>
      <c r="N38" s="253"/>
      <c r="Q38" s="224"/>
      <c r="R38" s="224"/>
      <c r="S38" s="224"/>
      <c r="T38" s="224"/>
      <c r="U38" s="224"/>
      <c r="V38" s="224"/>
      <c r="W38" s="224"/>
      <c r="X38" s="224"/>
      <c r="Y38" s="224">
        <f>Y11/U11-1</f>
        <v>2.2132967696156358E-2</v>
      </c>
      <c r="Z38" s="224">
        <f t="shared" ref="Z38:AJ38" si="26">Z11/V11-1</f>
        <v>-1.689146699032662E-2</v>
      </c>
      <c r="AA38" s="224">
        <f t="shared" si="26"/>
        <v>8.7230441322550867E-2</v>
      </c>
      <c r="AB38" s="224">
        <f t="shared" si="26"/>
        <v>1.0644592195904274</v>
      </c>
      <c r="AC38" s="224">
        <f t="shared" si="26"/>
        <v>0.25117108602270055</v>
      </c>
      <c r="AD38" s="224">
        <f t="shared" si="26"/>
        <v>0.31543706583009623</v>
      </c>
      <c r="AE38" s="224">
        <f t="shared" si="26"/>
        <v>0.40096809389079779</v>
      </c>
      <c r="AF38" s="224">
        <f t="shared" si="26"/>
        <v>0.42530215577191433</v>
      </c>
      <c r="AG38" s="224">
        <f t="shared" si="26"/>
        <v>0.37365851464976152</v>
      </c>
      <c r="AH38" s="224">
        <f t="shared" si="26"/>
        <v>0.59309037545889676</v>
      </c>
      <c r="AI38" s="224">
        <f t="shared" si="26"/>
        <v>0.62533001686186518</v>
      </c>
      <c r="AJ38" s="224">
        <f t="shared" si="26"/>
        <v>0.22301293907434916</v>
      </c>
      <c r="AK38" s="224">
        <f>AK11/AG11-1</f>
        <v>0.44753305887189221</v>
      </c>
      <c r="AL38" s="224">
        <f>AL11/AH11-1</f>
        <v>0.33089639122250492</v>
      </c>
      <c r="AM38" s="1952">
        <f>AM11/AI11-1</f>
        <v>0.28659920772460845</v>
      </c>
      <c r="AN38" s="1953">
        <v>0.30985094256822876</v>
      </c>
      <c r="AP38" s="246"/>
      <c r="AS38" s="192">
        <v>980.00953026000059</v>
      </c>
    </row>
    <row r="39" spans="1:45">
      <c r="A39" s="259"/>
      <c r="B39" s="259"/>
      <c r="C39" s="31" t="s">
        <v>35</v>
      </c>
      <c r="E39" s="1314">
        <f>E16/D16-1</f>
        <v>-0.36532932776781768</v>
      </c>
      <c r="F39" s="1314">
        <f t="shared" ref="F39:K39" si="27">F16/E16-1</f>
        <v>1.9138491075816217</v>
      </c>
      <c r="G39" s="1314">
        <f t="shared" si="27"/>
        <v>0.42349111178794563</v>
      </c>
      <c r="H39" s="1314">
        <f t="shared" si="27"/>
        <v>0.47084602777266049</v>
      </c>
      <c r="I39" s="1314">
        <f t="shared" si="27"/>
        <v>0.20282203908545959</v>
      </c>
      <c r="J39" s="1314">
        <f t="shared" si="27"/>
        <v>0.34327160523185074</v>
      </c>
      <c r="K39" s="1952">
        <f t="shared" si="27"/>
        <v>0.59724231851930321</v>
      </c>
      <c r="L39" s="1953">
        <v>0.62919638417226009</v>
      </c>
      <c r="N39" s="253"/>
      <c r="Q39" s="224"/>
      <c r="R39" s="224"/>
      <c r="S39" s="224"/>
      <c r="T39" s="224"/>
      <c r="U39" s="224"/>
      <c r="V39" s="224"/>
      <c r="W39" s="224"/>
      <c r="X39" s="224"/>
      <c r="Y39" s="224">
        <f>Y16/U16-1</f>
        <v>1.9661345129817542E-2</v>
      </c>
      <c r="Z39" s="224">
        <f t="shared" ref="Z39:AJ39" si="28">Z16/V16-1</f>
        <v>0.26983023968401976</v>
      </c>
      <c r="AA39" s="224">
        <f t="shared" si="28"/>
        <v>0.19688988939585528</v>
      </c>
      <c r="AB39" s="224">
        <f t="shared" si="28"/>
        <v>0.42422024887072274</v>
      </c>
      <c r="AC39" s="224">
        <f t="shared" si="28"/>
        <v>0.3872000206876749</v>
      </c>
      <c r="AD39" s="224">
        <f t="shared" si="28"/>
        <v>0.34617903421272178</v>
      </c>
      <c r="AE39" s="224">
        <f t="shared" si="28"/>
        <v>0.30022035875720521</v>
      </c>
      <c r="AF39" s="224">
        <f t="shared" si="28"/>
        <v>0.34132948304734056</v>
      </c>
      <c r="AG39" s="224">
        <f t="shared" si="28"/>
        <v>0.26737265186845272</v>
      </c>
      <c r="AH39" s="224">
        <f t="shared" si="28"/>
        <v>0.73304329576583327</v>
      </c>
      <c r="AI39" s="224">
        <f t="shared" si="28"/>
        <v>0.89559562536420345</v>
      </c>
      <c r="AJ39" s="224">
        <f t="shared" si="28"/>
        <v>0.43081143890113105</v>
      </c>
      <c r="AK39" s="224">
        <f>AK16/AG16-1</f>
        <v>0.54216409285191891</v>
      </c>
      <c r="AL39" s="224">
        <f>AL16/AH16-1</f>
        <v>0.35389676879540177</v>
      </c>
      <c r="AM39" s="1952">
        <f>AM16/AI16-1</f>
        <v>0.48984446830576855</v>
      </c>
      <c r="AN39" s="1953">
        <v>0.3762117785028487</v>
      </c>
      <c r="AP39" s="246"/>
    </row>
    <row r="40" spans="1:45">
      <c r="A40" s="259"/>
      <c r="B40" s="259"/>
      <c r="C40" s="31" t="s">
        <v>42</v>
      </c>
      <c r="E40" s="1314">
        <f>E20/D20-1</f>
        <v>-0.14189313531471148</v>
      </c>
      <c r="F40" s="1314">
        <f t="shared" ref="F40:K40" si="29">F20/E20-1</f>
        <v>1.4913677689022644</v>
      </c>
      <c r="G40" s="1314">
        <f t="shared" si="29"/>
        <v>0.39674002691684174</v>
      </c>
      <c r="H40" s="1314">
        <f t="shared" si="29"/>
        <v>0.45972230760719901</v>
      </c>
      <c r="I40" s="1314">
        <f t="shared" si="29"/>
        <v>0.20359640944681234</v>
      </c>
      <c r="J40" s="1314">
        <f t="shared" si="29"/>
        <v>0.31982673723075794</v>
      </c>
      <c r="K40" s="1952">
        <f t="shared" si="29"/>
        <v>0.57342698226032973</v>
      </c>
      <c r="L40" s="1953">
        <v>0.60741139089835938</v>
      </c>
      <c r="N40" s="253"/>
      <c r="Q40" s="224"/>
      <c r="R40" s="224"/>
      <c r="S40" s="224"/>
      <c r="T40" s="224"/>
      <c r="U40" s="224"/>
      <c r="V40" s="224"/>
      <c r="W40" s="224"/>
      <c r="X40" s="224"/>
      <c r="Y40" s="224">
        <f>Y20/U20-1</f>
        <v>1.7748015859849975E-2</v>
      </c>
      <c r="Z40" s="224">
        <f t="shared" ref="Z40:AJ40" si="30">Z20/V20-1</f>
        <v>0.24262690407447662</v>
      </c>
      <c r="AA40" s="224">
        <f t="shared" si="30"/>
        <v>0.17599608252082577</v>
      </c>
      <c r="AB40" s="224">
        <f t="shared" si="30"/>
        <v>0.35579997085845938</v>
      </c>
      <c r="AC40" s="224">
        <f t="shared" si="30"/>
        <v>0.35017702162151609</v>
      </c>
      <c r="AD40" s="224">
        <f t="shared" si="30"/>
        <v>0.31809292695493085</v>
      </c>
      <c r="AE40" s="224">
        <f t="shared" si="30"/>
        <v>0.27312914732690641</v>
      </c>
      <c r="AF40" s="224">
        <f t="shared" si="30"/>
        <v>0.30072522091096165</v>
      </c>
      <c r="AG40" s="224">
        <f t="shared" si="30"/>
        <v>0.30886019430362599</v>
      </c>
      <c r="AH40" s="224">
        <f t="shared" si="30"/>
        <v>0.74043943754585184</v>
      </c>
      <c r="AI40" s="224">
        <f t="shared" si="30"/>
        <v>0.89259092236611592</v>
      </c>
      <c r="AJ40" s="224">
        <f t="shared" si="30"/>
        <v>0.46944172743764678</v>
      </c>
      <c r="AK40" s="224">
        <f>AK20/AG20-1</f>
        <v>0.48780075645777332</v>
      </c>
      <c r="AL40" s="224">
        <f>AL20/AH20-1</f>
        <v>0.33070224076553489</v>
      </c>
      <c r="AM40" s="1952">
        <f>AM20/AI20-1</f>
        <v>0.45584748516747564</v>
      </c>
      <c r="AN40" s="1953">
        <v>0.35010131626893637</v>
      </c>
      <c r="AP40" s="246"/>
    </row>
    <row r="41" spans="1:45">
      <c r="A41" s="259"/>
      <c r="B41" s="259"/>
      <c r="C41" s="31" t="s">
        <v>1730</v>
      </c>
      <c r="E41" s="1314">
        <f>E32/D32-1</f>
        <v>-0.27124961605965303</v>
      </c>
      <c r="F41" s="1314">
        <f t="shared" ref="F41:K41" si="31">F32/E32-1</f>
        <v>1.6436149914555216</v>
      </c>
      <c r="G41" s="1314">
        <f t="shared" si="31"/>
        <v>0.42323983246304375</v>
      </c>
      <c r="H41" s="1314">
        <f t="shared" si="31"/>
        <v>0.46904815245317377</v>
      </c>
      <c r="I41" s="1314">
        <f t="shared" si="31"/>
        <v>0.20751750200169328</v>
      </c>
      <c r="J41" s="1314">
        <f t="shared" si="31"/>
        <v>0.41599699752586394</v>
      </c>
      <c r="K41" s="1952">
        <f t="shared" si="31"/>
        <v>0.63092127027421308</v>
      </c>
      <c r="L41" s="1953">
        <v>0.62099276460270536</v>
      </c>
      <c r="N41" s="253"/>
      <c r="Q41" s="224"/>
      <c r="R41" s="224"/>
      <c r="S41" s="224"/>
      <c r="T41" s="224"/>
      <c r="U41" s="224"/>
      <c r="V41" s="224"/>
      <c r="W41" s="224"/>
      <c r="X41" s="224"/>
      <c r="Y41" s="224">
        <f>Y32/U32-1</f>
        <v>8.0711881703634525E-3</v>
      </c>
      <c r="Z41" s="224">
        <f t="shared" ref="Z41:AK41" si="32">Z32/V32-1</f>
        <v>0.22772040409916117</v>
      </c>
      <c r="AA41" s="224">
        <f t="shared" si="32"/>
        <v>0.28315502928379033</v>
      </c>
      <c r="AB41" s="224">
        <f t="shared" si="32"/>
        <v>0.57928575458178577</v>
      </c>
      <c r="AC41" s="224">
        <f t="shared" si="32"/>
        <v>0.44277756718877614</v>
      </c>
      <c r="AD41" s="224">
        <f t="shared" si="32"/>
        <v>0.48999278494727538</v>
      </c>
      <c r="AE41" s="224">
        <f t="shared" si="32"/>
        <v>0.33247072331440841</v>
      </c>
      <c r="AF41" s="224">
        <f t="shared" si="32"/>
        <v>0.39691514520439286</v>
      </c>
      <c r="AG41" s="224">
        <f t="shared" si="32"/>
        <v>0.33509922288254179</v>
      </c>
      <c r="AH41" s="224">
        <f t="shared" si="32"/>
        <v>0.7462204502315426</v>
      </c>
      <c r="AI41" s="224">
        <f t="shared" si="32"/>
        <v>0.78417445163003463</v>
      </c>
      <c r="AJ41" s="224">
        <f t="shared" si="32"/>
        <v>0.61208137586681222</v>
      </c>
      <c r="AK41" s="224">
        <f t="shared" si="32"/>
        <v>0.47618386198705887</v>
      </c>
      <c r="AL41" s="224">
        <f>AL32/AH32-1</f>
        <v>0.30751545993973295</v>
      </c>
      <c r="AM41" s="1952">
        <f>AM32/AI32-1</f>
        <v>0.41909419670357839</v>
      </c>
      <c r="AN41" s="1953">
        <v>0.3520626084432128</v>
      </c>
      <c r="AP41" s="246"/>
    </row>
    <row r="42" spans="1:45">
      <c r="A42" s="259"/>
      <c r="B42" s="259"/>
      <c r="K42" s="1954"/>
      <c r="L42" s="1955"/>
      <c r="N42" s="253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  <c r="AD42" s="224"/>
      <c r="AE42" s="224"/>
      <c r="AF42" s="224"/>
      <c r="AG42" s="224"/>
      <c r="AH42" s="224"/>
      <c r="AI42" s="224"/>
      <c r="AJ42" s="224"/>
      <c r="AK42" s="224"/>
      <c r="AL42" s="224"/>
      <c r="AM42" s="1969"/>
      <c r="AN42" s="2071"/>
      <c r="AP42" s="246"/>
    </row>
    <row r="43" spans="1:45">
      <c r="A43" s="259"/>
      <c r="B43" s="259"/>
      <c r="C43" s="1084" t="s">
        <v>12</v>
      </c>
      <c r="D43" s="1085"/>
      <c r="E43" s="1085"/>
      <c r="F43" s="1085"/>
      <c r="G43" s="1085"/>
      <c r="H43" s="1085"/>
      <c r="I43" s="1085"/>
      <c r="J43" s="1085"/>
      <c r="K43" s="1956"/>
      <c r="L43" s="1957"/>
      <c r="M43" s="1013"/>
      <c r="N43" s="1086"/>
      <c r="O43" s="1086"/>
      <c r="P43" s="1012"/>
      <c r="Q43" s="1085"/>
      <c r="R43" s="1087"/>
      <c r="S43" s="1087"/>
      <c r="T43" s="1087"/>
      <c r="U43" s="1087"/>
      <c r="V43" s="1087"/>
      <c r="W43" s="1087"/>
      <c r="X43" s="1087"/>
      <c r="Y43" s="1087"/>
      <c r="Z43" s="1087"/>
      <c r="AA43" s="1087"/>
      <c r="AB43" s="1087"/>
      <c r="AC43" s="1087"/>
      <c r="AD43" s="1087"/>
      <c r="AE43" s="1087"/>
      <c r="AF43" s="1087"/>
      <c r="AG43" s="1087"/>
      <c r="AH43" s="1087"/>
      <c r="AI43" s="1087"/>
      <c r="AJ43" s="1087"/>
      <c r="AK43" s="1087"/>
      <c r="AL43" s="1087"/>
      <c r="AM43" s="1970"/>
      <c r="AN43" s="2072"/>
      <c r="AP43" s="2165"/>
      <c r="AQ43" s="1085"/>
    </row>
    <row r="44" spans="1:45" s="253" customFormat="1">
      <c r="A44" s="258"/>
      <c r="B44" s="258"/>
      <c r="C44" s="253" t="s">
        <v>10</v>
      </c>
      <c r="D44" s="1921">
        <f t="shared" ref="D44:K44" si="33">(D8+D10)/D8</f>
        <v>0.47922116812684518</v>
      </c>
      <c r="E44" s="1921">
        <f t="shared" si="33"/>
        <v>0.45967980049773188</v>
      </c>
      <c r="F44" s="1921">
        <f t="shared" si="33"/>
        <v>0.46736424775522128</v>
      </c>
      <c r="G44" s="1921">
        <f t="shared" si="33"/>
        <v>0.46599856658577676</v>
      </c>
      <c r="H44" s="1921">
        <f t="shared" si="33"/>
        <v>0.44372835410975392</v>
      </c>
      <c r="I44" s="1921">
        <f t="shared" si="33"/>
        <v>0.42325260991401664</v>
      </c>
      <c r="J44" s="1921">
        <f t="shared" si="33"/>
        <v>0.4307226330611314</v>
      </c>
      <c r="K44" s="1958">
        <f t="shared" si="33"/>
        <v>0.44809376983705279</v>
      </c>
      <c r="L44" s="1959">
        <v>0.45068890694959451</v>
      </c>
      <c r="M44" s="1921"/>
      <c r="N44" s="1975">
        <f>(K44-L44)*100</f>
        <v>-0.25951371125417233</v>
      </c>
      <c r="O44" s="1975">
        <f>(+K44-J44)*100</f>
        <v>1.7371136775921392</v>
      </c>
      <c r="P44" s="204"/>
      <c r="Q44" s="176">
        <f t="shared" ref="Q44:W44" si="34">(Q8+Q10)/Q8</f>
        <v>0.49155110523547735</v>
      </c>
      <c r="R44" s="176">
        <f t="shared" si="34"/>
        <v>0.4479028892254156</v>
      </c>
      <c r="S44" s="176">
        <f t="shared" si="34"/>
        <v>0.47377159274885533</v>
      </c>
      <c r="T44" s="176">
        <f t="shared" si="34"/>
        <v>0.45694582139495799</v>
      </c>
      <c r="U44" s="176">
        <f t="shared" si="34"/>
        <v>0.49542370089824928</v>
      </c>
      <c r="V44" s="176">
        <f t="shared" si="34"/>
        <v>0.497994680141778</v>
      </c>
      <c r="W44" s="176">
        <f t="shared" si="34"/>
        <v>0.46158141189133922</v>
      </c>
      <c r="X44" s="176">
        <f t="shared" ref="X44:AF44" si="35">(X8+X10)/X8</f>
        <v>0.28222387954727784</v>
      </c>
      <c r="Y44" s="176">
        <f t="shared" si="35"/>
        <v>0.43186913837092417</v>
      </c>
      <c r="Z44" s="176">
        <f t="shared" si="35"/>
        <v>0.42235505888449593</v>
      </c>
      <c r="AA44" s="176">
        <f t="shared" si="35"/>
        <v>0.40051478341332492</v>
      </c>
      <c r="AB44" s="176">
        <f t="shared" si="35"/>
        <v>0.44381368001415594</v>
      </c>
      <c r="AC44" s="176">
        <f t="shared" si="35"/>
        <v>0.43527822252083048</v>
      </c>
      <c r="AD44" s="176">
        <f t="shared" si="35"/>
        <v>0.42749007321572796</v>
      </c>
      <c r="AE44" s="176">
        <f t="shared" si="35"/>
        <v>0.41510301863104482</v>
      </c>
      <c r="AF44" s="176">
        <f t="shared" si="35"/>
        <v>0.44900449294367856</v>
      </c>
      <c r="AG44" s="176">
        <f t="shared" ref="AG44:AK44" si="36">(AG8+AG10)/AG8</f>
        <v>0.42770704531957904</v>
      </c>
      <c r="AH44" s="176">
        <f t="shared" si="36"/>
        <v>0.46051944626450853</v>
      </c>
      <c r="AI44" s="176">
        <f t="shared" si="36"/>
        <v>0.45805211913931027</v>
      </c>
      <c r="AJ44" s="176">
        <f t="shared" si="36"/>
        <v>0.4388796873076426</v>
      </c>
      <c r="AK44" s="176">
        <f t="shared" si="36"/>
        <v>0.44468814442680255</v>
      </c>
      <c r="AL44" s="176">
        <f>(AL8+AL10)/AL8</f>
        <v>0.45704473965898929</v>
      </c>
      <c r="AM44" s="1971">
        <f>(AM8+AM10)/AM8</f>
        <v>0.4520797791834506</v>
      </c>
      <c r="AN44" s="1972">
        <v>0.45800000000000002</v>
      </c>
      <c r="AP44" s="1975">
        <f t="shared" ref="AP44:AP50" si="37">(AM44-AN44)*100</f>
        <v>-0.59202208165494152</v>
      </c>
      <c r="AQ44" s="1975">
        <f t="shared" ref="AQ44:AQ50" si="38">(+AM44-AI44)*100</f>
        <v>-0.59723399558596624</v>
      </c>
    </row>
    <row r="45" spans="1:45" s="253" customFormat="1">
      <c r="A45" s="258"/>
      <c r="B45" s="258"/>
      <c r="C45" s="256" t="s">
        <v>8</v>
      </c>
      <c r="D45" s="1922">
        <f t="shared" ref="D45:K45" si="39">D20/D8</f>
        <v>0.13372711993596184</v>
      </c>
      <c r="E45" s="1922">
        <f t="shared" si="39"/>
        <v>0.10743348018289318</v>
      </c>
      <c r="F45" s="1922">
        <f t="shared" si="39"/>
        <v>0.19317370570101891</v>
      </c>
      <c r="G45" s="1922">
        <f t="shared" si="39"/>
        <v>0.22901501226812893</v>
      </c>
      <c r="H45" s="1922">
        <f t="shared" si="39"/>
        <v>0.23755535656991011</v>
      </c>
      <c r="I45" s="1922">
        <f t="shared" si="39"/>
        <v>0.23456942802346045</v>
      </c>
      <c r="J45" s="1922">
        <f t="shared" si="39"/>
        <v>0.23379563869828052</v>
      </c>
      <c r="K45" s="1960">
        <f t="shared" si="39"/>
        <v>0.26158054899062311</v>
      </c>
      <c r="L45" s="1961">
        <v>0.25920347589886716</v>
      </c>
      <c r="M45" s="1921"/>
      <c r="N45" s="1976">
        <f t="shared" ref="N45:N50" si="40">(K45-L45)*100</f>
        <v>0.23770730917559435</v>
      </c>
      <c r="O45" s="1976">
        <f t="shared" ref="O45:O50" si="41">(+K45-J45)*100</f>
        <v>2.7784910292342593</v>
      </c>
      <c r="P45" s="204"/>
      <c r="Q45" s="593">
        <f t="shared" ref="Q45:W45" si="42">Q20/Q8</f>
        <v>0.25577105104795661</v>
      </c>
      <c r="R45" s="593">
        <f t="shared" si="42"/>
        <v>0.25715618318210243</v>
      </c>
      <c r="S45" s="593">
        <f t="shared" si="42"/>
        <v>0.22249924340748445</v>
      </c>
      <c r="T45" s="593">
        <f t="shared" si="42"/>
        <v>0.16568143598452686</v>
      </c>
      <c r="U45" s="593">
        <f t="shared" si="42"/>
        <v>0.277896797448623</v>
      </c>
      <c r="V45" s="593">
        <f t="shared" si="42"/>
        <v>0.23289399850808115</v>
      </c>
      <c r="W45" s="593">
        <f t="shared" si="42"/>
        <v>0.23221919704668723</v>
      </c>
      <c r="X45" s="593">
        <f t="shared" ref="X45:AF45" si="43">X20/X8</f>
        <v>0.20240733856533152</v>
      </c>
      <c r="Y45" s="593">
        <f t="shared" si="43"/>
        <v>0.24120805185952365</v>
      </c>
      <c r="Z45" s="593">
        <f t="shared" si="43"/>
        <v>0.24966092826842567</v>
      </c>
      <c r="AA45" s="593">
        <f t="shared" si="43"/>
        <v>0.21794787054264744</v>
      </c>
      <c r="AB45" s="593">
        <f t="shared" si="43"/>
        <v>0.2090366772300318</v>
      </c>
      <c r="AC45" s="593">
        <f t="shared" si="43"/>
        <v>0.26234970690893866</v>
      </c>
      <c r="AD45" s="593">
        <f t="shared" si="43"/>
        <v>0.25320651121308302</v>
      </c>
      <c r="AE45" s="593">
        <f t="shared" si="43"/>
        <v>0.20527411440922508</v>
      </c>
      <c r="AF45" s="593">
        <f t="shared" si="43"/>
        <v>0.19299724727554526</v>
      </c>
      <c r="AG45" s="593">
        <f t="shared" ref="AG45:AL45" si="44">AG20/AG8</f>
        <v>0.24562610727425235</v>
      </c>
      <c r="AH45" s="593">
        <f t="shared" si="44"/>
        <v>0.29799934571947001</v>
      </c>
      <c r="AI45" s="593">
        <f t="shared" si="44"/>
        <v>0.26375966889897473</v>
      </c>
      <c r="AJ45" s="593">
        <f t="shared" si="44"/>
        <v>0.22665600268486161</v>
      </c>
      <c r="AK45" s="593">
        <f t="shared" si="44"/>
        <v>0.26248225999931224</v>
      </c>
      <c r="AL45" s="593">
        <f t="shared" si="44"/>
        <v>0.29570774012919926</v>
      </c>
      <c r="AM45" s="1973">
        <f t="shared" ref="AM45" si="45">AM20/AM8</f>
        <v>0.29456502194908901</v>
      </c>
      <c r="AN45" s="1974">
        <v>0.27183379859478213</v>
      </c>
      <c r="AP45" s="1976">
        <f t="shared" si="37"/>
        <v>2.2731223354306884</v>
      </c>
      <c r="AQ45" s="1976">
        <f t="shared" si="38"/>
        <v>3.0805353050114279</v>
      </c>
    </row>
    <row r="46" spans="1:45" s="253" customFormat="1">
      <c r="A46" s="257"/>
      <c r="B46" s="257"/>
      <c r="C46" s="256" t="s">
        <v>203</v>
      </c>
      <c r="D46" s="1922">
        <f t="shared" ref="D46:K46" si="46">D16/D8</f>
        <v>0.13372711993596184</v>
      </c>
      <c r="E46" s="1922">
        <f t="shared" si="46"/>
        <v>7.9459659273238101E-2</v>
      </c>
      <c r="F46" s="1922">
        <f t="shared" si="46"/>
        <v>0.16710301341938433</v>
      </c>
      <c r="G46" s="1922">
        <f t="shared" si="46"/>
        <v>0.20190143388417031</v>
      </c>
      <c r="H46" s="1922">
        <f t="shared" si="46"/>
        <v>0.21102662147971968</v>
      </c>
      <c r="I46" s="1922">
        <f t="shared" si="46"/>
        <v>0.20824007940032152</v>
      </c>
      <c r="J46" s="1922">
        <f t="shared" si="46"/>
        <v>0.2112400344546671</v>
      </c>
      <c r="K46" s="1960">
        <f t="shared" si="46"/>
        <v>0.23992167559503366</v>
      </c>
      <c r="L46" s="1961">
        <v>0.2373706621348376</v>
      </c>
      <c r="M46" s="1921"/>
      <c r="N46" s="1976">
        <f t="shared" si="40"/>
        <v>0.25510134601960666</v>
      </c>
      <c r="O46" s="1976">
        <f t="shared" si="41"/>
        <v>2.8681641140366558</v>
      </c>
      <c r="P46" s="204"/>
      <c r="Q46" s="593">
        <f t="shared" ref="Q46:W46" si="47">Q16/Q8</f>
        <v>0.21975507991170409</v>
      </c>
      <c r="R46" s="593">
        <f t="shared" si="47"/>
        <v>0.23527773650612807</v>
      </c>
      <c r="S46" s="593">
        <f t="shared" si="47"/>
        <v>0.2011473874035182</v>
      </c>
      <c r="T46" s="593">
        <f t="shared" si="47"/>
        <v>0.12894465789405263</v>
      </c>
      <c r="U46" s="593">
        <f t="shared" si="47"/>
        <v>0.25085347599335284</v>
      </c>
      <c r="V46" s="593">
        <f t="shared" si="47"/>
        <v>0.20941444480689897</v>
      </c>
      <c r="W46" s="593">
        <f t="shared" si="47"/>
        <v>0.20757627063408238</v>
      </c>
      <c r="X46" s="593">
        <f t="shared" ref="X46:AF46" si="48">X16/X8</f>
        <v>0.16976211143808384</v>
      </c>
      <c r="Y46" s="593">
        <f t="shared" si="48"/>
        <v>0.21814440257850118</v>
      </c>
      <c r="Z46" s="593">
        <f t="shared" si="48"/>
        <v>0.22940550284853201</v>
      </c>
      <c r="AA46" s="593">
        <f t="shared" si="48"/>
        <v>0.19828074381581115</v>
      </c>
      <c r="AB46" s="593">
        <f t="shared" si="48"/>
        <v>0.18416985364776126</v>
      </c>
      <c r="AC46" s="593">
        <f t="shared" si="48"/>
        <v>0.24377054604316201</v>
      </c>
      <c r="AD46" s="593">
        <f t="shared" si="48"/>
        <v>0.23762105110478926</v>
      </c>
      <c r="AE46" s="593">
        <f t="shared" si="48"/>
        <v>0.1907245493048163</v>
      </c>
      <c r="AF46" s="593">
        <f t="shared" si="48"/>
        <v>0.17534648875867193</v>
      </c>
      <c r="AG46" s="593">
        <f t="shared" ref="AG46:AL46" si="49">AG16/AG8</f>
        <v>0.22099693158190012</v>
      </c>
      <c r="AH46" s="593">
        <f t="shared" si="49"/>
        <v>0.27846835593196995</v>
      </c>
      <c r="AI46" s="593">
        <f t="shared" si="49"/>
        <v>0.24545379102076864</v>
      </c>
      <c r="AJ46" s="593">
        <f t="shared" si="49"/>
        <v>0.20051331617086471</v>
      </c>
      <c r="AK46" s="593">
        <f t="shared" si="49"/>
        <v>0.24479215002464028</v>
      </c>
      <c r="AL46" s="593">
        <f t="shared" si="49"/>
        <v>0.28114340222025969</v>
      </c>
      <c r="AM46" s="1973">
        <f t="shared" ref="AM46" si="50">AM16/AM8</f>
        <v>0.28052242384552378</v>
      </c>
      <c r="AN46" s="1974">
        <v>0.25785984601599887</v>
      </c>
      <c r="AP46" s="1976">
        <f t="shared" si="37"/>
        <v>2.2662577829524908</v>
      </c>
      <c r="AQ46" s="1976">
        <f t="shared" si="38"/>
        <v>3.5068632824755142</v>
      </c>
    </row>
    <row r="47" spans="1:45" s="253" customFormat="1">
      <c r="A47" s="257"/>
      <c r="B47" s="257"/>
      <c r="C47" s="256" t="s">
        <v>4</v>
      </c>
      <c r="D47" s="1922">
        <f t="shared" ref="D47:K47" si="51">D26/D8</f>
        <v>0.13707154450251832</v>
      </c>
      <c r="E47" s="1922">
        <f t="shared" si="51"/>
        <v>8.9983412293448889E-2</v>
      </c>
      <c r="F47" s="1922">
        <f t="shared" si="51"/>
        <v>0.17499416945465332</v>
      </c>
      <c r="G47" s="1922">
        <f t="shared" si="51"/>
        <v>0.20763317751230603</v>
      </c>
      <c r="H47" s="1922">
        <f t="shared" si="51"/>
        <v>0.2169038865578152</v>
      </c>
      <c r="I47" s="1922">
        <f t="shared" si="51"/>
        <v>0.2158642704926429</v>
      </c>
      <c r="J47" s="1922">
        <f t="shared" si="51"/>
        <v>0.22900808773701417</v>
      </c>
      <c r="K47" s="1960">
        <f t="shared" si="51"/>
        <v>0.2593188157344245</v>
      </c>
      <c r="L47" s="1961">
        <v>0.25284367486959347</v>
      </c>
      <c r="M47" s="1921"/>
      <c r="N47" s="1976">
        <f t="shared" si="40"/>
        <v>0.64751408648310305</v>
      </c>
      <c r="O47" s="1976">
        <f t="shared" si="41"/>
        <v>3.0310727997410329</v>
      </c>
      <c r="P47" s="204"/>
      <c r="Q47" s="593">
        <f t="shared" ref="Q47:W47" si="52">Q26/Q8</f>
        <v>0.21230370894734127</v>
      </c>
      <c r="R47" s="593">
        <f t="shared" si="52"/>
        <v>0.23877459718848737</v>
      </c>
      <c r="S47" s="593">
        <f t="shared" si="52"/>
        <v>0.21140113000611194</v>
      </c>
      <c r="T47" s="593">
        <f t="shared" si="52"/>
        <v>0.10927040998941506</v>
      </c>
      <c r="U47" s="593">
        <f t="shared" si="52"/>
        <v>0.25612557985487883</v>
      </c>
      <c r="V47" s="593">
        <f t="shared" si="52"/>
        <v>0.21388547461339896</v>
      </c>
      <c r="W47" s="593">
        <f t="shared" si="52"/>
        <v>0.21481571709969113</v>
      </c>
      <c r="X47" s="593">
        <f t="shared" ref="X47:AF47" si="53">X26/X8</f>
        <v>0.16044567381298686</v>
      </c>
      <c r="Y47" s="593">
        <f t="shared" si="53"/>
        <v>0.21896263320587195</v>
      </c>
      <c r="Z47" s="593">
        <f t="shared" si="53"/>
        <v>0.22832160161006262</v>
      </c>
      <c r="AA47" s="593">
        <f t="shared" si="53"/>
        <v>0.22176165404898351</v>
      </c>
      <c r="AB47" s="593">
        <f t="shared" si="53"/>
        <v>0.18977370894262038</v>
      </c>
      <c r="AC47" s="593">
        <f t="shared" si="53"/>
        <v>0.25745825319261961</v>
      </c>
      <c r="AD47" s="593">
        <f t="shared" si="53"/>
        <v>0.25624454151104753</v>
      </c>
      <c r="AE47" s="593">
        <f t="shared" si="53"/>
        <v>0.21377943135610075</v>
      </c>
      <c r="AF47" s="593">
        <f t="shared" si="53"/>
        <v>0.18960849855465811</v>
      </c>
      <c r="AG47" s="593">
        <f t="shared" ref="AG47:AL47" si="54">AG26/AG8</f>
        <v>0.23827635539167957</v>
      </c>
      <c r="AH47" s="593">
        <f t="shared" si="54"/>
        <v>0.29883562288459231</v>
      </c>
      <c r="AI47" s="593">
        <f t="shared" si="54"/>
        <v>0.25870518915614921</v>
      </c>
      <c r="AJ47" s="593">
        <f t="shared" si="54"/>
        <v>0.22963652808694687</v>
      </c>
      <c r="AK47" s="593">
        <f t="shared" si="54"/>
        <v>0.25436712631174174</v>
      </c>
      <c r="AL47" s="593">
        <f t="shared" si="54"/>
        <v>0.30030781087191055</v>
      </c>
      <c r="AM47" s="1973">
        <f t="shared" ref="AM47" si="55">AM26/AM8</f>
        <v>0.2908316714393353</v>
      </c>
      <c r="AN47" s="1974">
        <v>0.26764954312526318</v>
      </c>
      <c r="AP47" s="1975">
        <f t="shared" si="37"/>
        <v>2.3182128314072123</v>
      </c>
      <c r="AQ47" s="1976">
        <f t="shared" si="38"/>
        <v>3.21264822831861</v>
      </c>
    </row>
    <row r="48" spans="1:45" s="253" customFormat="1">
      <c r="A48" s="257"/>
      <c r="B48" s="257"/>
      <c r="C48" s="256" t="s">
        <v>2</v>
      </c>
      <c r="D48" s="1922">
        <f t="shared" ref="D48:K48" si="56">D32/D8</f>
        <v>0.10414410595147147</v>
      </c>
      <c r="E48" s="1922">
        <f t="shared" si="56"/>
        <v>7.105461152954258E-2</v>
      </c>
      <c r="F48" s="1922">
        <f t="shared" si="56"/>
        <v>0.13556918975180962</v>
      </c>
      <c r="G48" s="1922">
        <f t="shared" si="56"/>
        <v>0.16377192436130864</v>
      </c>
      <c r="H48" s="1922">
        <f t="shared" si="56"/>
        <v>0.17096456838289933</v>
      </c>
      <c r="I48" s="1922">
        <f t="shared" si="56"/>
        <v>0.16936561603924483</v>
      </c>
      <c r="J48" s="1922">
        <f t="shared" si="56"/>
        <v>0.18110717365829332</v>
      </c>
      <c r="K48" s="1960">
        <f t="shared" si="56"/>
        <v>0.21003472275069326</v>
      </c>
      <c r="L48" s="1961">
        <v>0.20248558143082795</v>
      </c>
      <c r="M48" s="1921"/>
      <c r="N48" s="1976">
        <f t="shared" si="40"/>
        <v>0.75491413198653101</v>
      </c>
      <c r="O48" s="1976">
        <f t="shared" si="41"/>
        <v>2.8927549092399945</v>
      </c>
      <c r="P48" s="204"/>
      <c r="Q48" s="593">
        <f t="shared" ref="Q48:W48" si="57">Q32/Q8</f>
        <v>0.16464519781447626</v>
      </c>
      <c r="R48" s="593">
        <f t="shared" si="57"/>
        <v>0.18724835754960009</v>
      </c>
      <c r="S48" s="593">
        <f t="shared" si="57"/>
        <v>0.16690646420855076</v>
      </c>
      <c r="T48" s="593">
        <f t="shared" si="57"/>
        <v>8.3242741272911563E-2</v>
      </c>
      <c r="U48" s="593">
        <f t="shared" si="57"/>
        <v>0.19978794600952379</v>
      </c>
      <c r="V48" s="593">
        <f t="shared" si="57"/>
        <v>0.16942499253176632</v>
      </c>
      <c r="W48" s="593">
        <f t="shared" si="57"/>
        <v>0.17050917179286501</v>
      </c>
      <c r="X48" s="593">
        <f t="shared" ref="X48:AF48" si="58">X32/X8</f>
        <v>0.12283952664904786</v>
      </c>
      <c r="Y48" s="593">
        <f t="shared" si="58"/>
        <v>0.17176255001062771</v>
      </c>
      <c r="Z48" s="593">
        <f t="shared" si="58"/>
        <v>0.17944380938070967</v>
      </c>
      <c r="AA48" s="593">
        <f t="shared" si="58"/>
        <v>0.17461257281055023</v>
      </c>
      <c r="AB48" s="593">
        <f t="shared" si="58"/>
        <v>0.14777449060961467</v>
      </c>
      <c r="AC48" s="593">
        <f t="shared" si="58"/>
        <v>0.19963005662102706</v>
      </c>
      <c r="AD48" s="593">
        <f t="shared" si="58"/>
        <v>0.20572681595288134</v>
      </c>
      <c r="AE48" s="593">
        <f t="shared" si="58"/>
        <v>0.17212433803332558</v>
      </c>
      <c r="AF48" s="593">
        <f t="shared" si="58"/>
        <v>0.14652527899750678</v>
      </c>
      <c r="AG48" s="593">
        <f t="shared" ref="AG48:AL48" si="59">AG32/AG8</f>
        <v>0.19065146871846353</v>
      </c>
      <c r="AH48" s="593">
        <f t="shared" si="59"/>
        <v>0.2429246021047943</v>
      </c>
      <c r="AI48" s="593">
        <f t="shared" si="59"/>
        <v>0.20849567397314214</v>
      </c>
      <c r="AJ48" s="593">
        <f t="shared" si="59"/>
        <v>0.18878316373520479</v>
      </c>
      <c r="AK48" s="593">
        <f t="shared" si="59"/>
        <v>0.20214419050858362</v>
      </c>
      <c r="AL48" s="593">
        <f t="shared" si="59"/>
        <v>0.2368562375473334</v>
      </c>
      <c r="AM48" s="1973">
        <f t="shared" ref="AM48" si="60">AM32/AM8</f>
        <v>0.22696828609916406</v>
      </c>
      <c r="AN48" s="1974">
        <v>0.21519023267271162</v>
      </c>
      <c r="AP48" s="1976">
        <f t="shared" si="37"/>
        <v>1.1778053426452439</v>
      </c>
      <c r="AQ48" s="1976">
        <f t="shared" si="38"/>
        <v>1.8472612126021914</v>
      </c>
    </row>
    <row r="49" spans="1:43" s="253" customFormat="1">
      <c r="A49" s="257"/>
      <c r="B49" s="257"/>
      <c r="C49" s="256" t="s">
        <v>47</v>
      </c>
      <c r="D49" s="1922">
        <f t="shared" ref="D49:K49" si="61">-D12/D8</f>
        <v>0.32914976385884898</v>
      </c>
      <c r="E49" s="1922">
        <f t="shared" si="61"/>
        <v>0.36644131762035009</v>
      </c>
      <c r="F49" s="1922">
        <f t="shared" si="61"/>
        <v>0.28817509400139968</v>
      </c>
      <c r="G49" s="1922">
        <f t="shared" si="61"/>
        <v>0.25406586709893958</v>
      </c>
      <c r="H49" s="1922">
        <f t="shared" si="61"/>
        <v>0.2383015508202074</v>
      </c>
      <c r="I49" s="1922">
        <f t="shared" si="61"/>
        <v>0.20558210115166692</v>
      </c>
      <c r="J49" s="1922">
        <f t="shared" si="61"/>
        <v>0.2111959489802876</v>
      </c>
      <c r="K49" s="1960">
        <f t="shared" si="61"/>
        <v>0.20010319545025873</v>
      </c>
      <c r="L49" s="1961">
        <v>0.20444892826059696</v>
      </c>
      <c r="M49" s="1921"/>
      <c r="N49" s="1976">
        <f t="shared" si="40"/>
        <v>-0.4345732810338232</v>
      </c>
      <c r="O49" s="1976">
        <f t="shared" si="41"/>
        <v>-1.1092753530028865</v>
      </c>
      <c r="P49" s="204"/>
      <c r="Q49" s="593">
        <f t="shared" ref="Q49:AJ49" si="62">-Q12/Q8</f>
        <v>0.26466679538449361</v>
      </c>
      <c r="R49" s="593">
        <f t="shared" si="62"/>
        <v>0.20085764855915689</v>
      </c>
      <c r="S49" s="593">
        <f t="shared" si="62"/>
        <v>0.26286469288934933</v>
      </c>
      <c r="T49" s="593">
        <f t="shared" si="62"/>
        <v>0.31745759135819251</v>
      </c>
      <c r="U49" s="593">
        <f t="shared" si="62"/>
        <v>0.23366344661175484</v>
      </c>
      <c r="V49" s="593">
        <f t="shared" si="62"/>
        <v>0.27971308739005052</v>
      </c>
      <c r="W49" s="593">
        <f t="shared" si="62"/>
        <v>0.2506843183784816</v>
      </c>
      <c r="X49" s="593">
        <f t="shared" si="62"/>
        <v>0.16991930509312922</v>
      </c>
      <c r="Y49" s="593">
        <f t="shared" si="62"/>
        <v>0.20776348539563722</v>
      </c>
      <c r="Z49" s="593">
        <f t="shared" si="62"/>
        <v>0.1913436131467279</v>
      </c>
      <c r="AA49" s="593">
        <f t="shared" si="62"/>
        <v>0.19850233404640219</v>
      </c>
      <c r="AB49" s="593">
        <f t="shared" si="62"/>
        <v>0.22966177932775936</v>
      </c>
      <c r="AC49" s="593">
        <f t="shared" si="62"/>
        <v>0.19349435042825688</v>
      </c>
      <c r="AD49" s="593">
        <f t="shared" si="62"/>
        <v>0.19210921887140453</v>
      </c>
      <c r="AE49" s="593">
        <f t="shared" si="62"/>
        <v>0.21063785286335285</v>
      </c>
      <c r="AF49" s="593">
        <f t="shared" si="62"/>
        <v>0.25030604690265318</v>
      </c>
      <c r="AG49" s="593">
        <f t="shared" si="62"/>
        <v>0.2038091293227563</v>
      </c>
      <c r="AH49" s="593">
        <f t="shared" si="62"/>
        <v>0.16809949071923211</v>
      </c>
      <c r="AI49" s="593">
        <f t="shared" si="62"/>
        <v>0.20714303052403432</v>
      </c>
      <c r="AJ49" s="593">
        <f t="shared" si="62"/>
        <v>0.22895361939810166</v>
      </c>
      <c r="AK49" s="593">
        <f>-AK12/AK8</f>
        <v>0.1950663266813572</v>
      </c>
      <c r="AL49" s="593">
        <f>-AL12/AL8</f>
        <v>0.17444998645781798</v>
      </c>
      <c r="AM49" s="1973">
        <f>-AM12/AM8</f>
        <v>0.18100428483610581</v>
      </c>
      <c r="AN49" s="1974">
        <v>0.191</v>
      </c>
      <c r="AP49" s="1976">
        <f t="shared" si="37"/>
        <v>-0.99957151638941921</v>
      </c>
      <c r="AQ49" s="1976">
        <f t="shared" si="38"/>
        <v>-2.6138745687928511</v>
      </c>
    </row>
    <row r="50" spans="1:43" s="253" customFormat="1">
      <c r="A50" s="257"/>
      <c r="B50" s="257"/>
      <c r="C50" s="1908" t="s">
        <v>1728</v>
      </c>
      <c r="D50" s="1922">
        <f t="shared" ref="D50:K50" si="63">-D13/D$8</f>
        <v>0.29019185404807274</v>
      </c>
      <c r="E50" s="1922">
        <f t="shared" si="63"/>
        <v>0.31915682216812563</v>
      </c>
      <c r="F50" s="1922">
        <f t="shared" si="63"/>
        <v>0.23370316402796393</v>
      </c>
      <c r="G50" s="1922">
        <f t="shared" si="63"/>
        <v>0.20981077853831201</v>
      </c>
      <c r="H50" s="1922">
        <f t="shared" si="63"/>
        <v>0.19610478370269829</v>
      </c>
      <c r="I50" s="1922">
        <f t="shared" si="63"/>
        <v>0.17039502368515247</v>
      </c>
      <c r="J50" s="1922">
        <f t="shared" si="63"/>
        <v>0.17363998317003096</v>
      </c>
      <c r="K50" s="1960">
        <f t="shared" si="63"/>
        <v>0.16927235739049407</v>
      </c>
      <c r="L50" s="1961">
        <v>0.17333998317003096</v>
      </c>
      <c r="M50" s="1921"/>
      <c r="N50" s="1976">
        <f t="shared" si="40"/>
        <v>-0.40676257795368986</v>
      </c>
      <c r="O50" s="1976">
        <f t="shared" si="41"/>
        <v>-0.43676257795368933</v>
      </c>
      <c r="P50" s="204"/>
      <c r="Q50" s="593"/>
      <c r="R50" s="593"/>
      <c r="S50" s="593"/>
      <c r="T50" s="593"/>
      <c r="U50" s="593"/>
      <c r="V50" s="593"/>
      <c r="W50" s="593"/>
      <c r="X50" s="593"/>
      <c r="Y50" s="593">
        <f t="shared" ref="Y50:AI50" si="64">-Y13/Y$8</f>
        <v>0.16843149707600344</v>
      </c>
      <c r="Z50" s="593">
        <f t="shared" si="64"/>
        <v>0.15963942589723554</v>
      </c>
      <c r="AA50" s="593">
        <f t="shared" si="64"/>
        <v>0.16272594675477683</v>
      </c>
      <c r="AB50" s="593">
        <f t="shared" si="64"/>
        <v>0.19541297365489513</v>
      </c>
      <c r="AC50" s="593">
        <f t="shared" si="64"/>
        <v>0.15685623361360601</v>
      </c>
      <c r="AD50" s="593">
        <f t="shared" si="64"/>
        <v>0.15913646097829423</v>
      </c>
      <c r="AE50" s="593">
        <f t="shared" si="64"/>
        <v>0.17532819017059978</v>
      </c>
      <c r="AF50" s="593">
        <f t="shared" si="64"/>
        <v>0.20396245251378883</v>
      </c>
      <c r="AG50" s="593">
        <f t="shared" si="64"/>
        <v>0.17114316579408873</v>
      </c>
      <c r="AH50" s="593">
        <f t="shared" si="64"/>
        <v>0.14325613274877363</v>
      </c>
      <c r="AI50" s="593">
        <f t="shared" si="64"/>
        <v>0.17863854164272297</v>
      </c>
      <c r="AJ50" s="593">
        <f t="shared" ref="AJ50:AM51" si="65">-AJ13/AJ$8</f>
        <v>0.18873402955913723</v>
      </c>
      <c r="AK50" s="593">
        <f t="shared" si="65"/>
        <v>0.16681995612969658</v>
      </c>
      <c r="AL50" s="593">
        <f t="shared" si="65"/>
        <v>0.14821357323795306</v>
      </c>
      <c r="AM50" s="1973">
        <f t="shared" si="65"/>
        <v>0.15257470233685927</v>
      </c>
      <c r="AN50" s="1974">
        <v>0.16300000000000001</v>
      </c>
      <c r="AP50" s="1975">
        <f t="shared" si="37"/>
        <v>-1.0425297663140736</v>
      </c>
      <c r="AQ50" s="1976">
        <f t="shared" si="38"/>
        <v>-2.6063839305863699</v>
      </c>
    </row>
    <row r="51" spans="1:43" s="253" customFormat="1" ht="13.5" thickBot="1">
      <c r="A51" s="257"/>
      <c r="B51" s="257"/>
      <c r="C51" s="1908" t="s">
        <v>916</v>
      </c>
      <c r="D51" s="1922">
        <f t="shared" ref="D51:K51" si="66">-D14/D$8</f>
        <v>3.8957909810776223E-2</v>
      </c>
      <c r="E51" s="1922">
        <f t="shared" si="66"/>
        <v>4.7284495452224476E-2</v>
      </c>
      <c r="F51" s="1922">
        <f t="shared" si="66"/>
        <v>5.4471929973435709E-2</v>
      </c>
      <c r="G51" s="1922">
        <f t="shared" si="66"/>
        <v>4.4255088560627591E-2</v>
      </c>
      <c r="H51" s="1922">
        <f t="shared" si="66"/>
        <v>4.2196767117509117E-2</v>
      </c>
      <c r="I51" s="1922">
        <f t="shared" si="66"/>
        <v>3.5187077466514456E-2</v>
      </c>
      <c r="J51" s="1922">
        <f t="shared" si="66"/>
        <v>3.7555965810256643E-2</v>
      </c>
      <c r="K51" s="1962">
        <f t="shared" si="66"/>
        <v>3.0830838059764672E-2</v>
      </c>
      <c r="L51" s="1963">
        <v>3.1108945090565984E-2</v>
      </c>
      <c r="M51" s="1921"/>
      <c r="N51" s="1976">
        <f>(K51-L51)*100</f>
        <v>-2.7810703080131255E-2</v>
      </c>
      <c r="O51" s="1976">
        <f>(+K51-J51)*100</f>
        <v>-0.67251277504919715</v>
      </c>
      <c r="P51" s="204"/>
      <c r="Q51" s="593"/>
      <c r="R51" s="593"/>
      <c r="S51" s="593"/>
      <c r="T51" s="593"/>
      <c r="U51" s="593"/>
      <c r="V51" s="593"/>
      <c r="W51" s="593"/>
      <c r="X51" s="593"/>
      <c r="Y51" s="593">
        <f t="shared" ref="Y51:AI51" si="67">-Y14/Y$8</f>
        <v>3.9331988319633776E-2</v>
      </c>
      <c r="Z51" s="593">
        <f t="shared" si="67"/>
        <v>3.170418724949238E-2</v>
      </c>
      <c r="AA51" s="593">
        <f t="shared" si="67"/>
        <v>3.5776387291625356E-2</v>
      </c>
      <c r="AB51" s="593">
        <f t="shared" si="67"/>
        <v>3.4248805672864244E-2</v>
      </c>
      <c r="AC51" s="593">
        <f t="shared" si="67"/>
        <v>3.6638116814650852E-2</v>
      </c>
      <c r="AD51" s="593">
        <f t="shared" si="67"/>
        <v>3.2972757893110334E-2</v>
      </c>
      <c r="AE51" s="593">
        <f t="shared" si="67"/>
        <v>3.5309662692753103E-2</v>
      </c>
      <c r="AF51" s="593">
        <f t="shared" si="67"/>
        <v>4.634359438886438E-2</v>
      </c>
      <c r="AG51" s="593">
        <f t="shared" si="67"/>
        <v>3.2665963528667546E-2</v>
      </c>
      <c r="AH51" s="593">
        <f t="shared" si="67"/>
        <v>2.4843357970458484E-2</v>
      </c>
      <c r="AI51" s="593">
        <f t="shared" si="67"/>
        <v>2.8504488881311352E-2</v>
      </c>
      <c r="AJ51" s="593">
        <f t="shared" si="65"/>
        <v>4.0219589838964433E-2</v>
      </c>
      <c r="AK51" s="593">
        <f t="shared" si="65"/>
        <v>2.824637055166063E-2</v>
      </c>
      <c r="AL51" s="593">
        <f t="shared" si="65"/>
        <v>2.6236413219864922E-2</v>
      </c>
      <c r="AM51" s="1973">
        <f t="shared" si="65"/>
        <v>2.8429582499246549E-2</v>
      </c>
      <c r="AN51" s="1974">
        <v>2.8000000000000001E-2</v>
      </c>
      <c r="AP51" s="1976">
        <f>(AM51-AN51)*100</f>
        <v>4.2958249924654815E-2</v>
      </c>
      <c r="AQ51" s="1976">
        <f>(+AM51-AI51)*100</f>
        <v>-7.490638206480299E-3</v>
      </c>
    </row>
    <row r="52" spans="1:43" ht="13.5" thickBot="1">
      <c r="A52" s="259"/>
      <c r="B52" s="259"/>
      <c r="C52" s="264" t="s">
        <v>20</v>
      </c>
      <c r="D52" s="255">
        <f t="shared" ref="D52:K52" si="68">+D28/D26</f>
        <v>-0.24022081804471015</v>
      </c>
      <c r="E52" s="255">
        <f t="shared" si="68"/>
        <v>-0.2103587792623019</v>
      </c>
      <c r="F52" s="255">
        <f t="shared" si="68"/>
        <v>-0.22529310448288964</v>
      </c>
      <c r="G52" s="255">
        <f t="shared" si="68"/>
        <v>-0.21124395280420835</v>
      </c>
      <c r="H52" s="255">
        <f t="shared" si="68"/>
        <v>-0.21179573544741853</v>
      </c>
      <c r="I52" s="255">
        <f t="shared" si="68"/>
        <v>-0.21540690521539013</v>
      </c>
      <c r="J52" s="255">
        <f t="shared" si="68"/>
        <v>-0.20916691000768839</v>
      </c>
      <c r="K52" s="255">
        <f t="shared" si="68"/>
        <v>-0.19012026289239223</v>
      </c>
      <c r="L52" s="255">
        <v>-0.19916691000768832</v>
      </c>
      <c r="M52" s="175"/>
      <c r="N52" s="1976">
        <f>(K52-L52)*100</f>
        <v>0.9046647115296097</v>
      </c>
      <c r="O52" s="1976">
        <f>(+K52-J52)*100</f>
        <v>1.904664711529616</v>
      </c>
      <c r="P52" s="204"/>
      <c r="Q52" s="255">
        <f t="shared" ref="Q52:AM52" si="69">+Q28/Q26</f>
        <v>-0.22448270625684638</v>
      </c>
      <c r="R52" s="255">
        <f t="shared" si="69"/>
        <v>-0.21579447833059368</v>
      </c>
      <c r="S52" s="255">
        <f t="shared" si="69"/>
        <v>-0.21047506130300608</v>
      </c>
      <c r="T52" s="255">
        <f t="shared" si="69"/>
        <v>-0.23819503119851732</v>
      </c>
      <c r="U52" s="255">
        <f t="shared" si="69"/>
        <v>-0.21996098116117879</v>
      </c>
      <c r="V52" s="255">
        <f t="shared" si="69"/>
        <v>-0.20787050715807415</v>
      </c>
      <c r="W52" s="255">
        <f t="shared" si="69"/>
        <v>-0.20625374113694139</v>
      </c>
      <c r="X52" s="255">
        <f t="shared" si="69"/>
        <v>-0.23438554789437435</v>
      </c>
      <c r="Y52" s="255">
        <f t="shared" si="69"/>
        <v>-0.21556227427565694</v>
      </c>
      <c r="Z52" s="255">
        <f t="shared" si="69"/>
        <v>-0.21407432273021865</v>
      </c>
      <c r="AA52" s="255">
        <f t="shared" si="69"/>
        <v>-0.2126115150097988</v>
      </c>
      <c r="AB52" s="255">
        <f t="shared" si="69"/>
        <v>-0.22131210148664227</v>
      </c>
      <c r="AC52" s="255">
        <f t="shared" si="69"/>
        <v>-0.22461193554485859</v>
      </c>
      <c r="AD52" s="255">
        <f t="shared" si="69"/>
        <v>-0.19714654314300092</v>
      </c>
      <c r="AE52" s="255">
        <f t="shared" si="69"/>
        <v>-0.19485080046540432</v>
      </c>
      <c r="AF52" s="255">
        <f t="shared" si="69"/>
        <v>-0.22722198575256281</v>
      </c>
      <c r="AG52" s="255">
        <f t="shared" si="69"/>
        <v>-0.19987248250012085</v>
      </c>
      <c r="AH52" s="255">
        <f t="shared" si="69"/>
        <v>-0.1870962378584643</v>
      </c>
      <c r="AI52" s="255">
        <f t="shared" si="69"/>
        <v>-0.19408004666153639</v>
      </c>
      <c r="AJ52" s="255">
        <f t="shared" si="69"/>
        <v>-0.17827594458083301</v>
      </c>
      <c r="AK52" s="255">
        <f t="shared" si="69"/>
        <v>-0.20534928162413535</v>
      </c>
      <c r="AL52" s="255">
        <f t="shared" si="69"/>
        <v>-0.21139141039061873</v>
      </c>
      <c r="AM52" s="2281">
        <f t="shared" si="69"/>
        <v>-0.22008108016156788</v>
      </c>
      <c r="AN52" s="2282">
        <v>-0.19599999999999992</v>
      </c>
      <c r="AO52" s="497"/>
      <c r="AP52" s="1976">
        <f>-(AM52-AN52)*100</f>
        <v>2.4081080161567958</v>
      </c>
      <c r="AQ52" s="1976">
        <f>-(+AM52-AI52)*100</f>
        <v>2.6001033500031494</v>
      </c>
    </row>
    <row r="53" spans="1:43"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1977"/>
      <c r="O53" s="1977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4"/>
      <c r="AE53" s="254"/>
      <c r="AF53" s="254"/>
      <c r="AG53" s="254"/>
      <c r="AH53" s="254"/>
      <c r="AI53" s="254"/>
      <c r="AJ53" s="254"/>
      <c r="AK53" s="254"/>
      <c r="AL53" s="254"/>
      <c r="AM53" s="254"/>
      <c r="AN53" s="254"/>
      <c r="AP53" s="1975"/>
      <c r="AQ53" s="1977"/>
    </row>
    <row r="54" spans="1:43">
      <c r="A54" s="259"/>
      <c r="B54" s="259"/>
      <c r="C54" s="1908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975"/>
      <c r="O54" s="1975"/>
      <c r="P54" s="204"/>
      <c r="Q54" s="175"/>
      <c r="R54" s="175"/>
      <c r="S54" s="175"/>
      <c r="T54" s="175"/>
      <c r="U54" s="175"/>
      <c r="V54" s="175"/>
      <c r="W54" s="175"/>
      <c r="X54" s="175"/>
      <c r="Y54" s="175"/>
      <c r="Z54" s="175"/>
      <c r="AA54" s="175"/>
      <c r="AB54" s="175"/>
      <c r="AC54" s="175"/>
      <c r="AD54" s="175"/>
      <c r="AE54" s="175"/>
      <c r="AF54" s="175"/>
      <c r="AG54" s="175"/>
      <c r="AH54" s="175"/>
      <c r="AI54" s="175"/>
      <c r="AJ54" s="175"/>
      <c r="AK54" s="175"/>
      <c r="AL54" s="2270"/>
      <c r="AM54" s="175"/>
      <c r="AN54" s="175"/>
      <c r="AO54" s="497"/>
      <c r="AP54" s="1975"/>
      <c r="AQ54" s="1975"/>
    </row>
    <row r="55" spans="1:43">
      <c r="A55" s="259"/>
      <c r="B55" s="259"/>
      <c r="C55" s="253" t="s">
        <v>1759</v>
      </c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975"/>
      <c r="O55" s="1975"/>
      <c r="P55" s="204"/>
      <c r="Q55" s="175"/>
      <c r="R55" s="175"/>
      <c r="S55" s="175"/>
      <c r="T55" s="175"/>
      <c r="U55" s="175"/>
      <c r="V55" s="175"/>
      <c r="W55" s="175"/>
      <c r="X55" s="175"/>
      <c r="Y55" s="263">
        <f>Wind!CJ118</f>
        <v>1202.0115372600001</v>
      </c>
      <c r="Z55" s="263">
        <f>Wind!CK118</f>
        <v>1268.94391535</v>
      </c>
      <c r="AA55" s="263">
        <f>Wind!CL118</f>
        <v>1343.99305914</v>
      </c>
      <c r="AB55" s="263">
        <f>Wind!CM118</f>
        <v>1627.1675837499999</v>
      </c>
      <c r="AC55" s="263">
        <f>Wind!CN118</f>
        <v>1685.82443126</v>
      </c>
      <c r="AD55" s="263">
        <f>Wind!CO118</f>
        <v>1851.4305818099999</v>
      </c>
      <c r="AE55" s="263">
        <f>Wind!CP118</f>
        <v>1916.4812166400002</v>
      </c>
      <c r="AF55" s="263">
        <f>Wind!CQ118</f>
        <v>2607.2214336500001</v>
      </c>
      <c r="AG55" s="263">
        <f>Wind!CR118</f>
        <v>2687.5416308000003</v>
      </c>
      <c r="AH55" s="263">
        <f>Wind!CS118</f>
        <v>2501.12192456</v>
      </c>
      <c r="AI55" s="263">
        <f>Wind!CT118</f>
        <v>2379.8039257</v>
      </c>
      <c r="AJ55" s="263">
        <f>Wind!CU118</f>
        <v>4760.5512853800001</v>
      </c>
      <c r="AK55" s="263">
        <f>Wind!CV118</f>
        <v>3869.6188125600002</v>
      </c>
      <c r="AL55" s="263">
        <f>Wind!CW118</f>
        <v>3667.0879203600002</v>
      </c>
      <c r="AM55" s="263">
        <f>Wind!CX118</f>
        <v>3562.99416681</v>
      </c>
      <c r="AN55" s="176"/>
      <c r="AO55" s="497"/>
      <c r="AP55" s="620"/>
      <c r="AQ55" s="620"/>
    </row>
    <row r="56" spans="1:43">
      <c r="A56" s="259"/>
      <c r="B56" s="259"/>
      <c r="C56" s="1908" t="s">
        <v>991</v>
      </c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975"/>
      <c r="O56" s="1975"/>
      <c r="P56" s="204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5"/>
      <c r="AB56" s="175"/>
      <c r="AC56" s="175">
        <f t="shared" ref="AC56:AJ56" si="70">AC55/Y55-1</f>
        <v>0.40250270401135868</v>
      </c>
      <c r="AD56" s="175">
        <f t="shared" si="70"/>
        <v>0.45903263289563001</v>
      </c>
      <c r="AE56" s="175">
        <f t="shared" si="70"/>
        <v>0.42596065032235075</v>
      </c>
      <c r="AF56" s="175">
        <f t="shared" si="70"/>
        <v>0.60230664603171991</v>
      </c>
      <c r="AG56" s="175">
        <f t="shared" si="70"/>
        <v>0.59420019129234469</v>
      </c>
      <c r="AH56" s="175">
        <f t="shared" si="70"/>
        <v>0.35091315285223779</v>
      </c>
      <c r="AI56" s="175">
        <f t="shared" si="70"/>
        <v>0.24175697890340042</v>
      </c>
      <c r="AJ56" s="175">
        <f t="shared" si="70"/>
        <v>0.8259098456073326</v>
      </c>
      <c r="AK56" s="175">
        <f>AK55/AG55-1</f>
        <v>0.43983585899211941</v>
      </c>
      <c r="AL56" s="175">
        <f>AL55/AH55-1</f>
        <v>0.46617719206356489</v>
      </c>
      <c r="AM56" s="175">
        <f>AM55/AI55-1</f>
        <v>0.4971797165020535</v>
      </c>
      <c r="AN56" s="176"/>
      <c r="AO56" s="497"/>
      <c r="AP56" s="620"/>
      <c r="AQ56" s="620"/>
    </row>
    <row r="57" spans="1:43">
      <c r="A57" s="259"/>
      <c r="B57" s="259"/>
      <c r="C57" s="256" t="s">
        <v>1760</v>
      </c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975"/>
      <c r="O57" s="1975"/>
      <c r="P57" s="204"/>
      <c r="Q57" s="175"/>
      <c r="R57" s="175"/>
      <c r="S57" s="175"/>
      <c r="T57" s="175"/>
      <c r="U57" s="175"/>
      <c r="V57" s="175"/>
      <c r="W57" s="175"/>
      <c r="X57" s="175"/>
      <c r="Y57" s="263">
        <f>Wind!CJ176</f>
        <v>2314.9115629499997</v>
      </c>
      <c r="Z57" s="263">
        <f>Wind!CK176-Wind!CJ176</f>
        <v>2643.7600755200006</v>
      </c>
      <c r="AA57" s="263">
        <f>Wind!CL176-Wind!CK176</f>
        <v>2737.6420749199997</v>
      </c>
      <c r="AB57" s="263">
        <f>Wind!CM176-Wind!CL176</f>
        <v>2444.5684784000005</v>
      </c>
      <c r="AC57" s="263">
        <f>Wind!CN176</f>
        <v>2943.76706775</v>
      </c>
      <c r="AD57" s="263">
        <f>Wind!CO176-Wind!CN176</f>
        <v>3553.3209189499994</v>
      </c>
      <c r="AE57" s="263">
        <f>Wind!CP176-Wind!CO176</f>
        <v>3711.1527582400004</v>
      </c>
      <c r="AF57" s="263">
        <f>Wind!CQ176-Wind!CP176</f>
        <v>3691.8035309799998</v>
      </c>
      <c r="AG57" s="263">
        <f>Wind!CR176</f>
        <v>4095.5743391399997</v>
      </c>
      <c r="AH57" s="263">
        <f>Wind!CS176-Wind!CR176</f>
        <v>4788.7386710699993</v>
      </c>
      <c r="AI57" s="263">
        <f>Wind!CT176-Wind!CS176</f>
        <v>5107.158628090001</v>
      </c>
      <c r="AJ57" s="263">
        <f>Wind!CU176-Wind!CT176</f>
        <v>6438.6719619500018</v>
      </c>
      <c r="AK57" s="263">
        <f>Wind!CV176</f>
        <v>4863.4823844700004</v>
      </c>
      <c r="AL57" s="263">
        <f>Wind!CW176-Wind!CV176</f>
        <v>6208.8899685399992</v>
      </c>
      <c r="AM57" s="263">
        <f>Wind!CX176-Wind!CW176</f>
        <v>6784.9667660199993</v>
      </c>
      <c r="AN57" s="176"/>
      <c r="AO57" s="497"/>
      <c r="AP57" s="620"/>
      <c r="AQ57" s="620"/>
    </row>
    <row r="58" spans="1:43">
      <c r="A58" s="259"/>
      <c r="B58" s="259"/>
      <c r="C58" s="2175" t="s">
        <v>991</v>
      </c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975"/>
      <c r="O58" s="1975"/>
      <c r="P58" s="204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>
        <f t="shared" ref="AC58:AM58" si="71">AC57/Y57-1</f>
        <v>0.27165422423248886</v>
      </c>
      <c r="AD58" s="175">
        <f t="shared" si="71"/>
        <v>0.34404061542955922</v>
      </c>
      <c r="AE58" s="175">
        <f t="shared" si="71"/>
        <v>0.3556018853737295</v>
      </c>
      <c r="AF58" s="175">
        <f t="shared" si="71"/>
        <v>0.51020663303174452</v>
      </c>
      <c r="AG58" s="175">
        <f t="shared" si="71"/>
        <v>0.391269840609487</v>
      </c>
      <c r="AH58" s="175">
        <f t="shared" si="71"/>
        <v>0.34767975657123129</v>
      </c>
      <c r="AI58" s="175">
        <f t="shared" si="71"/>
        <v>0.37616502493744042</v>
      </c>
      <c r="AJ58" s="175">
        <f t="shared" si="71"/>
        <v>0.74404512805719047</v>
      </c>
      <c r="AK58" s="175">
        <f t="shared" si="71"/>
        <v>0.18749703502909632</v>
      </c>
      <c r="AL58" s="175">
        <f t="shared" si="71"/>
        <v>0.29656061752742935</v>
      </c>
      <c r="AM58" s="175">
        <f t="shared" si="71"/>
        <v>0.32852085868291758</v>
      </c>
      <c r="AN58" s="176"/>
      <c r="AO58" s="497"/>
      <c r="AP58" s="620"/>
      <c r="AQ58" s="620"/>
    </row>
    <row r="59" spans="1:43">
      <c r="A59" s="259"/>
      <c r="B59" s="259"/>
      <c r="C59" s="256" t="s">
        <v>1652</v>
      </c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975"/>
      <c r="O59" s="1975"/>
      <c r="P59" s="204"/>
      <c r="Q59" s="175"/>
      <c r="R59" s="175"/>
      <c r="S59" s="175"/>
      <c r="T59" s="175"/>
      <c r="U59" s="175"/>
      <c r="V59" s="175"/>
      <c r="W59" s="175"/>
      <c r="X59" s="175"/>
      <c r="Y59" s="263">
        <f>Wind!CJ190</f>
        <v>291.35358689999998</v>
      </c>
      <c r="Z59" s="263">
        <f>Wind!CK190-Wind!CJ190</f>
        <v>421.8022879099999</v>
      </c>
      <c r="AA59" s="263">
        <f>Wind!CL190-Wind!CK190</f>
        <v>708.72730485000011</v>
      </c>
      <c r="AB59" s="263">
        <f>Wind!CM190-Wind!CL190</f>
        <v>604.22196107000013</v>
      </c>
      <c r="AC59" s="263">
        <f>Wind!CN190</f>
        <v>723.99698139999998</v>
      </c>
      <c r="AD59" s="263">
        <f>Wind!CO190-Wind!CN190</f>
        <v>573.95610904000011</v>
      </c>
      <c r="AE59" s="263">
        <f>Wind!CP190-Wind!CO190</f>
        <v>715.49370716999988</v>
      </c>
      <c r="AF59" s="263">
        <f>Wind!CQ190-Wind!CP190</f>
        <v>1267.8228550399999</v>
      </c>
      <c r="AG59" s="263">
        <f>Wind!CR190</f>
        <v>859.54440177000004</v>
      </c>
      <c r="AH59" s="263">
        <f>Wind!CS190-Wind!CR190</f>
        <v>1407.7482175599998</v>
      </c>
      <c r="AI59" s="263">
        <f>Wind!CT190-Wind!CS190</f>
        <v>768.12648648000004</v>
      </c>
      <c r="AJ59" s="263">
        <f>Wind!CU190-Wind!CT190</f>
        <v>2753.9894027300002</v>
      </c>
      <c r="AK59" s="263">
        <f>Wind!CV190</f>
        <v>631.49311247000003</v>
      </c>
      <c r="AL59" s="263">
        <f>Wind!CW190-Wind!CV190</f>
        <v>1108.9674503199999</v>
      </c>
      <c r="AM59" s="263">
        <f>Wind!CX190-Wind!CW190</f>
        <v>1392.1731211300003</v>
      </c>
      <c r="AN59" s="176"/>
      <c r="AO59" s="497"/>
      <c r="AP59" s="620"/>
      <c r="AQ59" s="620"/>
    </row>
    <row r="60" spans="1:43">
      <c r="A60" s="259"/>
      <c r="B60" s="259"/>
      <c r="C60" s="1908" t="s">
        <v>991</v>
      </c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975"/>
      <c r="O60" s="1975"/>
      <c r="P60" s="204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>
        <f t="shared" ref="AC60:AM60" si="72">AC59/Y59-1</f>
        <v>1.4849427429513482</v>
      </c>
      <c r="AD60" s="175">
        <f t="shared" si="72"/>
        <v>0.36072308162175104</v>
      </c>
      <c r="AE60" s="175">
        <f t="shared" si="72"/>
        <v>9.5472578433137834E-3</v>
      </c>
      <c r="AF60" s="175">
        <f t="shared" si="72"/>
        <v>1.0982733775429927</v>
      </c>
      <c r="AG60" s="175">
        <f t="shared" si="72"/>
        <v>0.18722097446855468</v>
      </c>
      <c r="AH60" s="175">
        <f t="shared" si="72"/>
        <v>1.4527105738356925</v>
      </c>
      <c r="AI60" s="175">
        <f t="shared" si="72"/>
        <v>7.3561484584091064E-2</v>
      </c>
      <c r="AJ60" s="175">
        <f t="shared" si="72"/>
        <v>1.172219400984936</v>
      </c>
      <c r="AK60" s="175">
        <f t="shared" si="72"/>
        <v>-0.26531647327396912</v>
      </c>
      <c r="AL60" s="175">
        <f t="shared" si="72"/>
        <v>-0.21224020283816525</v>
      </c>
      <c r="AM60" s="175">
        <f t="shared" si="72"/>
        <v>0.81242691878748108</v>
      </c>
      <c r="AN60" s="176"/>
      <c r="AO60" s="497"/>
      <c r="AP60" s="620"/>
      <c r="AQ60" s="620"/>
    </row>
    <row r="61" spans="1:43">
      <c r="A61" s="259"/>
      <c r="B61" s="259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916"/>
      <c r="P61" s="204"/>
      <c r="Q61" s="175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263"/>
      <c r="AH61" s="263"/>
      <c r="AI61" s="263"/>
      <c r="AJ61" s="263"/>
      <c r="AK61" s="263"/>
      <c r="AL61" s="263"/>
      <c r="AM61" s="263"/>
      <c r="AN61" s="176"/>
      <c r="AO61" s="497"/>
      <c r="AP61" s="620"/>
      <c r="AQ61" s="620"/>
    </row>
    <row r="62" spans="1:43">
      <c r="C62" s="67" t="s">
        <v>0</v>
      </c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1801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P62" s="67"/>
      <c r="AQ62" s="67"/>
    </row>
    <row r="67" spans="1:32">
      <c r="C67" s="1895" t="s">
        <v>1213</v>
      </c>
      <c r="D67" s="1895"/>
      <c r="E67" s="1895"/>
      <c r="F67" s="1895"/>
      <c r="G67" s="1895"/>
      <c r="H67" s="1895"/>
      <c r="I67" s="1895"/>
      <c r="J67" s="1895"/>
      <c r="K67" s="1895"/>
      <c r="L67" s="1895"/>
      <c r="M67" s="1895"/>
      <c r="N67" s="1895"/>
      <c r="O67" s="1917"/>
      <c r="P67" s="1895"/>
      <c r="Q67" s="1895"/>
      <c r="R67" s="1895"/>
      <c r="S67" s="1895"/>
      <c r="T67" s="1895"/>
      <c r="U67" s="1895"/>
      <c r="V67" s="1895"/>
      <c r="W67" s="1895"/>
      <c r="X67" s="1895"/>
      <c r="Y67" s="2303" t="s">
        <v>1714</v>
      </c>
      <c r="Z67" s="2303"/>
      <c r="AA67" s="1896"/>
      <c r="AB67" s="1903"/>
      <c r="AC67" s="1895"/>
      <c r="AD67" s="2303" t="s">
        <v>1717</v>
      </c>
      <c r="AE67" s="2303"/>
      <c r="AF67" s="2303"/>
    </row>
    <row r="68" spans="1:32">
      <c r="C68" s="1894" t="s">
        <v>1719</v>
      </c>
      <c r="D68" s="1894"/>
      <c r="E68" s="1894"/>
      <c r="F68" s="1894"/>
      <c r="G68" s="1894"/>
      <c r="H68" s="1894"/>
      <c r="I68" s="1894"/>
      <c r="J68" s="1894"/>
      <c r="K68" s="1894"/>
      <c r="L68" s="1894"/>
      <c r="M68" s="1894"/>
      <c r="N68" s="1894"/>
      <c r="O68" s="1918"/>
      <c r="P68" s="1894"/>
      <c r="Q68" s="1894"/>
      <c r="R68" s="1894"/>
      <c r="S68" s="1894"/>
      <c r="T68" s="1894"/>
      <c r="U68" s="1894"/>
      <c r="V68" s="1894"/>
      <c r="W68" s="1894"/>
      <c r="X68" s="1894"/>
      <c r="Y68" s="1902" t="s">
        <v>1715</v>
      </c>
      <c r="Z68" s="1902" t="s">
        <v>1723</v>
      </c>
      <c r="AA68" s="1902" t="s">
        <v>1716</v>
      </c>
      <c r="AB68" s="1902" t="s">
        <v>989</v>
      </c>
      <c r="AC68" s="1894"/>
      <c r="AD68" s="1894" t="s">
        <v>1715</v>
      </c>
      <c r="AE68" s="1902" t="s">
        <v>1723</v>
      </c>
      <c r="AF68" s="1894" t="s">
        <v>1716</v>
      </c>
    </row>
    <row r="69" spans="1:32">
      <c r="C69" s="31" t="s">
        <v>507</v>
      </c>
      <c r="Y69" s="1304">
        <v>15720</v>
      </c>
      <c r="Z69" s="1304">
        <f>AVERAGE(Y69,AA69)</f>
        <v>15910</v>
      </c>
      <c r="AA69" s="1304">
        <v>16100</v>
      </c>
      <c r="AB69" s="1304">
        <f>Quarterly!W6</f>
        <v>15838.851828270001</v>
      </c>
      <c r="AD69" s="1905">
        <f>Y69/$AB69-1</f>
        <v>-7.503815905258171E-3</v>
      </c>
      <c r="AE69" s="1905">
        <f>Z69/$AB69-1</f>
        <v>4.4920031136985727E-3</v>
      </c>
      <c r="AF69" s="1905">
        <f>AA69/$AB69-1</f>
        <v>1.6487822132655428E-2</v>
      </c>
    </row>
    <row r="70" spans="1:32" s="1900" customFormat="1">
      <c r="A70" s="1898"/>
      <c r="B70" s="1898"/>
      <c r="C70" s="1899" t="s">
        <v>991</v>
      </c>
      <c r="O70" s="1792"/>
      <c r="Y70" s="1901">
        <v>0.4</v>
      </c>
      <c r="Z70" s="1906">
        <f>AVERAGE(Y70,AA70)</f>
        <v>0.41500000000000004</v>
      </c>
      <c r="AA70" s="1901">
        <v>0.43</v>
      </c>
      <c r="AB70" s="1901">
        <f>Quarterly!W7</f>
        <v>0.40629862458102206</v>
      </c>
      <c r="AE70" s="1901"/>
    </row>
    <row r="71" spans="1:32">
      <c r="C71" s="31" t="s">
        <v>1718</v>
      </c>
      <c r="Y71" s="1304">
        <v>3150</v>
      </c>
      <c r="Z71" s="1304">
        <f>AVERAGE(Y71,AA71)</f>
        <v>3300</v>
      </c>
      <c r="AA71" s="1304">
        <v>3450</v>
      </c>
      <c r="AB71" s="1304">
        <f>Quarterly!W34</f>
        <v>3326.7088524400001</v>
      </c>
      <c r="AD71" s="1905">
        <f>Y71/$AB71-1</f>
        <v>-5.3118219921888143E-2</v>
      </c>
      <c r="AE71" s="1905">
        <f>Z71/$AB71-1</f>
        <v>-8.0286113467399334E-3</v>
      </c>
      <c r="AF71" s="1905">
        <f>AA71/$AB71-1</f>
        <v>3.7060997228408166E-2</v>
      </c>
    </row>
    <row r="72" spans="1:32" s="1900" customFormat="1">
      <c r="A72" s="1898"/>
      <c r="B72" s="1898"/>
      <c r="C72" s="1899" t="s">
        <v>991</v>
      </c>
      <c r="O72" s="1792"/>
      <c r="Y72" s="1901">
        <v>0.54</v>
      </c>
      <c r="Z72" s="1901">
        <f>Z71/Quarterly!S34-1</f>
        <v>0.61782723725805</v>
      </c>
      <c r="AA72" s="1901">
        <v>0.69</v>
      </c>
      <c r="AB72" s="1901">
        <f>Quarterly!W35</f>
        <v>0.63092127027421308</v>
      </c>
      <c r="AE72" s="1901"/>
    </row>
    <row r="73" spans="1:32">
      <c r="C73" s="31" t="s">
        <v>1298</v>
      </c>
      <c r="Y73" s="1905">
        <f>Y71/Y69</f>
        <v>0.20038167938931298</v>
      </c>
      <c r="Z73" s="1905">
        <f>Z71/Z69</f>
        <v>0.20741671904462602</v>
      </c>
      <c r="AA73" s="1905">
        <f>AA71/AA69</f>
        <v>0.21428571428571427</v>
      </c>
      <c r="AB73" s="1905">
        <f>AB71/AB69</f>
        <v>0.21003472275069324</v>
      </c>
      <c r="AD73" s="1904">
        <f>(Y73-$AB73)*100</f>
        <v>-0.96530433613802591</v>
      </c>
      <c r="AE73" s="1904">
        <f>(Z73-$AB73)*100</f>
        <v>-0.26180037060672123</v>
      </c>
      <c r="AF73" s="1904">
        <f>(AA73-$AB73)*100</f>
        <v>0.4250991535021037</v>
      </c>
    </row>
    <row r="74" spans="1:32" s="1900" customFormat="1">
      <c r="A74" s="1898"/>
      <c r="B74" s="1898"/>
      <c r="C74" s="1899" t="s">
        <v>1721</v>
      </c>
      <c r="O74" s="1792"/>
      <c r="Y74" s="1904">
        <f>(Y73-Quarterly!$S$34/Quarterly!$S$6)*100</f>
        <v>1.9274505731019715</v>
      </c>
      <c r="Z74" s="1904">
        <f>(Z73-Quarterly!$S$34/Quarterly!$S$6)*100</f>
        <v>2.6309545386332762</v>
      </c>
      <c r="AA74" s="1904">
        <f>(AA73-Quarterly!$S$34/Quarterly!$S$6)*100</f>
        <v>3.3178540627421009</v>
      </c>
      <c r="AB74" s="1904">
        <f>(AB73-Quarterly!$S$34/Quarterly!$S$6)*100</f>
        <v>2.8927549092399971</v>
      </c>
      <c r="AE74" s="1904"/>
    </row>
    <row r="75" spans="1:32">
      <c r="C75" s="1897" t="s">
        <v>1722</v>
      </c>
      <c r="Y75" s="1304">
        <v>3070</v>
      </c>
      <c r="Z75" s="1304">
        <f>AVERAGE(Y75,AA75)</f>
        <v>3220</v>
      </c>
      <c r="AA75" s="1304">
        <v>3370</v>
      </c>
      <c r="AB75" s="1304"/>
      <c r="AE75" s="1304"/>
    </row>
    <row r="76" spans="1:32" s="1900" customFormat="1">
      <c r="A76" s="1898"/>
      <c r="B76" s="1898"/>
      <c r="C76" s="1899" t="s">
        <v>991</v>
      </c>
      <c r="O76" s="1792"/>
      <c r="Y76" s="1901">
        <v>0.64</v>
      </c>
      <c r="Z76" s="1901">
        <f>Z75/(Y75/(1+Y76))-1</f>
        <v>0.72013029315960919</v>
      </c>
      <c r="AA76" s="1901">
        <v>0.8</v>
      </c>
      <c r="AB76" s="1901"/>
      <c r="AE76" s="1901"/>
    </row>
    <row r="78" spans="1:32">
      <c r="C78" s="1894" t="s">
        <v>1720</v>
      </c>
      <c r="D78" s="1894"/>
      <c r="E78" s="1894"/>
      <c r="F78" s="1894"/>
      <c r="G78" s="1894"/>
      <c r="H78" s="1894"/>
      <c r="I78" s="1894"/>
      <c r="J78" s="1894"/>
      <c r="K78" s="1894"/>
      <c r="L78" s="1894"/>
      <c r="M78" s="1894"/>
      <c r="N78" s="1894"/>
      <c r="O78" s="1918"/>
      <c r="P78" s="1894"/>
      <c r="Q78" s="1894"/>
      <c r="R78" s="1894"/>
      <c r="S78" s="1894"/>
      <c r="T78" s="1894"/>
      <c r="U78" s="1894"/>
      <c r="V78" s="1894"/>
      <c r="W78" s="1894"/>
      <c r="X78" s="1894"/>
      <c r="Y78" s="1894" t="s">
        <v>1715</v>
      </c>
      <c r="Z78" s="1902" t="s">
        <v>1723</v>
      </c>
      <c r="AA78" s="1894" t="s">
        <v>1716</v>
      </c>
      <c r="AB78" s="1902" t="s">
        <v>989</v>
      </c>
      <c r="AC78" s="1894"/>
      <c r="AD78" s="1894" t="s">
        <v>1715</v>
      </c>
      <c r="AE78" s="1902" t="s">
        <v>1723</v>
      </c>
      <c r="AF78" s="1894" t="s">
        <v>1716</v>
      </c>
    </row>
    <row r="79" spans="1:32">
      <c r="C79" s="31" t="s">
        <v>507</v>
      </c>
      <c r="Y79" s="1304">
        <f>Y69-Quarterly!$V$6</f>
        <v>3161.7184977399993</v>
      </c>
      <c r="Z79" s="1304">
        <f>AVERAGE(Y79,AA79)</f>
        <v>3351.7184977399993</v>
      </c>
      <c r="AA79" s="1304">
        <f>AA69-Quarterly!$V$6</f>
        <v>3541.7184977399993</v>
      </c>
      <c r="AB79" s="1304">
        <f>Quarterly!W43</f>
        <v>3280.5703260099999</v>
      </c>
      <c r="AD79" s="1905">
        <f>Y79/$AB79-1</f>
        <v>-3.622901400030476E-2</v>
      </c>
      <c r="AE79" s="1905">
        <f>Z79/$AB79-1</f>
        <v>2.1687744708869916E-2</v>
      </c>
      <c r="AF79" s="1905">
        <f>AA79/$AB79-1</f>
        <v>7.9604503418044814E-2</v>
      </c>
    </row>
    <row r="80" spans="1:32">
      <c r="C80" s="1893" t="s">
        <v>991</v>
      </c>
      <c r="Y80" s="1901">
        <f>Y79/Quarterly!$S$43-1</f>
        <v>0.20589669687124368</v>
      </c>
      <c r="Z80" s="1901">
        <f>Z79/Quarterly!$S$43-1</f>
        <v>0.27836373420214833</v>
      </c>
      <c r="AA80" s="1901">
        <f>AA79/Quarterly!$S$43-1</f>
        <v>0.35083077153305298</v>
      </c>
      <c r="AB80" s="1901">
        <f>AB79/Quarterly!$S$43-1</f>
        <v>0.25122743306118256</v>
      </c>
      <c r="AD80" s="1900"/>
      <c r="AE80" s="1901"/>
      <c r="AF80" s="1900"/>
    </row>
    <row r="81" spans="3:32">
      <c r="C81" s="31" t="s">
        <v>1718</v>
      </c>
      <c r="Y81" s="1304">
        <f>Y71-Quarterly!$V$34</f>
        <v>442.60759255999983</v>
      </c>
      <c r="Z81" s="1304">
        <f>AVERAGE(Y81,AA81)</f>
        <v>592.60759255999983</v>
      </c>
      <c r="AA81" s="1304">
        <f>AA71-Quarterly!$V$34</f>
        <v>742.60759255999983</v>
      </c>
      <c r="AB81" s="1304">
        <f>Quarterly!W70</f>
        <v>619.31644500000027</v>
      </c>
      <c r="AD81" s="1905">
        <f>Y81/$AB81-1</f>
        <v>-0.28532885549325326</v>
      </c>
      <c r="AE81" s="1905">
        <f>Z81/$AB81-1</f>
        <v>-4.3126341397248802E-2</v>
      </c>
      <c r="AF81" s="1905">
        <f>AA81/$AB81-1</f>
        <v>0.19907617269875577</v>
      </c>
    </row>
    <row r="82" spans="3:32">
      <c r="C82" s="1893" t="s">
        <v>991</v>
      </c>
      <c r="Y82" s="1901">
        <f>Y81/Quarterly!$S$70-1</f>
        <v>0.15210804192874638</v>
      </c>
      <c r="Z82" s="1901">
        <f>Z81/Quarterly!$S$70-1</f>
        <v>0.54255820409103483</v>
      </c>
      <c r="AA82" s="1901">
        <f>AA81/Quarterly!$S$70-1</f>
        <v>0.93300836625332306</v>
      </c>
      <c r="AB82" s="1901">
        <f>AB81/Quarterly!$S$70-1</f>
        <v>0.61208137586681355</v>
      </c>
      <c r="AD82" s="1900"/>
      <c r="AE82" s="1901"/>
      <c r="AF82" s="1900"/>
    </row>
    <row r="83" spans="3:32">
      <c r="C83" s="31" t="s">
        <v>1298</v>
      </c>
      <c r="Y83" s="1905">
        <f>Y81/Y79</f>
        <v>0.13998956354791747</v>
      </c>
      <c r="Z83" s="1905">
        <f>Z81/Z79</f>
        <v>0.17680708954513452</v>
      </c>
      <c r="AA83" s="1905">
        <f>AA81/AA79</f>
        <v>0.2096743693870261</v>
      </c>
      <c r="AB83" s="1905">
        <f>AB81/AB79</f>
        <v>0.18878316373520487</v>
      </c>
      <c r="AD83" s="1904">
        <f>(Y83-$AB83)*100</f>
        <v>-4.8793600187287396</v>
      </c>
      <c r="AE83" s="1904">
        <f>(Z83-$AB83)*100</f>
        <v>-1.1976074190070352</v>
      </c>
      <c r="AF83" s="1904">
        <f>(AA83-$AB83)*100</f>
        <v>2.0891205651821232</v>
      </c>
    </row>
    <row r="84" spans="3:32">
      <c r="C84" s="1893" t="s">
        <v>1721</v>
      </c>
      <c r="Y84" s="1904">
        <f>(Y83-Quarterly!$S$67/Quarterly!$S$43)*100</f>
        <v>-0.65357154495892522</v>
      </c>
      <c r="Z84" s="1904">
        <f>(Z83-Quarterly!$S$67/Quarterly!$S$43)*100</f>
        <v>3.0281810547627797</v>
      </c>
      <c r="AA84" s="1904">
        <f>(AA83-Quarterly!$S$67/Quarterly!$S$43)*100</f>
        <v>6.3149090389519378</v>
      </c>
      <c r="AB84" s="1904">
        <f>(AB83-Quarterly!$S$67/Quarterly!$S$43)*100</f>
        <v>4.225788473769815</v>
      </c>
      <c r="AE84" s="1904"/>
    </row>
    <row r="85" spans="3:32">
      <c r="C85" s="1897" t="s">
        <v>1722</v>
      </c>
      <c r="Y85" s="1304">
        <f>Y75-2663.231</f>
        <v>406.76899999999978</v>
      </c>
      <c r="Z85" s="1304">
        <f>Z75-2663.231</f>
        <v>556.76899999999978</v>
      </c>
      <c r="AA85" s="1304">
        <f>AA75-2663.231</f>
        <v>706.76899999999978</v>
      </c>
      <c r="AB85" s="1304"/>
      <c r="AE85" s="1304"/>
    </row>
    <row r="86" spans="3:32">
      <c r="C86" s="1893" t="s">
        <v>991</v>
      </c>
      <c r="Y86" s="1901">
        <f>Y85/368-1</f>
        <v>0.10535054347826023</v>
      </c>
      <c r="Z86" s="1901">
        <f>Z85/368-1</f>
        <v>0.51295923913043429</v>
      </c>
      <c r="AA86" s="1901">
        <f>AA85/368-1</f>
        <v>0.92056793478260812</v>
      </c>
      <c r="AB86" s="1901"/>
      <c r="AE86" s="1901"/>
    </row>
  </sheetData>
  <mergeCells count="3">
    <mergeCell ref="A2:B6"/>
    <mergeCell ref="Y67:Z67"/>
    <mergeCell ref="AD67:AF67"/>
  </mergeCells>
  <phoneticPr fontId="327" type="noConversion"/>
  <printOptions horizontalCentered="1" verticalCentered="1"/>
  <pageMargins left="0.75" right="0.75" top="1" bottom="1" header="0.5" footer="0.5"/>
  <pageSetup paperSize="9" scale="10" orientation="portrait" horizontalDpi="300" verticalDpi="300" r:id="rId1"/>
  <headerFooter alignWithMargins="0"/>
  <customProperties>
    <customPr name="Qube.Worksheet.Visibility" r:id="rId2"/>
  </customProperties>
  <ignoredErrors>
    <ignoredError sqref="O17 AO44:AO49 M53:N53 O9 D47:E48 D44:E44 O21 O27 O29:O31 O33 M44:M49 D53:E53" unlockedFormula="1"/>
    <ignoredError sqref="D5:E5" numberStoredAsText="1"/>
  </ignoredError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>
    <pageSetUpPr fitToPage="1"/>
  </sheetPr>
  <dimension ref="A1:Z274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9" defaultRowHeight="13.5" customHeight="1" outlineLevelRow="2" outlineLevelCol="1"/>
  <cols>
    <col min="1" max="1" width="1.25" style="68" customWidth="1"/>
    <col min="2" max="2" width="39" style="67" customWidth="1"/>
    <col min="3" max="3" width="10" style="66" hidden="1" customWidth="1" outlineLevel="1"/>
    <col min="4" max="4" width="9.25" style="66" customWidth="1" collapsed="1"/>
    <col min="5" max="7" width="9.25" style="66" customWidth="1"/>
    <col min="8" max="11" width="10" style="66" customWidth="1"/>
    <col min="12" max="14" width="9" style="66" customWidth="1"/>
    <col min="15" max="18" width="9.25" style="66" customWidth="1"/>
    <col min="19" max="23" width="9" style="66"/>
    <col min="24" max="25" width="9" style="66" customWidth="1"/>
    <col min="26" max="16384" width="9" style="66"/>
  </cols>
  <sheetData>
    <row r="1" spans="1:25" s="67" customFormat="1" ht="15.75">
      <c r="A1" s="96"/>
      <c r="B1" s="96"/>
      <c r="C1" s="415"/>
      <c r="D1" s="415"/>
      <c r="E1" s="415"/>
      <c r="F1" s="415"/>
      <c r="G1" s="415"/>
      <c r="O1" s="415"/>
      <c r="P1" s="415"/>
      <c r="Q1" s="415"/>
      <c r="R1" s="415"/>
    </row>
    <row r="2" spans="1:25" s="67" customFormat="1" ht="15.75">
      <c r="A2" s="875" t="e">
        <f>#REF!</f>
        <v>#REF!</v>
      </c>
      <c r="B2" s="875" t="s">
        <v>1107</v>
      </c>
      <c r="C2" s="876"/>
      <c r="D2" s="876"/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6"/>
      <c r="U2" s="876"/>
      <c r="V2" s="876"/>
      <c r="W2" s="876"/>
      <c r="X2" s="876"/>
      <c r="Y2" s="876"/>
    </row>
    <row r="3" spans="1:25" s="67" customFormat="1" ht="15.75">
      <c r="A3" s="877" t="e">
        <f>#REF!</f>
        <v>#REF!</v>
      </c>
      <c r="B3" s="878"/>
      <c r="C3" s="876"/>
      <c r="D3" s="876"/>
      <c r="E3" s="876"/>
      <c r="F3" s="876"/>
      <c r="G3" s="876"/>
      <c r="H3" s="876"/>
      <c r="I3" s="876"/>
      <c r="J3" s="876"/>
      <c r="K3" s="876"/>
      <c r="L3" s="876"/>
      <c r="M3" s="876"/>
      <c r="N3" s="876"/>
      <c r="O3" s="876"/>
      <c r="P3" s="876"/>
      <c r="Q3" s="876"/>
      <c r="R3" s="876"/>
      <c r="S3" s="876"/>
      <c r="T3" s="876"/>
      <c r="U3" s="876"/>
      <c r="V3" s="876"/>
      <c r="W3" s="876"/>
      <c r="X3" s="876"/>
      <c r="Y3" s="876"/>
    </row>
    <row r="4" spans="1:25" s="155" customFormat="1" ht="15">
      <c r="A4" s="879"/>
      <c r="B4" s="879"/>
      <c r="C4" s="880" t="s">
        <v>930</v>
      </c>
      <c r="D4" s="880" t="s">
        <v>931</v>
      </c>
      <c r="E4" s="880" t="s">
        <v>932</v>
      </c>
      <c r="F4" s="880" t="s">
        <v>1027</v>
      </c>
      <c r="G4" s="880">
        <v>2021</v>
      </c>
      <c r="H4" s="880">
        <v>2022</v>
      </c>
      <c r="I4" s="880">
        <v>2023</v>
      </c>
      <c r="J4" s="880">
        <v>2024</v>
      </c>
      <c r="K4" s="880" t="s">
        <v>1071</v>
      </c>
      <c r="L4" s="880" t="s">
        <v>1096</v>
      </c>
      <c r="M4" s="880" t="s">
        <v>1401</v>
      </c>
      <c r="N4" s="880"/>
      <c r="O4" s="880" t="s">
        <v>1067</v>
      </c>
      <c r="P4" s="880" t="s">
        <v>1074</v>
      </c>
      <c r="Q4" s="880" t="s">
        <v>1094</v>
      </c>
      <c r="R4" s="880" t="s">
        <v>1211</v>
      </c>
      <c r="S4" s="880" t="s">
        <v>1210</v>
      </c>
      <c r="T4" s="880" t="s">
        <v>1239</v>
      </c>
      <c r="U4" s="880" t="s">
        <v>1240</v>
      </c>
      <c r="V4" s="880" t="s">
        <v>1241</v>
      </c>
      <c r="W4" s="880" t="s">
        <v>1476</v>
      </c>
      <c r="X4" s="880" t="s">
        <v>1745</v>
      </c>
      <c r="Y4" s="880" t="s">
        <v>1751</v>
      </c>
    </row>
    <row r="5" spans="1:25" s="67" customFormat="1" ht="12.75">
      <c r="A5" s="72"/>
      <c r="B5" s="128" t="s">
        <v>71</v>
      </c>
      <c r="C5" s="154">
        <f t="shared" ref="C5:L5" si="0">IF(ISERROR(C60)," ",(C60))</f>
        <v>1.9637076588801066</v>
      </c>
      <c r="D5" s="154">
        <f t="shared" si="0"/>
        <v>0.47435371529670339</v>
      </c>
      <c r="E5" s="154">
        <f t="shared" si="0"/>
        <v>1.2191750209829058</v>
      </c>
      <c r="F5" s="154">
        <f t="shared" si="0"/>
        <v>1.7351784526068383</v>
      </c>
      <c r="G5" s="154">
        <f t="shared" si="0"/>
        <v>2.29409727754883</v>
      </c>
      <c r="H5" s="154">
        <f t="shared" si="0"/>
        <v>2.7701626139346502</v>
      </c>
      <c r="I5" s="154">
        <f t="shared" si="0"/>
        <v>3.9225419439898634</v>
      </c>
      <c r="J5" s="154">
        <f>IF(ISERROR(J60)," ",(J60))</f>
        <v>6.3973570899958307</v>
      </c>
      <c r="K5" s="154">
        <f t="shared" si="0"/>
        <v>8.7744878691599482</v>
      </c>
      <c r="L5" s="154">
        <f t="shared" si="0"/>
        <v>10.87626555906585</v>
      </c>
      <c r="M5" s="154">
        <f>IF(ISERROR(M60)," ",(M60))</f>
        <v>12.988134917422284</v>
      </c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</row>
    <row r="6" spans="1:25" s="67" customFormat="1" ht="12.75">
      <c r="A6" s="72"/>
      <c r="B6" s="153" t="s">
        <v>215</v>
      </c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76"/>
    </row>
    <row r="7" spans="1:25" s="67" customFormat="1" ht="12.75">
      <c r="A7" s="72"/>
      <c r="B7" s="151" t="s">
        <v>216</v>
      </c>
      <c r="C7" s="147" t="str">
        <f>IF(ISERROR(C5/#REF!-1)," ",(C5/#REF!-1))</f>
        <v xml:space="preserve"> </v>
      </c>
      <c r="D7" s="147">
        <f t="shared" ref="D7:L7" si="1">IF(ISERROR(D5/C5-1)," ",(D5/C5-1))</f>
        <v>-0.75843974883347698</v>
      </c>
      <c r="E7" s="147">
        <f t="shared" si="1"/>
        <v>1.5701812416928669</v>
      </c>
      <c r="F7" s="147">
        <f t="shared" si="1"/>
        <v>0.42323983246304353</v>
      </c>
      <c r="G7" s="147">
        <f t="shared" si="1"/>
        <v>0.32211028445074463</v>
      </c>
      <c r="H7" s="147">
        <f t="shared" si="1"/>
        <v>0.20751750200169417</v>
      </c>
      <c r="I7" s="147">
        <f t="shared" si="1"/>
        <v>0.41599699752586394</v>
      </c>
      <c r="J7" s="147">
        <f t="shared" si="1"/>
        <v>0.63092127027421352</v>
      </c>
      <c r="K7" s="147">
        <f t="shared" si="1"/>
        <v>0.37158013000110124</v>
      </c>
      <c r="L7" s="147">
        <f t="shared" si="1"/>
        <v>0.23953280479116112</v>
      </c>
      <c r="M7" s="147">
        <f>IF(ISERROR(M5/L5-1)," ",(M5/L5-1))</f>
        <v>0.19417228706742073</v>
      </c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</row>
    <row r="8" spans="1:25" s="149" customFormat="1" ht="13.5" customHeight="1">
      <c r="A8" s="150"/>
      <c r="B8" s="128" t="s">
        <v>230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</row>
    <row r="9" spans="1:25" s="67" customFormat="1" ht="12.75">
      <c r="A9" s="72"/>
      <c r="B9" s="148" t="s">
        <v>229</v>
      </c>
      <c r="C9" s="147"/>
      <c r="D9" s="147"/>
      <c r="E9" s="147"/>
      <c r="F9" s="147"/>
      <c r="G9" s="147"/>
      <c r="H9" s="147"/>
      <c r="I9" s="147">
        <f>(I13/G13)^(1/2)-1</f>
        <v>0.2704661956689498</v>
      </c>
      <c r="J9" s="147">
        <f>(J13/H13)^(1/2)-1</f>
        <v>0.36462944762277405</v>
      </c>
      <c r="K9" s="147"/>
      <c r="L9" s="147">
        <f>(L13/J13)^(1/2)-1</f>
        <v>0.26644111792594827</v>
      </c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</row>
    <row r="10" spans="1:25" s="67" customFormat="1" ht="12.75">
      <c r="A10" s="72"/>
      <c r="C10" s="147"/>
      <c r="D10" s="147"/>
      <c r="E10" s="147"/>
      <c r="F10" s="147"/>
      <c r="G10" s="147"/>
      <c r="H10" s="147"/>
      <c r="I10" s="147">
        <f>(I57/G57)^(1/2)-1</f>
        <v>0.30760894662522476</v>
      </c>
      <c r="J10" s="147">
        <f>(J57/H57)^(1/2)-1</f>
        <v>0.51966431224443577</v>
      </c>
      <c r="K10" s="1796"/>
      <c r="L10" s="147">
        <f>(L57/J57)^(1/2)-1</f>
        <v>0.30388594805530822</v>
      </c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</row>
    <row r="11" spans="1:25" s="67" customFormat="1" ht="15.75" customHeight="1">
      <c r="A11" s="72"/>
      <c r="B11" s="881" t="s">
        <v>228</v>
      </c>
      <c r="C11" s="882" t="str">
        <f t="shared" ref="C11:L11" si="2">C4</f>
        <v>2017</v>
      </c>
      <c r="D11" s="882" t="str">
        <f t="shared" si="2"/>
        <v>2018</v>
      </c>
      <c r="E11" s="882" t="str">
        <f t="shared" si="2"/>
        <v>2019</v>
      </c>
      <c r="F11" s="882" t="str">
        <f t="shared" si="2"/>
        <v>2020</v>
      </c>
      <c r="G11" s="882">
        <f t="shared" si="2"/>
        <v>2021</v>
      </c>
      <c r="H11" s="882">
        <f t="shared" si="2"/>
        <v>2022</v>
      </c>
      <c r="I11" s="882">
        <f t="shared" si="2"/>
        <v>2023</v>
      </c>
      <c r="J11" s="882">
        <f>J4</f>
        <v>2024</v>
      </c>
      <c r="K11" s="882" t="str">
        <f t="shared" si="2"/>
        <v>2025E</v>
      </c>
      <c r="L11" s="882" t="str">
        <f t="shared" si="2"/>
        <v>2026E</v>
      </c>
      <c r="M11" s="882" t="str">
        <f>M4</f>
        <v>2027E</v>
      </c>
      <c r="N11" s="882"/>
      <c r="O11" s="884" t="str">
        <f t="shared" ref="O11:V11" si="3">O4</f>
        <v>1H20</v>
      </c>
      <c r="P11" s="884" t="str">
        <f t="shared" si="3"/>
        <v>2H20</v>
      </c>
      <c r="Q11" s="884" t="str">
        <f t="shared" si="3"/>
        <v>1H21</v>
      </c>
      <c r="R11" s="884" t="str">
        <f t="shared" si="3"/>
        <v>2H21</v>
      </c>
      <c r="S11" s="884" t="str">
        <f t="shared" si="3"/>
        <v>1H22</v>
      </c>
      <c r="T11" s="884" t="str">
        <f t="shared" si="3"/>
        <v>2H22</v>
      </c>
      <c r="U11" s="884" t="str">
        <f t="shared" si="3"/>
        <v>1H23</v>
      </c>
      <c r="V11" s="884" t="str">
        <f t="shared" si="3"/>
        <v>2H23</v>
      </c>
      <c r="W11" s="884" t="str">
        <f>W4</f>
        <v>1H24</v>
      </c>
      <c r="X11" s="884" t="str">
        <f>X4</f>
        <v>2H24</v>
      </c>
      <c r="Y11" s="884"/>
    </row>
    <row r="12" spans="1:25" ht="13.5" customHeight="1">
      <c r="A12" s="72"/>
      <c r="B12" s="146"/>
      <c r="C12" s="145"/>
      <c r="D12" s="145"/>
      <c r="E12" s="145"/>
      <c r="F12" s="145"/>
      <c r="G12" s="145"/>
      <c r="H12" s="145"/>
      <c r="I12" s="1803"/>
      <c r="J12" s="1803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</row>
    <row r="13" spans="1:25" ht="13.5" customHeight="1">
      <c r="A13" s="78"/>
      <c r="B13" s="89" t="s">
        <v>227</v>
      </c>
      <c r="C13" s="86">
        <f>+'Raw Data'!C8</f>
        <v>2843.8076000000001</v>
      </c>
      <c r="D13" s="86">
        <f>+'Raw Data'!D8</f>
        <v>3037.53599962</v>
      </c>
      <c r="E13" s="86">
        <f>+'Raw Data'!E8</f>
        <v>4208.7284792700002</v>
      </c>
      <c r="F13" s="86">
        <f>+'Raw Data'!F8</f>
        <v>4958.50261873</v>
      </c>
      <c r="G13" s="86">
        <f>+'Raw Data'!G8</f>
        <v>6977.8224744099998</v>
      </c>
      <c r="H13" s="86">
        <f>+'Raw Data'!H8</f>
        <v>8505.3897304999991</v>
      </c>
      <c r="I13" s="86">
        <f>+'Raw Data'!I8</f>
        <v>11262.79408329</v>
      </c>
      <c r="J13" s="86">
        <f>+'Raw Data'!J8</f>
        <v>15838.851828270001</v>
      </c>
      <c r="K13" s="86">
        <f>Segment!N9</f>
        <v>20991.91050367153</v>
      </c>
      <c r="L13" s="86">
        <f>Segment!O9</f>
        <v>25403.508464190782</v>
      </c>
      <c r="M13" s="86">
        <f>Segment!P9</f>
        <v>29791.986591844819</v>
      </c>
      <c r="N13" s="86"/>
      <c r="O13" s="86">
        <f>+Segment!V9</f>
        <v>2469.4627</v>
      </c>
      <c r="P13" s="86">
        <f>+Segment!W9</f>
        <v>2489.03991873</v>
      </c>
      <c r="Q13" s="86">
        <f>+Segment!X9</f>
        <v>3682.2617543400002</v>
      </c>
      <c r="R13" s="86">
        <f>+Segment!Y9</f>
        <v>3295.5607200699997</v>
      </c>
      <c r="S13" s="86">
        <f>+Segment!Z9</f>
        <v>4291.2739970599996</v>
      </c>
      <c r="T13" s="86">
        <f>+Segment!AA9</f>
        <v>4214.1157334399995</v>
      </c>
      <c r="U13" s="86">
        <f>+Segment!AB9</f>
        <v>5460.1849288999992</v>
      </c>
      <c r="V13" s="86">
        <f>+Segment!AC9</f>
        <v>5802.6091543900011</v>
      </c>
      <c r="W13" s="86">
        <f>+Segment!AD9</f>
        <v>7873.2878521000002</v>
      </c>
      <c r="X13" s="86">
        <f>+Segment!AE9</f>
        <v>7965.5639761700004</v>
      </c>
      <c r="Y13" s="86">
        <f>+Segment!AF9</f>
        <v>10736.627858450001</v>
      </c>
    </row>
    <row r="14" spans="1:25" s="74" customFormat="1" ht="13.5" hidden="1" customHeight="1" outlineLevel="1">
      <c r="A14" s="138"/>
      <c r="B14" s="137" t="s">
        <v>216</v>
      </c>
      <c r="C14" s="136" t="str">
        <f>IF(ISERROR(C13/#REF!-1)," ",(C13/#REF!-1))</f>
        <v xml:space="preserve"> </v>
      </c>
      <c r="D14" s="136">
        <f t="shared" ref="D14:L14" si="4">IF(ISERROR(D13/C13-1)," ",(D13/C13-1))</f>
        <v>6.8122892568400095E-2</v>
      </c>
      <c r="E14" s="136">
        <f t="shared" si="4"/>
        <v>0.38557320136996509</v>
      </c>
      <c r="F14" s="136">
        <f t="shared" si="4"/>
        <v>0.17814742460888033</v>
      </c>
      <c r="G14" s="136">
        <f t="shared" si="4"/>
        <v>0.40724388206478346</v>
      </c>
      <c r="H14" s="136">
        <f t="shared" si="4"/>
        <v>0.21891747198959233</v>
      </c>
      <c r="I14" s="136">
        <f t="shared" si="4"/>
        <v>0.32419494463634702</v>
      </c>
      <c r="J14" s="136">
        <f t="shared" si="4"/>
        <v>0.40629862458102206</v>
      </c>
      <c r="K14" s="136">
        <f t="shared" si="4"/>
        <v>0.32534294349569493</v>
      </c>
      <c r="L14" s="136">
        <f t="shared" si="4"/>
        <v>0.2101570488187654</v>
      </c>
      <c r="M14" s="136">
        <f>IF(ISERROR(M13/L13-1)," ",(M13/L13-1))</f>
        <v>0.17275086761500336</v>
      </c>
      <c r="N14" s="136"/>
      <c r="O14" s="136"/>
      <c r="P14" s="136"/>
      <c r="Q14" s="136">
        <f>Q13/O13-1</f>
        <v>0.49111859609784747</v>
      </c>
      <c r="R14" s="136">
        <f t="shared" ref="R14:Y14" si="5">R13/P13-1</f>
        <v>0.32402887365161925</v>
      </c>
      <c r="S14" s="136">
        <f t="shared" si="5"/>
        <v>0.16539080688715391</v>
      </c>
      <c r="T14" s="136">
        <f t="shared" si="5"/>
        <v>0.27872495499050887</v>
      </c>
      <c r="U14" s="136">
        <f t="shared" si="5"/>
        <v>0.27239251854829916</v>
      </c>
      <c r="V14" s="136">
        <f t="shared" si="5"/>
        <v>0.37694584615817095</v>
      </c>
      <c r="W14" s="136">
        <f t="shared" si="5"/>
        <v>0.44194527376312531</v>
      </c>
      <c r="X14" s="136">
        <f t="shared" si="5"/>
        <v>0.37275555947854966</v>
      </c>
      <c r="Y14" s="136">
        <f t="shared" si="5"/>
        <v>0.36367780019452445</v>
      </c>
    </row>
    <row r="15" spans="1:25" ht="13.5" customHeight="1" collapsed="1">
      <c r="A15" s="73"/>
      <c r="B15" s="133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</row>
    <row r="16" spans="1:25" ht="13.5" customHeight="1">
      <c r="A16" s="78"/>
      <c r="B16" s="93" t="s">
        <v>49</v>
      </c>
      <c r="C16" s="77">
        <f>+'Raw Data'!C15</f>
        <v>-1480.9947999999999</v>
      </c>
      <c r="D16" s="77">
        <f>+'Raw Data'!D15</f>
        <v>-1641.2420573099998</v>
      </c>
      <c r="E16" s="77">
        <f>+'Raw Data'!E15</f>
        <v>-2241.7192595500001</v>
      </c>
      <c r="F16" s="77">
        <f>+'Raw Data'!F15</f>
        <v>-2647.8475059899997</v>
      </c>
      <c r="G16" s="77">
        <f>+'Raw Data'!G15</f>
        <v>-3881.56479257</v>
      </c>
      <c r="H16" s="77">
        <f>+'Raw Data'!H15</f>
        <v>-4905.4613287299999</v>
      </c>
      <c r="I16" s="77">
        <f>+'Raw Data'!I15</f>
        <v>-6411.6537601099999</v>
      </c>
      <c r="J16" s="77">
        <f>+'Raw Data'!J15</f>
        <v>-8741.5610026499999</v>
      </c>
      <c r="K16" s="77">
        <f>-Segment!N23</f>
        <v>-11564.399061414118</v>
      </c>
      <c r="L16" s="77">
        <f>-Segment!O23</f>
        <v>-13747.298774425524</v>
      </c>
      <c r="M16" s="77">
        <f>-Segment!P23</f>
        <v>-16022.730755500135</v>
      </c>
      <c r="N16" s="77"/>
      <c r="O16" s="77">
        <f>-Segment!V23</f>
        <v>-1322.65</v>
      </c>
      <c r="P16" s="77">
        <f>-Segment!W23</f>
        <v>-1325.1975059899996</v>
      </c>
      <c r="Q16" s="77">
        <f>-Segment!X23</f>
        <v>-1852.9146081700001</v>
      </c>
      <c r="R16" s="77">
        <f>-Segment!Y23</f>
        <v>-2028.6501843999999</v>
      </c>
      <c r="S16" s="77">
        <f>-Segment!Z23</f>
        <v>-2459.742307</v>
      </c>
      <c r="T16" s="77">
        <f>-Segment!AA23</f>
        <v>-2445.7190217299999</v>
      </c>
      <c r="U16" s="77">
        <f>-Segment!AB23</f>
        <v>-3106.6108371999999</v>
      </c>
      <c r="V16" s="77">
        <f>-Segment!AC23</f>
        <v>-3305.04292291</v>
      </c>
      <c r="W16" s="77">
        <f>-Segment!AD23</f>
        <v>-4361.7439749599998</v>
      </c>
      <c r="X16" s="77">
        <f>-Segment!AE23</f>
        <v>-4379.81702769</v>
      </c>
      <c r="Y16" s="77">
        <f>-Segment!AF23</f>
        <v>-5889.4142337799994</v>
      </c>
    </row>
    <row r="17" spans="1:25" ht="13.5" customHeight="1">
      <c r="A17" s="78"/>
      <c r="B17" s="92" t="s">
        <v>207</v>
      </c>
      <c r="C17" s="77">
        <f>+'Raw Data'!C16</f>
        <v>0</v>
      </c>
      <c r="D17" s="77">
        <f>+'Raw Data'!D16</f>
        <v>0</v>
      </c>
      <c r="E17" s="77">
        <f>+'Raw Data'!E16</f>
        <v>0</v>
      </c>
      <c r="F17" s="77">
        <f>+'Raw Data'!F16</f>
        <v>0</v>
      </c>
      <c r="G17" s="77">
        <f>+'Raw Data'!G16</f>
        <v>0</v>
      </c>
      <c r="H17" s="77">
        <f>+'Raw Data'!H16</f>
        <v>0</v>
      </c>
      <c r="I17" s="77">
        <f>+'Raw Data'!I16</f>
        <v>0</v>
      </c>
      <c r="J17" s="77">
        <f>+'Raw Data'!J16</f>
        <v>0</v>
      </c>
      <c r="K17" s="70">
        <f>-K$13*K79</f>
        <v>0</v>
      </c>
      <c r="L17" s="70">
        <f>-L$13*L79</f>
        <v>0</v>
      </c>
      <c r="M17" s="70">
        <f>-M$13*M79</f>
        <v>0</v>
      </c>
      <c r="N17" s="70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</row>
    <row r="18" spans="1:25" ht="13.5" customHeight="1">
      <c r="A18" s="78"/>
      <c r="B18" s="89" t="s">
        <v>99</v>
      </c>
      <c r="C18" s="89">
        <f t="shared" ref="C18:L18" si="6">C16+C17</f>
        <v>-1480.9947999999999</v>
      </c>
      <c r="D18" s="89">
        <f t="shared" si="6"/>
        <v>-1641.2420573099998</v>
      </c>
      <c r="E18" s="89">
        <f t="shared" si="6"/>
        <v>-2241.7192595500001</v>
      </c>
      <c r="F18" s="89">
        <f t="shared" si="6"/>
        <v>-2647.8475059899997</v>
      </c>
      <c r="G18" s="89">
        <f t="shared" si="6"/>
        <v>-3881.56479257</v>
      </c>
      <c r="H18" s="89">
        <f t="shared" si="6"/>
        <v>-4905.4613287299999</v>
      </c>
      <c r="I18" s="89">
        <f t="shared" si="6"/>
        <v>-6411.6537601099999</v>
      </c>
      <c r="J18" s="89">
        <f>J16+J17</f>
        <v>-8741.5610026499999</v>
      </c>
      <c r="K18" s="89">
        <f t="shared" si="6"/>
        <v>-11564.399061414118</v>
      </c>
      <c r="L18" s="89">
        <f t="shared" si="6"/>
        <v>-13747.298774425524</v>
      </c>
      <c r="M18" s="89">
        <f>M16+M17</f>
        <v>-16022.730755500135</v>
      </c>
      <c r="N18" s="89"/>
      <c r="O18" s="89">
        <f t="shared" ref="O18:T18" si="7">O16+O17</f>
        <v>-1322.65</v>
      </c>
      <c r="P18" s="89">
        <f t="shared" si="7"/>
        <v>-1325.1975059899996</v>
      </c>
      <c r="Q18" s="89">
        <f t="shared" si="7"/>
        <v>-1852.9146081700001</v>
      </c>
      <c r="R18" s="89">
        <f t="shared" si="7"/>
        <v>-2028.6501843999999</v>
      </c>
      <c r="S18" s="89">
        <f t="shared" si="7"/>
        <v>-2459.742307</v>
      </c>
      <c r="T18" s="89">
        <f t="shared" si="7"/>
        <v>-2445.7190217299999</v>
      </c>
      <c r="U18" s="89">
        <f>U16+U17</f>
        <v>-3106.6108371999999</v>
      </c>
      <c r="V18" s="89">
        <f>V16+V17</f>
        <v>-3305.04292291</v>
      </c>
      <c r="W18" s="89">
        <f>W16+W17</f>
        <v>-4361.7439749599998</v>
      </c>
      <c r="X18" s="89">
        <f>X16+X17</f>
        <v>-4379.81702769</v>
      </c>
      <c r="Y18" s="89">
        <f>Y16+Y17</f>
        <v>-5889.4142337799994</v>
      </c>
    </row>
    <row r="19" spans="1:25" ht="13.5" customHeight="1">
      <c r="A19" s="78"/>
      <c r="B19" s="84"/>
      <c r="C19" s="414"/>
      <c r="D19" s="414"/>
      <c r="E19" s="414"/>
      <c r="F19" s="414"/>
      <c r="G19" s="414"/>
      <c r="H19" s="414"/>
      <c r="I19" s="414"/>
      <c r="J19" s="414"/>
      <c r="K19" s="70"/>
      <c r="L19" s="70"/>
      <c r="M19" s="70"/>
      <c r="N19" s="70"/>
      <c r="O19" s="414"/>
      <c r="P19" s="414"/>
      <c r="Q19" s="414"/>
      <c r="R19" s="414"/>
      <c r="S19" s="414"/>
      <c r="T19" s="414"/>
      <c r="U19" s="414"/>
      <c r="V19" s="414"/>
      <c r="W19" s="414"/>
      <c r="X19" s="414"/>
      <c r="Y19" s="414"/>
    </row>
    <row r="20" spans="1:25" ht="13.5" customHeight="1">
      <c r="A20" s="78"/>
      <c r="B20" s="82" t="s">
        <v>58</v>
      </c>
      <c r="C20" s="82">
        <f t="shared" ref="C20:L20" si="8">C13+C18</f>
        <v>1362.8128000000002</v>
      </c>
      <c r="D20" s="82">
        <f t="shared" si="8"/>
        <v>1396.2939423100001</v>
      </c>
      <c r="E20" s="82">
        <f t="shared" si="8"/>
        <v>1967.0092197200001</v>
      </c>
      <c r="F20" s="82">
        <f t="shared" si="8"/>
        <v>2310.6551127400003</v>
      </c>
      <c r="G20" s="82">
        <f t="shared" si="8"/>
        <v>3096.2576818399998</v>
      </c>
      <c r="H20" s="82">
        <f t="shared" si="8"/>
        <v>3599.9284017699993</v>
      </c>
      <c r="I20" s="82">
        <f t="shared" si="8"/>
        <v>4851.1403231800005</v>
      </c>
      <c r="J20" s="82">
        <f>J13+J18</f>
        <v>7097.2908256200008</v>
      </c>
      <c r="K20" s="82">
        <f t="shared" si="8"/>
        <v>9427.5114422574115</v>
      </c>
      <c r="L20" s="82">
        <f t="shared" si="8"/>
        <v>11656.209689765257</v>
      </c>
      <c r="M20" s="82">
        <f>M13+M18</f>
        <v>13769.255836344684</v>
      </c>
      <c r="N20" s="82"/>
      <c r="O20" s="82">
        <f t="shared" ref="O20:T20" si="9">O13+O18</f>
        <v>1146.8126999999999</v>
      </c>
      <c r="P20" s="82">
        <f t="shared" si="9"/>
        <v>1163.8424127400003</v>
      </c>
      <c r="Q20" s="82">
        <f t="shared" si="9"/>
        <v>1829.3471461700001</v>
      </c>
      <c r="R20" s="82">
        <f t="shared" si="9"/>
        <v>1266.9105356699997</v>
      </c>
      <c r="S20" s="82">
        <f t="shared" si="9"/>
        <v>1831.5316900599996</v>
      </c>
      <c r="T20" s="82">
        <f t="shared" si="9"/>
        <v>1768.3967117099996</v>
      </c>
      <c r="U20" s="82">
        <f>U13+U18</f>
        <v>2353.5740916999994</v>
      </c>
      <c r="V20" s="82">
        <f>V13+V18</f>
        <v>2497.5662314800011</v>
      </c>
      <c r="W20" s="82">
        <f>W13+W18</f>
        <v>3511.5438771400004</v>
      </c>
      <c r="X20" s="82">
        <f>X13+X18</f>
        <v>3585.7469484800004</v>
      </c>
      <c r="Y20" s="82">
        <f>Y13+Y18</f>
        <v>4847.213624670002</v>
      </c>
    </row>
    <row r="21" spans="1:25" s="74" customFormat="1" ht="13.5" hidden="1" customHeight="1" outlineLevel="1">
      <c r="A21" s="138"/>
      <c r="B21" s="420" t="s">
        <v>216</v>
      </c>
      <c r="C21" s="136" t="str">
        <f>IF(ISERROR(C20/#REF!-1)," ",(C20/#REF!-1))</f>
        <v xml:space="preserve"> </v>
      </c>
      <c r="D21" s="136">
        <f t="shared" ref="D21:L21" si="10">IF(ISERROR(D20/C20-1)," ",(D20/C20-1))</f>
        <v>2.4567675259580701E-2</v>
      </c>
      <c r="E21" s="136">
        <f t="shared" si="10"/>
        <v>0.4087357683911601</v>
      </c>
      <c r="F21" s="136">
        <f t="shared" si="10"/>
        <v>0.17470476984796113</v>
      </c>
      <c r="G21" s="136">
        <f t="shared" si="10"/>
        <v>0.33999127120638239</v>
      </c>
      <c r="H21" s="136">
        <f t="shared" si="10"/>
        <v>0.16267080187934657</v>
      </c>
      <c r="I21" s="136">
        <f t="shared" si="10"/>
        <v>0.34756577958461898</v>
      </c>
      <c r="J21" s="136">
        <f t="shared" si="10"/>
        <v>0.46301495170265716</v>
      </c>
      <c r="K21" s="136">
        <f t="shared" si="10"/>
        <v>0.3283253672268458</v>
      </c>
      <c r="L21" s="136">
        <f t="shared" si="10"/>
        <v>0.23640366401657587</v>
      </c>
      <c r="M21" s="136">
        <f>IF(ISERROR(M20/L20-1)," ",(M20/L20-1))</f>
        <v>0.18128072528025885</v>
      </c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</row>
    <row r="22" spans="1:25" ht="13.5" customHeight="1" collapsed="1">
      <c r="A22" s="73"/>
      <c r="B22" s="12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</row>
    <row r="23" spans="1:25" ht="13.5" customHeight="1">
      <c r="A23" s="78"/>
      <c r="B23" s="89" t="s">
        <v>206</v>
      </c>
      <c r="C23" s="77">
        <f>+'Raw Data'!C23</f>
        <v>-981.98320000000012</v>
      </c>
      <c r="D23" s="77">
        <f>+'Raw Data'!D23</f>
        <v>-1152.6477558700001</v>
      </c>
      <c r="E23" s="77">
        <f>+'Raw Data'!E23</f>
        <v>-1257.1570232700001</v>
      </c>
      <c r="F23" s="77">
        <f>+'Raw Data'!F23</f>
        <v>-1310.1438447999999</v>
      </c>
      <c r="G23" s="77">
        <f>+'Raw Data'!G23</f>
        <v>-1739.63643527</v>
      </c>
      <c r="H23" s="77">
        <f>+'Raw Data'!H23</f>
        <v>-1841.1950590099998</v>
      </c>
      <c r="I23" s="77">
        <f>+'Raw Data'!I23</f>
        <v>-2499.6673262899999</v>
      </c>
      <c r="J23" s="77">
        <f>+'Raw Data'!J23</f>
        <v>-3329.1976100699994</v>
      </c>
      <c r="K23" s="70">
        <f>K24+K25+K26</f>
        <v>-4191.9134997204546</v>
      </c>
      <c r="L23" s="70">
        <f>L24+L25+L26</f>
        <v>-4938.2350748650369</v>
      </c>
      <c r="M23" s="70">
        <f>M24+M25+M26</f>
        <v>-5684.0683168041733</v>
      </c>
      <c r="N23" s="70"/>
      <c r="O23" s="70">
        <f t="shared" ref="O23:T23" si="11">O24+O25+O26</f>
        <v>-579.2962</v>
      </c>
      <c r="P23" s="70">
        <f t="shared" si="11"/>
        <v>-730.84764480000001</v>
      </c>
      <c r="Q23" s="70">
        <f t="shared" si="11"/>
        <v>-992.75571303999993</v>
      </c>
      <c r="R23" s="70">
        <f t="shared" si="11"/>
        <v>-746.88072222999995</v>
      </c>
      <c r="S23" s="70">
        <f t="shared" si="11"/>
        <v>-901.70575732000009</v>
      </c>
      <c r="T23" s="70">
        <f t="shared" si="11"/>
        <v>-939.48930168999982</v>
      </c>
      <c r="U23" s="70">
        <f>U24+U25+U26</f>
        <v>-1111.87138987</v>
      </c>
      <c r="V23" s="70">
        <f>V24+V25+V26</f>
        <v>-1387.7959364199999</v>
      </c>
      <c r="W23" s="70">
        <f>W24+W25+W26</f>
        <v>-1532.1169540600001</v>
      </c>
      <c r="X23" s="70">
        <f>X24+X25+X26</f>
        <v>-1797.0806560099998</v>
      </c>
      <c r="Y23" s="70">
        <f>Y24+Y25+Y26</f>
        <v>-2082.2832910799998</v>
      </c>
    </row>
    <row r="24" spans="1:25" ht="13.5" customHeight="1">
      <c r="A24" s="78"/>
      <c r="B24" s="140" t="s">
        <v>96</v>
      </c>
      <c r="C24" s="77">
        <f>'Raw Data'!C20</f>
        <v>-45.944600000000001</v>
      </c>
      <c r="D24" s="77">
        <f>'Raw Data'!D20</f>
        <v>-39.569061850000004</v>
      </c>
      <c r="E24" s="77">
        <f>'Raw Data'!E20</f>
        <v>-44.306298130000002</v>
      </c>
      <c r="F24" s="77">
        <f>'Raw Data'!F20</f>
        <v>-50.357577460000002</v>
      </c>
      <c r="G24" s="77">
        <f>'Raw Data'!G20</f>
        <v>-76.810518270000003</v>
      </c>
      <c r="H24" s="77">
        <f>'Raw Data'!H20</f>
        <v>-92.639167099999995</v>
      </c>
      <c r="I24" s="77">
        <f>'Raw Data'!I20</f>
        <v>-121.0108417</v>
      </c>
      <c r="J24" s="77">
        <f>'Raw Data'!J20</f>
        <v>-159.79274697</v>
      </c>
      <c r="K24" s="1137">
        <f>-Segment!N45</f>
        <v>-211.78018961848255</v>
      </c>
      <c r="L24" s="1137">
        <f>-Segment!O45</f>
        <v>-256.28728926698142</v>
      </c>
      <c r="M24" s="1137">
        <f>-Segment!P45</f>
        <v>-300.56114084654973</v>
      </c>
      <c r="N24" s="70"/>
      <c r="O24" s="77">
        <f>-Segment!V45</f>
        <v>-23.738</v>
      </c>
      <c r="P24" s="77">
        <f>-Segment!W45</f>
        <v>-26.619577460000002</v>
      </c>
      <c r="Q24" s="77">
        <f>-Segment!X45</f>
        <v>-41.581896969999995</v>
      </c>
      <c r="R24" s="77">
        <f>-Segment!Y45</f>
        <v>-35.228621300000007</v>
      </c>
      <c r="S24" s="77">
        <f>-Segment!Z45</f>
        <v>-47.650708159999994</v>
      </c>
      <c r="T24" s="77">
        <f>-Segment!AA45</f>
        <v>-44.988458940000001</v>
      </c>
      <c r="U24" s="77">
        <f>-Segment!AB45</f>
        <v>-59.469350920000004</v>
      </c>
      <c r="V24" s="77">
        <f>-Segment!AC45</f>
        <v>-61.541490779999997</v>
      </c>
      <c r="W24" s="77">
        <f>-Segment!AD45</f>
        <v>-84.274324879999995</v>
      </c>
      <c r="X24" s="77">
        <f>-Segment!AE45</f>
        <v>-75.518422090000001</v>
      </c>
      <c r="Y24" s="77">
        <f>-Segment!AF45</f>
        <v>-109.32921087999999</v>
      </c>
    </row>
    <row r="25" spans="1:25" ht="13.5" customHeight="1">
      <c r="A25" s="78"/>
      <c r="B25" s="140" t="s">
        <v>63</v>
      </c>
      <c r="C25" s="77">
        <f>'Raw Data'!C21</f>
        <v>-825.24980000000005</v>
      </c>
      <c r="D25" s="77">
        <f>'Raw Data'!D21</f>
        <v>-969.45033685999999</v>
      </c>
      <c r="E25" s="77">
        <f>'Raw Data'!E21</f>
        <v>-983.59316214</v>
      </c>
      <c r="F25" s="77">
        <f>'Raw Data'!F21</f>
        <v>-1040.3472948200001</v>
      </c>
      <c r="G25" s="77">
        <f>'Raw Data'!G21</f>
        <v>-1368.3843670599999</v>
      </c>
      <c r="H25" s="77">
        <f>'Raw Data'!H21</f>
        <v>-1449.2760845799999</v>
      </c>
      <c r="I25" s="77">
        <f>'Raw Data'!I21</f>
        <v>-1955.6713750699998</v>
      </c>
      <c r="J25" s="77">
        <f>'Raw Data'!J21</f>
        <v>-2681.0797873299998</v>
      </c>
      <c r="K25" s="1137">
        <f>-Segment!N47</f>
        <v>-3370.7205557048114</v>
      </c>
      <c r="L25" s="1137">
        <f>-Segment!O47</f>
        <v>-3972.4065045348821</v>
      </c>
      <c r="M25" s="1137">
        <f>-Segment!P47</f>
        <v>-4584.1632082331544</v>
      </c>
      <c r="N25" s="70"/>
      <c r="O25" s="77">
        <f>-Segment!V47</f>
        <v>-452.20800000000003</v>
      </c>
      <c r="P25" s="77">
        <f>-Segment!W47</f>
        <v>-588.13929482000003</v>
      </c>
      <c r="Q25" s="77">
        <f>-Segment!X47</f>
        <v>-798.65826103999996</v>
      </c>
      <c r="R25" s="77">
        <f>-Segment!Y47</f>
        <v>-569.72610601999997</v>
      </c>
      <c r="S25" s="77">
        <f>-Segment!Z47</f>
        <v>-702.69818498000006</v>
      </c>
      <c r="T25" s="77">
        <f>-Segment!AA47</f>
        <v>-746.5778995999998</v>
      </c>
      <c r="U25" s="77">
        <f>-Segment!AB47</f>
        <v>-863.23476495</v>
      </c>
      <c r="V25" s="77">
        <f>-Segment!AC47</f>
        <v>-1092.4366101199998</v>
      </c>
      <c r="W25" s="77">
        <f>-Segment!AD47</f>
        <v>-1225.0040971800001</v>
      </c>
      <c r="X25" s="77">
        <f>-Segment!AE47</f>
        <v>-1456.0756901499997</v>
      </c>
      <c r="Y25" s="77">
        <f>-Segment!AF47</f>
        <v>-1681.5190578499999</v>
      </c>
    </row>
    <row r="26" spans="1:25" ht="13.5" customHeight="1">
      <c r="A26" s="78"/>
      <c r="B26" s="140" t="s">
        <v>93</v>
      </c>
      <c r="C26" s="77">
        <f>'Raw Data'!C22</f>
        <v>-110.78879999999999</v>
      </c>
      <c r="D26" s="77">
        <f>'Raw Data'!D22</f>
        <v>-143.62835716000001</v>
      </c>
      <c r="E26" s="77">
        <f>'Raw Data'!E22</f>
        <v>-229.257563</v>
      </c>
      <c r="F26" s="77">
        <f>'Raw Data'!F22</f>
        <v>-219.43897251999999</v>
      </c>
      <c r="G26" s="77">
        <f>'Raw Data'!G22</f>
        <v>-294.44154993999996</v>
      </c>
      <c r="H26" s="77">
        <f>'Raw Data'!H22</f>
        <v>-299.27980732999998</v>
      </c>
      <c r="I26" s="77">
        <f>'Raw Data'!I22</f>
        <v>-422.98510952000004</v>
      </c>
      <c r="J26" s="77">
        <f>'Raw Data'!J22</f>
        <v>-488.32507577000001</v>
      </c>
      <c r="K26" s="1137">
        <f>-Segment!N49</f>
        <v>-609.41275439716128</v>
      </c>
      <c r="L26" s="1137">
        <f>-Segment!O49</f>
        <v>-709.54128106317376</v>
      </c>
      <c r="M26" s="1137">
        <f>-Segment!P49</f>
        <v>-799.34396772446871</v>
      </c>
      <c r="N26" s="70"/>
      <c r="O26" s="77">
        <f>-Segment!V49</f>
        <v>-103.3502</v>
      </c>
      <c r="P26" s="77">
        <f>-Segment!W49</f>
        <v>-116.08877251999999</v>
      </c>
      <c r="Q26" s="77">
        <f>-Segment!X49</f>
        <v>-152.51555503</v>
      </c>
      <c r="R26" s="77">
        <f>-Segment!Y49</f>
        <v>-141.92599490999996</v>
      </c>
      <c r="S26" s="77">
        <f>-Segment!Z49</f>
        <v>-151.35686418</v>
      </c>
      <c r="T26" s="77">
        <f>-Segment!AA49</f>
        <v>-147.92294314999998</v>
      </c>
      <c r="U26" s="77">
        <f>-Segment!AB49</f>
        <v>-189.16727400000002</v>
      </c>
      <c r="V26" s="77">
        <f>-Segment!AC49</f>
        <v>-233.81783552000002</v>
      </c>
      <c r="W26" s="77">
        <f>-Segment!AD49</f>
        <v>-222.83853200000001</v>
      </c>
      <c r="X26" s="77">
        <f>-Segment!AE49</f>
        <v>-265.48654377000003</v>
      </c>
      <c r="Y26" s="77">
        <f>-Segment!AF49</f>
        <v>-291.43502235</v>
      </c>
    </row>
    <row r="27" spans="1:25" ht="13.5" customHeight="1">
      <c r="A27" s="78"/>
      <c r="B27" s="89" t="s">
        <v>226</v>
      </c>
      <c r="C27" s="70">
        <f t="shared" ref="C27:K27" si="12">SUM(C28:C29)</f>
        <v>-0.53539999999999999</v>
      </c>
      <c r="D27" s="70">
        <f t="shared" si="12"/>
        <v>-2.2846108799999998</v>
      </c>
      <c r="E27" s="70">
        <f t="shared" si="12"/>
        <v>-6.5609849000000002</v>
      </c>
      <c r="F27" s="70">
        <f t="shared" si="12"/>
        <v>0.61752069999999992</v>
      </c>
      <c r="G27" s="70">
        <f>SUM(G28:G29)</f>
        <v>115.88505549</v>
      </c>
      <c r="H27" s="70">
        <f>SUM(H28:H29)</f>
        <v>12.42969005</v>
      </c>
      <c r="I27" s="70">
        <f>SUM(I28:I29)</f>
        <v>27.68001332</v>
      </c>
      <c r="J27" s="70">
        <f>SUM(J28:J29)</f>
        <v>31.990654590000002</v>
      </c>
      <c r="K27" s="70">
        <f t="shared" si="12"/>
        <v>200.04207292000001</v>
      </c>
      <c r="L27" s="70">
        <f>SUM(L28:L29)</f>
        <v>49.042072920000003</v>
      </c>
      <c r="M27" s="70">
        <f>SUM(M28:M29)</f>
        <v>54.04207292000001</v>
      </c>
      <c r="N27" s="77"/>
      <c r="O27" s="70">
        <f t="shared" ref="O27:T27" si="13">+O28+O29</f>
        <v>-0.99290000000000012</v>
      </c>
      <c r="P27" s="70">
        <f t="shared" si="13"/>
        <v>1.6104207000000001</v>
      </c>
      <c r="Q27" s="70">
        <f t="shared" si="13"/>
        <v>5.4403958699999997</v>
      </c>
      <c r="R27" s="70">
        <f t="shared" si="13"/>
        <v>110.44465962000001</v>
      </c>
      <c r="S27" s="70">
        <f t="shared" si="13"/>
        <v>32.020055979999995</v>
      </c>
      <c r="T27" s="70">
        <f t="shared" si="13"/>
        <v>-19.590365929999997</v>
      </c>
      <c r="U27" s="70">
        <f>+U28+U29</f>
        <v>71.069749000000002</v>
      </c>
      <c r="V27" s="70">
        <f>+V28+V29</f>
        <v>-43.389735680000008</v>
      </c>
      <c r="W27" s="70">
        <f>+W28+W29</f>
        <v>12.909461</v>
      </c>
      <c r="X27" s="70">
        <f>+X28+X29</f>
        <v>19.081193590000002</v>
      </c>
      <c r="Y27" s="70">
        <f>+Y28+Y29</f>
        <v>77.368273709999997</v>
      </c>
    </row>
    <row r="28" spans="1:25" ht="13.5" customHeight="1">
      <c r="A28" s="78"/>
      <c r="B28" s="140" t="s">
        <v>225</v>
      </c>
      <c r="C28" s="77">
        <f>'Raw Data'!C25</f>
        <v>-0.53539999999999999</v>
      </c>
      <c r="D28" s="77">
        <f>'Raw Data'!D25</f>
        <v>-2.2846108799999998</v>
      </c>
      <c r="E28" s="77">
        <f>'Raw Data'!E25</f>
        <v>-6.5609849000000002</v>
      </c>
      <c r="F28" s="77">
        <f>'Raw Data'!F25</f>
        <v>0.61752069999999992</v>
      </c>
      <c r="G28" s="77">
        <f>'Raw Data'!G25</f>
        <v>-0.78503443999999989</v>
      </c>
      <c r="H28" s="77">
        <f>'Raw Data'!H25</f>
        <v>-0.35814104999999996</v>
      </c>
      <c r="I28" s="77">
        <f>'Raw Data'!I25</f>
        <v>-1.6924195800000001</v>
      </c>
      <c r="J28" s="77">
        <f>'Raw Data'!J25</f>
        <v>-0.95792707999999993</v>
      </c>
      <c r="K28" s="1139">
        <f>+J28</f>
        <v>-0.95792707999999993</v>
      </c>
      <c r="L28" s="1139">
        <f>+K28</f>
        <v>-0.95792707999999993</v>
      </c>
      <c r="M28" s="1139">
        <f>+L28</f>
        <v>-0.95792707999999993</v>
      </c>
      <c r="N28" s="139"/>
      <c r="O28" s="77">
        <f>Segment!V54</f>
        <v>-0.99290000000000012</v>
      </c>
      <c r="P28" s="77">
        <f>Segment!W54</f>
        <v>1.6104207000000001</v>
      </c>
      <c r="Q28" s="77">
        <f>Segment!X54</f>
        <v>-0.76998363999999997</v>
      </c>
      <c r="R28" s="77">
        <f>Segment!Y54</f>
        <v>-1.505079999999992E-2</v>
      </c>
      <c r="S28" s="77">
        <f>Segment!Z54</f>
        <v>-0.85894649999999995</v>
      </c>
      <c r="T28" s="77">
        <f>Segment!AA54</f>
        <v>0.50080544999999999</v>
      </c>
      <c r="U28" s="77">
        <f>Segment!AB54</f>
        <v>-1.2481800000000001</v>
      </c>
      <c r="V28" s="77">
        <f>Segment!AC54</f>
        <v>-0.44423958000000008</v>
      </c>
      <c r="W28" s="77">
        <f>Segment!AD54</f>
        <v>-1.6200829999999999</v>
      </c>
      <c r="X28" s="77">
        <f>Segment!AE54</f>
        <v>0.66215592000000001</v>
      </c>
      <c r="Y28" s="77">
        <f>Segment!AF54</f>
        <v>-1.9277011800000001</v>
      </c>
    </row>
    <row r="29" spans="1:25" ht="13.5" customHeight="1">
      <c r="A29" s="78"/>
      <c r="B29" s="140" t="s">
        <v>224</v>
      </c>
      <c r="C29" s="77">
        <f>'Raw Data'!C26</f>
        <v>0</v>
      </c>
      <c r="D29" s="77">
        <f>'Raw Data'!D26</f>
        <v>0</v>
      </c>
      <c r="E29" s="77">
        <f>'Raw Data'!E26</f>
        <v>0</v>
      </c>
      <c r="F29" s="77">
        <f>'Raw Data'!F26</f>
        <v>0</v>
      </c>
      <c r="G29" s="77">
        <f>'Raw Data'!G26</f>
        <v>116.67008993</v>
      </c>
      <c r="H29" s="77">
        <f>'Raw Data'!H26</f>
        <v>12.7878311</v>
      </c>
      <c r="I29" s="77">
        <f>'Raw Data'!I26</f>
        <v>29.3724329</v>
      </c>
      <c r="J29" s="77">
        <f>'Raw Data'!J26</f>
        <v>32.948581670000003</v>
      </c>
      <c r="K29" s="1139">
        <v>201</v>
      </c>
      <c r="L29" s="1139">
        <v>50</v>
      </c>
      <c r="M29" s="1139">
        <f>+L29*1.1</f>
        <v>55.000000000000007</v>
      </c>
      <c r="N29" s="139"/>
      <c r="O29" s="825">
        <f>Segment!V55</f>
        <v>0</v>
      </c>
      <c r="P29" s="825">
        <f>Segment!W55</f>
        <v>0</v>
      </c>
      <c r="Q29" s="825">
        <f>Segment!X55</f>
        <v>6.2103795100000001</v>
      </c>
      <c r="R29" s="825">
        <f>Segment!Y55</f>
        <v>110.45971042000001</v>
      </c>
      <c r="S29" s="825">
        <f>Segment!Z55</f>
        <v>32.879002479999997</v>
      </c>
      <c r="T29" s="825">
        <f>Segment!AA55</f>
        <v>-20.091171379999999</v>
      </c>
      <c r="U29" s="825">
        <f>Segment!AB55</f>
        <v>72.317929000000007</v>
      </c>
      <c r="V29" s="825">
        <f>Segment!AC55</f>
        <v>-42.945496100000007</v>
      </c>
      <c r="W29" s="825">
        <f>Segment!AD55</f>
        <v>14.529544</v>
      </c>
      <c r="X29" s="825">
        <f>Segment!AE55</f>
        <v>18.419037670000002</v>
      </c>
      <c r="Y29" s="825">
        <f>Segment!AF55</f>
        <v>79.295974889999997</v>
      </c>
    </row>
    <row r="30" spans="1:25" ht="13.5" customHeight="1">
      <c r="A30" s="83"/>
      <c r="B30" s="142" t="s">
        <v>42</v>
      </c>
      <c r="C30" s="82">
        <f t="shared" ref="C30:K30" si="14">C20+C27+C23-C33-C34</f>
        <v>380.29420000000005</v>
      </c>
      <c r="D30" s="82">
        <f t="shared" si="14"/>
        <v>326.33306362000008</v>
      </c>
      <c r="E30" s="82">
        <f t="shared" si="14"/>
        <v>813.01567663000014</v>
      </c>
      <c r="F30" s="82">
        <f t="shared" si="14"/>
        <v>1135.5715380600004</v>
      </c>
      <c r="G30" s="82">
        <f t="shared" si="14"/>
        <v>1657.6191059899998</v>
      </c>
      <c r="H30" s="82">
        <f t="shared" si="14"/>
        <v>1995.1044041999994</v>
      </c>
      <c r="I30" s="82">
        <f>I20+I27+I23-I33-I34</f>
        <v>2633.1921362300009</v>
      </c>
      <c r="J30" s="82">
        <f>J20+J27+J23-J33-J34</f>
        <v>4143.1355566200018</v>
      </c>
      <c r="K30" s="82">
        <f t="shared" si="14"/>
        <v>5851.8558755225095</v>
      </c>
      <c r="L30" s="82">
        <f>L20+L27+L23-L33-L34</f>
        <v>7272.9926875004094</v>
      </c>
      <c r="M30" s="82">
        <f>M20+M27+M23-M33-M34</f>
        <v>8873.3423907356137</v>
      </c>
      <c r="N30" s="82"/>
      <c r="O30" s="82">
        <f t="shared" ref="O30:T30" si="15">O20+O27+O23-O33-O34</f>
        <v>566.52359999999999</v>
      </c>
      <c r="P30" s="82">
        <f t="shared" si="15"/>
        <v>434.60518864000039</v>
      </c>
      <c r="Q30" s="82">
        <f t="shared" si="15"/>
        <v>931.64746921000017</v>
      </c>
      <c r="R30" s="82">
        <f t="shared" si="15"/>
        <v>725.97163677999981</v>
      </c>
      <c r="S30" s="82">
        <f t="shared" si="15"/>
        <v>1078.2342187699996</v>
      </c>
      <c r="T30" s="82">
        <f t="shared" si="15"/>
        <v>916.87018542999988</v>
      </c>
      <c r="U30" s="82">
        <f>U20+U27+U23-U33-U34</f>
        <v>1442.3024585399996</v>
      </c>
      <c r="V30" s="82">
        <f>V20+V27+V23-V33-V34</f>
        <v>1190.8896776900015</v>
      </c>
      <c r="W30" s="82">
        <f>W20+W27+W23-W33-W34</f>
        <v>2163.9726953400004</v>
      </c>
      <c r="X30" s="82">
        <f>X20+X27+X23-X33-X34</f>
        <v>1979.1628612800007</v>
      </c>
      <c r="Y30" s="82">
        <f>Y20+Y27+Y23-Y33-Y34</f>
        <v>3087.099092145555</v>
      </c>
    </row>
    <row r="31" spans="1:25" s="74" customFormat="1" ht="13.5" hidden="1" customHeight="1" outlineLevel="1">
      <c r="A31" s="138"/>
      <c r="B31" s="137" t="s">
        <v>216</v>
      </c>
      <c r="C31" s="136" t="str">
        <f>IF(ISERROR(C30/#REF!-1)," ",(C30/#REF!-1))</f>
        <v xml:space="preserve"> </v>
      </c>
      <c r="D31" s="136">
        <f>IF(ISERROR(D30/C30-1)," ",(D30/C30-1))</f>
        <v>-0.14189313531471148</v>
      </c>
      <c r="E31" s="136">
        <f>IF(ISERROR(E30/D30-1)," ",(E30/D30-1))</f>
        <v>1.491367768902264</v>
      </c>
      <c r="F31" s="136">
        <f t="shared" ref="F31:K31" si="16">IF(ISERROR(F30/E30-1)," ",(F30/E30-1))</f>
        <v>0.39674002691684129</v>
      </c>
      <c r="G31" s="136">
        <f t="shared" si="16"/>
        <v>0.45972230760719879</v>
      </c>
      <c r="H31" s="136">
        <f>IF(ISERROR(H30/G30-1)," ",(H30/G30-1))</f>
        <v>0.20359640944681279</v>
      </c>
      <c r="I31" s="136">
        <f>IF(ISERROR(I30/H30-1)," ",(I30/H30-1))</f>
        <v>0.31982673723075816</v>
      </c>
      <c r="J31" s="136">
        <f>IF(ISERROR(J30/I30-1)," ",(J30/I30-1))</f>
        <v>0.57342698226032995</v>
      </c>
      <c r="K31" s="136">
        <f t="shared" si="16"/>
        <v>0.41242201601931017</v>
      </c>
      <c r="L31" s="136">
        <f>IF(ISERROR(L30/K30-1)," ",(L30/K30-1))</f>
        <v>0.24285232620343833</v>
      </c>
      <c r="M31" s="136">
        <f>IF(ISERROR(M30/L30-1)," ",(M30/L30-1))</f>
        <v>0.22004005393620352</v>
      </c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</row>
    <row r="32" spans="1:25" ht="13.5" customHeight="1" collapsed="1">
      <c r="A32" s="73"/>
      <c r="B32" s="144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</row>
    <row r="33" spans="1:26" ht="13.5" customHeight="1">
      <c r="A33" s="78"/>
      <c r="B33" s="93" t="s">
        <v>40</v>
      </c>
      <c r="C33" s="77">
        <f>+'Raw Data'!C31</f>
        <v>0</v>
      </c>
      <c r="D33" s="77">
        <f>+'Raw Data'!D31</f>
        <v>-77.859574969999997</v>
      </c>
      <c r="E33" s="77">
        <f>+'Raw Data'!E31</f>
        <v>-102.17591390000001</v>
      </c>
      <c r="F33" s="77">
        <f>+'Raw Data'!F31</f>
        <v>-124.58530337000001</v>
      </c>
      <c r="G33" s="77">
        <f>+'Raw Data'!G31</f>
        <v>-173.10489672</v>
      </c>
      <c r="H33" s="77">
        <f>+'Raw Data'!H31</f>
        <v>-211.9910213</v>
      </c>
      <c r="I33" s="77">
        <f>+'Raw Data'!I31</f>
        <v>-241.69913559</v>
      </c>
      <c r="J33" s="77">
        <f>+'Raw Data'!J31</f>
        <v>-325.93171645999996</v>
      </c>
      <c r="K33" s="70">
        <f>-Capex!L21</f>
        <v>-392.57667655844563</v>
      </c>
      <c r="L33" s="70">
        <f>-Capex!M21</f>
        <v>-473.34602367824692</v>
      </c>
      <c r="M33" s="70">
        <f>-Capex!N21</f>
        <v>-691.37348251108654</v>
      </c>
      <c r="N33" s="70"/>
      <c r="O33" s="77"/>
      <c r="P33" s="77"/>
      <c r="Q33" s="77">
        <f>-Wind!CG237</f>
        <v>-79.766064379999989</v>
      </c>
      <c r="R33" s="77">
        <f>+G33-Q33</f>
        <v>-93.33883234000001</v>
      </c>
      <c r="S33" s="77">
        <f>-Wind!CK237</f>
        <v>-99.823009129999988</v>
      </c>
      <c r="T33" s="77">
        <f>+H33-S33</f>
        <v>-112.16801217000001</v>
      </c>
      <c r="U33" s="77">
        <f>-Wind!CO237</f>
        <v>-114.75821863</v>
      </c>
      <c r="V33" s="77">
        <f>+I33-U33</f>
        <v>-126.94091696</v>
      </c>
      <c r="W33" s="77">
        <f>-Wind!CS237</f>
        <v>-154.38296821</v>
      </c>
      <c r="X33" s="77">
        <f>+J33-W33</f>
        <v>-171.54874824999996</v>
      </c>
      <c r="Y33" s="77">
        <f>+K33-X33</f>
        <v>-221.02792830844567</v>
      </c>
    </row>
    <row r="34" spans="1:26" ht="13.5" customHeight="1">
      <c r="A34" s="78"/>
      <c r="B34" s="93" t="s">
        <v>38</v>
      </c>
      <c r="C34" s="77">
        <f>+'Raw Data'!C32</f>
        <v>0</v>
      </c>
      <c r="D34" s="77">
        <f>+'Raw Data'!D32</f>
        <v>-7.1119130899999998</v>
      </c>
      <c r="E34" s="77">
        <f>+'Raw Data'!E32</f>
        <v>-7.5485511800000005</v>
      </c>
      <c r="F34" s="77">
        <f>+'Raw Data'!F32</f>
        <v>-9.8574460500000001</v>
      </c>
      <c r="G34" s="77">
        <f>+'Raw Data'!G32</f>
        <v>-12.007907210000001</v>
      </c>
      <c r="H34" s="77">
        <f>+'Raw Data'!H32</f>
        <v>-11.950350090000001</v>
      </c>
      <c r="I34" s="77">
        <f>+'Raw Data'!I32</f>
        <v>-12.33999043</v>
      </c>
      <c r="J34" s="77">
        <f>+'Raw Data'!J32</f>
        <v>-17.11997002</v>
      </c>
      <c r="K34" s="70">
        <f>-(Capex!L30+Capex!L38)</f>
        <v>-23.639183507107241</v>
      </c>
      <c r="L34" s="70">
        <f>-(Capex!M30+Capex!M38)</f>
        <v>-32.629976001943092</v>
      </c>
      <c r="M34" s="70">
        <f>-(Capex!N30+Capex!N38)</f>
        <v>-42.739315764015991</v>
      </c>
      <c r="N34" s="70"/>
      <c r="O34" s="77"/>
      <c r="P34" s="77"/>
      <c r="Q34" s="77">
        <f>-SUM(Wind!CG238:CG240)</f>
        <v>-9.8495758299999991</v>
      </c>
      <c r="R34" s="77">
        <f>+G34-Q34</f>
        <v>-2.1583313800000017</v>
      </c>
      <c r="S34" s="77">
        <f>-SUM(Wind!CK238:CK240)</f>
        <v>-16.565220920000002</v>
      </c>
      <c r="T34" s="77">
        <f>+H34-S34</f>
        <v>4.614870830000001</v>
      </c>
      <c r="U34" s="77">
        <f>-SUM(Wind!CO238:CO240)</f>
        <v>-14.77178908</v>
      </c>
      <c r="V34" s="77">
        <f>+I34-U34</f>
        <v>2.4317986499999993</v>
      </c>
      <c r="W34" s="77">
        <f>-SUM(Wind!CS238:CS240)</f>
        <v>-17.253343049999998</v>
      </c>
      <c r="X34" s="77">
        <f>+J34-W34</f>
        <v>0.13337302999999778</v>
      </c>
      <c r="Y34" s="77">
        <f>+K34-X34</f>
        <v>-23.772556537107238</v>
      </c>
    </row>
    <row r="35" spans="1:26" ht="13.5" customHeight="1">
      <c r="A35" s="78"/>
      <c r="B35" s="142" t="s">
        <v>223</v>
      </c>
      <c r="C35" s="82">
        <f t="shared" ref="C35:L35" si="17">C30+C33+C34</f>
        <v>380.29420000000005</v>
      </c>
      <c r="D35" s="82">
        <f t="shared" si="17"/>
        <v>241.36157556000009</v>
      </c>
      <c r="E35" s="82">
        <f t="shared" si="17"/>
        <v>703.29121155000007</v>
      </c>
      <c r="F35" s="82">
        <f t="shared" si="17"/>
        <v>1001.1287886400004</v>
      </c>
      <c r="G35" s="82">
        <f t="shared" si="17"/>
        <v>1472.5063020599998</v>
      </c>
      <c r="H35" s="82">
        <f t="shared" si="17"/>
        <v>1771.1630328099993</v>
      </c>
      <c r="I35" s="82">
        <f t="shared" si="17"/>
        <v>2379.153010210001</v>
      </c>
      <c r="J35" s="82">
        <f>J30+J33+J34</f>
        <v>3800.0838701400021</v>
      </c>
      <c r="K35" s="82">
        <f t="shared" si="17"/>
        <v>5435.6400154569565</v>
      </c>
      <c r="L35" s="82">
        <f t="shared" si="17"/>
        <v>6767.0166878202199</v>
      </c>
      <c r="M35" s="82">
        <f>M30+M33+M34</f>
        <v>8139.2295924605105</v>
      </c>
      <c r="N35" s="82"/>
      <c r="O35" s="82">
        <f t="shared" ref="O35:T35" si="18">O30+O33+O34</f>
        <v>566.52359999999999</v>
      </c>
      <c r="P35" s="82">
        <f t="shared" si="18"/>
        <v>434.60518864000039</v>
      </c>
      <c r="Q35" s="82">
        <f t="shared" si="18"/>
        <v>842.03182900000013</v>
      </c>
      <c r="R35" s="82">
        <f t="shared" si="18"/>
        <v>630.4744730599997</v>
      </c>
      <c r="S35" s="82">
        <f t="shared" si="18"/>
        <v>961.8459887199997</v>
      </c>
      <c r="T35" s="82">
        <f t="shared" si="18"/>
        <v>809.31704408999985</v>
      </c>
      <c r="U35" s="82">
        <f>U30+U33+U34</f>
        <v>1312.7724508299996</v>
      </c>
      <c r="V35" s="82">
        <f>V30+V33+V34</f>
        <v>1066.3805593800014</v>
      </c>
      <c r="W35" s="82">
        <f>W30+W33+W34</f>
        <v>1992.3363840800005</v>
      </c>
      <c r="X35" s="82">
        <f>X30+X33+X34</f>
        <v>1807.7474860600007</v>
      </c>
      <c r="Y35" s="82">
        <f>Y30+Y33+Y34</f>
        <v>2842.298607300002</v>
      </c>
    </row>
    <row r="36" spans="1:26" s="74" customFormat="1" ht="13.5" hidden="1" customHeight="1" outlineLevel="1">
      <c r="A36" s="138"/>
      <c r="B36" s="137" t="s">
        <v>216</v>
      </c>
      <c r="C36" s="136" t="str">
        <f>IF(ISERROR(C35/#REF!-1)," ",(C35/#REF!-1))</f>
        <v xml:space="preserve"> </v>
      </c>
      <c r="D36" s="136">
        <f t="shared" ref="D36:L36" si="19">IF(ISERROR(D35/C35-1)," ",(D35/C35-1))</f>
        <v>-0.36532932776781746</v>
      </c>
      <c r="E36" s="136">
        <f t="shared" si="19"/>
        <v>1.9138491075816204</v>
      </c>
      <c r="F36" s="136">
        <f t="shared" si="19"/>
        <v>0.42349111178794496</v>
      </c>
      <c r="G36" s="136">
        <f t="shared" si="19"/>
        <v>0.47084602777266027</v>
      </c>
      <c r="H36" s="136">
        <f t="shared" si="19"/>
        <v>0.20282203908546004</v>
      </c>
      <c r="I36" s="136">
        <f t="shared" si="19"/>
        <v>0.34327160523185074</v>
      </c>
      <c r="J36" s="136">
        <f t="shared" si="19"/>
        <v>0.59724231851930343</v>
      </c>
      <c r="K36" s="136">
        <f t="shared" si="19"/>
        <v>0.43040001252832805</v>
      </c>
      <c r="L36" s="136">
        <f t="shared" si="19"/>
        <v>0.24493466612529868</v>
      </c>
      <c r="M36" s="136">
        <f>IF(ISERROR(M35/L35-1)," ",(M35/L35-1))</f>
        <v>0.20277959519593058</v>
      </c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</row>
    <row r="37" spans="1:26" ht="13.5" customHeight="1" collapsed="1">
      <c r="A37" s="73"/>
      <c r="B37" s="133" t="s">
        <v>203</v>
      </c>
      <c r="C37" s="390">
        <f t="shared" ref="C37:L37" si="20">C35/C13</f>
        <v>0.13372711993596192</v>
      </c>
      <c r="D37" s="390">
        <f t="shared" si="20"/>
        <v>7.945965927323817E-2</v>
      </c>
      <c r="E37" s="390">
        <f t="shared" si="20"/>
        <v>0.16710301341938438</v>
      </c>
      <c r="F37" s="390">
        <f t="shared" si="20"/>
        <v>0.20190143388417031</v>
      </c>
      <c r="G37" s="390">
        <f t="shared" si="20"/>
        <v>0.21102662147971965</v>
      </c>
      <c r="H37" s="390">
        <f t="shared" si="20"/>
        <v>0.20824007940032155</v>
      </c>
      <c r="I37" s="390">
        <f t="shared" si="20"/>
        <v>0.21124003445466716</v>
      </c>
      <c r="J37" s="390">
        <f>J35/J13</f>
        <v>0.23992167559503375</v>
      </c>
      <c r="K37" s="390">
        <f t="shared" si="20"/>
        <v>0.25893974798083536</v>
      </c>
      <c r="L37" s="390">
        <f t="shared" si="20"/>
        <v>0.26638118499888003</v>
      </c>
      <c r="M37" s="390">
        <f>M35/M13</f>
        <v>0.27320197555031533</v>
      </c>
      <c r="N37" s="390"/>
      <c r="O37" s="390"/>
      <c r="P37" s="390"/>
      <c r="Q37" s="390"/>
      <c r="R37" s="390"/>
      <c r="S37" s="390"/>
      <c r="T37" s="390"/>
      <c r="U37" s="390"/>
      <c r="V37" s="390"/>
      <c r="W37" s="390"/>
      <c r="X37" s="390"/>
      <c r="Y37" s="390"/>
    </row>
    <row r="38" spans="1:26" ht="13.5" customHeight="1">
      <c r="A38" s="73"/>
      <c r="B38" s="133" t="s">
        <v>90</v>
      </c>
      <c r="C38" s="89">
        <f>'Raw Data'!C42</f>
        <v>-10.454000000000001</v>
      </c>
      <c r="D38" s="89">
        <f>'Raw Data'!D42</f>
        <v>-5.0820752200000001</v>
      </c>
      <c r="E38" s="89">
        <f>'Raw Data'!E42</f>
        <v>13.965657160000001</v>
      </c>
      <c r="F38" s="89">
        <f>'Raw Data'!F42</f>
        <v>15.930939990000001</v>
      </c>
      <c r="G38" s="1338">
        <f>'Raw Data'!G42</f>
        <v>11.39395732</v>
      </c>
      <c r="H38" s="89">
        <f>'Raw Data'!H42</f>
        <v>-41.039483529999998</v>
      </c>
      <c r="I38" s="89">
        <f>'Raw Data'!I42</f>
        <v>-2.28561682</v>
      </c>
      <c r="J38" s="89">
        <f>'Raw Data'!J42</f>
        <v>190.5357315</v>
      </c>
      <c r="K38" s="89">
        <f>SUM(K39:K42)</f>
        <v>139.04710740294567</v>
      </c>
      <c r="L38" s="89">
        <f>SUM(L39:L42)</f>
        <v>191.45247511645945</v>
      </c>
      <c r="M38" s="89">
        <f>SUM(M39:M42)</f>
        <v>208.22261531516895</v>
      </c>
      <c r="N38" s="89"/>
      <c r="O38" s="1142">
        <f>Segment!V53</f>
        <v>-6.8220000000000001</v>
      </c>
      <c r="P38" s="1142">
        <f>Segment!W53</f>
        <v>22.752939990000002</v>
      </c>
      <c r="Q38" s="1142">
        <f>Segment!X53</f>
        <v>-4.2964605499999999</v>
      </c>
      <c r="R38" s="1142">
        <f>Segment!Y53</f>
        <v>15.690417870000001</v>
      </c>
      <c r="S38" s="1142">
        <f>Segment!Z53</f>
        <v>20.767388030000003</v>
      </c>
      <c r="T38" s="1142">
        <f>Segment!AA53</f>
        <v>-61.806871560000005</v>
      </c>
      <c r="U38" s="1142">
        <f>Segment!AB53</f>
        <v>-5.2930758400000002</v>
      </c>
      <c r="V38" s="1142">
        <f>Segment!AC53</f>
        <v>3.0074590200000002</v>
      </c>
      <c r="W38" s="1142">
        <f>Segment!AD53</f>
        <v>-104.44443699999999</v>
      </c>
      <c r="X38" s="1142">
        <f>Segment!AE53</f>
        <v>294.98016849999999</v>
      </c>
      <c r="Y38" s="1142">
        <f>Segment!AF53</f>
        <v>64.222622189999996</v>
      </c>
    </row>
    <row r="39" spans="1:26" ht="13.5" customHeight="1">
      <c r="A39" s="78"/>
      <c r="B39" s="92" t="s">
        <v>34</v>
      </c>
      <c r="C39" s="77">
        <f>'Raw Data'!C38</f>
        <v>0</v>
      </c>
      <c r="D39" s="77">
        <f>'Raw Data'!D38</f>
        <v>2.7387297599999996</v>
      </c>
      <c r="E39" s="77">
        <f>'Raw Data'!E38</f>
        <v>20.080900679999999</v>
      </c>
      <c r="F39" s="77">
        <f>'Raw Data'!F38</f>
        <v>26.04038886</v>
      </c>
      <c r="G39" s="77">
        <f>'Raw Data'!G38</f>
        <v>29.262542249999999</v>
      </c>
      <c r="H39" s="77">
        <f>'Raw Data'!H38</f>
        <v>19.820947690000001</v>
      </c>
      <c r="I39" s="77">
        <f>'Raw Data'!I38</f>
        <v>122.48630601000001</v>
      </c>
      <c r="J39" s="77">
        <f>'Raw Data'!J38</f>
        <v>260.35606838999996</v>
      </c>
      <c r="K39" s="1780">
        <f>K96</f>
        <v>270.40037957564999</v>
      </c>
      <c r="L39" s="1780">
        <f>L96</f>
        <v>322.80574728916378</v>
      </c>
      <c r="M39" s="1780">
        <f>M96</f>
        <v>339.57588748787327</v>
      </c>
      <c r="N39" s="70"/>
      <c r="U39" s="1770">
        <v>-39.203000000000003</v>
      </c>
      <c r="V39" s="1770">
        <f>I39-U39</f>
        <v>161.68930601</v>
      </c>
      <c r="W39" s="1770">
        <v>-137.10659999999999</v>
      </c>
      <c r="X39" s="66">
        <f>J39-W39</f>
        <v>397.46266838999998</v>
      </c>
      <c r="Y39" s="66">
        <f>K39-X39</f>
        <v>-127.06228881434998</v>
      </c>
    </row>
    <row r="40" spans="1:26" ht="13.5" customHeight="1">
      <c r="A40" s="78"/>
      <c r="B40" s="92" t="s">
        <v>32</v>
      </c>
      <c r="C40" s="77">
        <f>'Raw Data'!C39</f>
        <v>0</v>
      </c>
      <c r="D40" s="77">
        <f>'Raw Data'!D39</f>
        <v>-6.9068464699999996</v>
      </c>
      <c r="E40" s="77">
        <f>'Raw Data'!E39</f>
        <v>-5.40212936</v>
      </c>
      <c r="F40" s="77">
        <f>'Raw Data'!F39</f>
        <v>-9.7758555000000005</v>
      </c>
      <c r="G40" s="1334">
        <f>'Raw Data'!G39</f>
        <v>-13.615900460000001</v>
      </c>
      <c r="H40" s="77">
        <f>'Raw Data'!H39</f>
        <v>-52.681527880000004</v>
      </c>
      <c r="I40" s="77">
        <f>'Raw Data'!I39</f>
        <v>-80.086467639999995</v>
      </c>
      <c r="J40" s="77">
        <f>'Raw Data'!J39</f>
        <v>-97.913830869999998</v>
      </c>
      <c r="K40" s="70">
        <f>K101</f>
        <v>-131.35327217270432</v>
      </c>
      <c r="L40" s="70">
        <f>L101</f>
        <v>-131.35327217270432</v>
      </c>
      <c r="M40" s="70">
        <f>M101</f>
        <v>-131.35327217270432</v>
      </c>
      <c r="N40" s="70"/>
      <c r="O40" s="77"/>
      <c r="P40" s="77"/>
      <c r="Q40" s="77"/>
      <c r="R40" s="77"/>
      <c r="S40" s="77"/>
      <c r="T40" s="77"/>
      <c r="U40" s="815">
        <v>35.908000000000001</v>
      </c>
      <c r="V40" s="1770">
        <f>I40-U40</f>
        <v>-115.99446764</v>
      </c>
      <c r="W40" s="815">
        <v>39.705329999999996</v>
      </c>
      <c r="X40" s="66">
        <f>J40-W40</f>
        <v>-137.61916087</v>
      </c>
      <c r="Y40" s="66">
        <f>K40-X40</f>
        <v>6.2658886972956793</v>
      </c>
    </row>
    <row r="41" spans="1:26" ht="13.5" customHeight="1">
      <c r="A41" s="78"/>
      <c r="B41" s="92" t="s">
        <v>222</v>
      </c>
      <c r="C41" s="77">
        <f>'Raw Data'!C40</f>
        <v>0</v>
      </c>
      <c r="D41" s="77">
        <f>'Raw Data'!D40</f>
        <v>0</v>
      </c>
      <c r="E41" s="77">
        <f>'Raw Data'!E40</f>
        <v>0</v>
      </c>
      <c r="F41" s="77">
        <f>'Raw Data'!F40</f>
        <v>0</v>
      </c>
      <c r="G41" s="1334">
        <f>'Raw Data'!G40</f>
        <v>-1.1902858000000001</v>
      </c>
      <c r="H41" s="77">
        <f>'Raw Data'!H40</f>
        <v>-0.78293142000000004</v>
      </c>
      <c r="I41" s="77">
        <f>'Raw Data'!I40</f>
        <v>-40.865640899999995</v>
      </c>
      <c r="J41" s="77">
        <f>'Raw Data'!J40</f>
        <v>44.716060729999995</v>
      </c>
      <c r="K41" s="1139">
        <v>0</v>
      </c>
      <c r="L41" s="1139">
        <v>0</v>
      </c>
      <c r="M41" s="1139">
        <v>0</v>
      </c>
      <c r="N41" s="139"/>
      <c r="U41" s="1770">
        <v>-5.7869999999999999</v>
      </c>
      <c r="V41" s="1770">
        <f>I41-U41</f>
        <v>-35.078640899999996</v>
      </c>
      <c r="W41" s="1770">
        <v>-16.387499999999999</v>
      </c>
      <c r="X41" s="66">
        <f>J41-W41</f>
        <v>61.103560729999998</v>
      </c>
      <c r="Y41" s="66">
        <f>K41-X41</f>
        <v>-61.103560729999998</v>
      </c>
    </row>
    <row r="42" spans="1:26" ht="13.5" customHeight="1">
      <c r="A42" s="78"/>
      <c r="B42" s="140" t="s">
        <v>221</v>
      </c>
      <c r="C42" s="77">
        <f>'Raw Data'!C41</f>
        <v>0</v>
      </c>
      <c r="D42" s="77">
        <f>'Raw Data'!D41</f>
        <v>-0.91395851000000006</v>
      </c>
      <c r="E42" s="77">
        <f>'Raw Data'!E41</f>
        <v>-0.71311416000000005</v>
      </c>
      <c r="F42" s="77">
        <f>'Raw Data'!F41</f>
        <v>-0.33359337</v>
      </c>
      <c r="G42" s="1334">
        <f>'Raw Data'!G41</f>
        <v>-3.0623986699999999</v>
      </c>
      <c r="H42" s="77">
        <f>'Raw Data'!H41</f>
        <v>-7.39597192</v>
      </c>
      <c r="I42" s="77">
        <f>'Raw Data'!I41</f>
        <v>-3.8198142900000001</v>
      </c>
      <c r="J42" s="77">
        <f>'Raw Data'!J41</f>
        <v>-16.622566750000001</v>
      </c>
      <c r="K42" s="1139">
        <v>0</v>
      </c>
      <c r="L42" s="1139">
        <v>0</v>
      </c>
      <c r="M42" s="1139">
        <v>0</v>
      </c>
      <c r="N42" s="139"/>
      <c r="O42" s="77"/>
      <c r="P42" s="77"/>
      <c r="Q42" s="77"/>
      <c r="R42" s="77"/>
      <c r="S42" s="77"/>
      <c r="T42" s="77"/>
      <c r="U42" s="815">
        <f>1.423+2.366</f>
        <v>3.7890000000000001</v>
      </c>
      <c r="V42" s="1770">
        <f>I42-U42</f>
        <v>-7.6088142899999998</v>
      </c>
      <c r="W42" s="815">
        <f>6.756+2.588</f>
        <v>9.3440000000000012</v>
      </c>
      <c r="X42" s="66">
        <f>J42-W42</f>
        <v>-25.966566750000002</v>
      </c>
      <c r="Y42" s="66">
        <f>K42-X42</f>
        <v>25.966566750000002</v>
      </c>
    </row>
    <row r="43" spans="1:26" s="85" customFormat="1" ht="13.5" customHeight="1">
      <c r="A43" s="88"/>
      <c r="B43" s="133" t="s">
        <v>86</v>
      </c>
      <c r="C43" s="86">
        <f>'Raw Data'!C44</f>
        <v>19.021000000000001</v>
      </c>
      <c r="D43" s="86">
        <f>'Raw Data'!D44</f>
        <v>13.060715949999999</v>
      </c>
      <c r="E43" s="86">
        <f>'Raw Data'!E44</f>
        <v>7.1893000999999996</v>
      </c>
      <c r="F43" s="86">
        <f>'Raw Data'!F44</f>
        <v>9.8371245799999993</v>
      </c>
      <c r="G43" s="1335">
        <f>'Raw Data'!G44</f>
        <v>22.52671557</v>
      </c>
      <c r="H43" s="86">
        <f>'Raw Data'!H44</f>
        <v>70.018458499999994</v>
      </c>
      <c r="I43" s="86">
        <f>'Raw Data'!I44</f>
        <v>141.56359981</v>
      </c>
      <c r="J43" s="86">
        <f>'Raw Data'!J44</f>
        <v>95.315854420000008</v>
      </c>
      <c r="K43" s="89">
        <f>K44+K45</f>
        <v>110</v>
      </c>
      <c r="L43" s="89">
        <f>L44+L45</f>
        <v>110</v>
      </c>
      <c r="M43" s="89">
        <f>M44+M45</f>
        <v>110</v>
      </c>
      <c r="N43" s="89"/>
      <c r="O43" s="89">
        <f>Segment!V56</f>
        <v>3.9174000000000002</v>
      </c>
      <c r="P43" s="89">
        <f>Segment!W56</f>
        <v>5.9197245799999987</v>
      </c>
      <c r="Q43" s="89">
        <f>Segment!X56</f>
        <v>9.5305684100000008</v>
      </c>
      <c r="R43" s="89">
        <f>Segment!Y56</f>
        <v>12.99614716</v>
      </c>
      <c r="S43" s="89">
        <f>Segment!Z56</f>
        <v>15.019116070000003</v>
      </c>
      <c r="T43" s="89">
        <f>Segment!AA56</f>
        <v>54.999342429999992</v>
      </c>
      <c r="U43" s="89">
        <f>Segment!AB56</f>
        <v>72.838272590000003</v>
      </c>
      <c r="V43" s="89">
        <f>Segment!AC56</f>
        <v>68.725327219999997</v>
      </c>
      <c r="W43" s="89">
        <f>Segment!AD56</f>
        <v>35.853332039999998</v>
      </c>
      <c r="X43" s="89">
        <f>Segment!AE56</f>
        <v>59.46252238000001</v>
      </c>
      <c r="Y43" s="89">
        <f>Segment!AF56</f>
        <v>56.706210219999996</v>
      </c>
      <c r="Z43" s="66"/>
    </row>
    <row r="44" spans="1:26" ht="13.5" customHeight="1">
      <c r="A44" s="78"/>
      <c r="B44" s="92" t="s">
        <v>84</v>
      </c>
      <c r="C44" s="626">
        <f>'Raw Data'!C45</f>
        <v>0</v>
      </c>
      <c r="D44" s="626">
        <f>'Raw Data'!D45</f>
        <v>0</v>
      </c>
      <c r="E44" s="77">
        <f>'Raw Data'!E45</f>
        <v>0</v>
      </c>
      <c r="F44" s="77">
        <f>'Raw Data'!F45</f>
        <v>0</v>
      </c>
      <c r="G44" s="1334">
        <f>'Raw Data'!G45</f>
        <v>0</v>
      </c>
      <c r="H44" s="77">
        <f>'Raw Data'!H45</f>
        <v>0</v>
      </c>
      <c r="I44" s="77">
        <f>'Raw Data'!I45</f>
        <v>0</v>
      </c>
      <c r="J44" s="77">
        <f>'Raw Data'!J45</f>
        <v>0</v>
      </c>
      <c r="K44" s="70">
        <f>K108*K109</f>
        <v>0</v>
      </c>
      <c r="L44" s="70">
        <f>L108*L109</f>
        <v>0</v>
      </c>
      <c r="M44" s="70">
        <f>M108*M109</f>
        <v>0</v>
      </c>
      <c r="N44" s="70"/>
      <c r="O44" s="626"/>
      <c r="P44" s="626"/>
      <c r="Q44" s="626"/>
      <c r="R44" s="626"/>
      <c r="S44" s="626"/>
      <c r="T44" s="626"/>
      <c r="U44" s="626"/>
      <c r="V44" s="626"/>
      <c r="W44" s="626"/>
      <c r="X44" s="626"/>
      <c r="Y44" s="626"/>
    </row>
    <row r="45" spans="1:26" ht="13.5" customHeight="1">
      <c r="A45" s="78"/>
      <c r="B45" s="92" t="s">
        <v>220</v>
      </c>
      <c r="C45" s="70">
        <f>'Raw Data'!C46</f>
        <v>19.021000000000001</v>
      </c>
      <c r="D45" s="70">
        <f>'Raw Data'!D46</f>
        <v>13.060715949999999</v>
      </c>
      <c r="E45" s="70">
        <f>'Raw Data'!E46</f>
        <v>7.1893000999999996</v>
      </c>
      <c r="F45" s="70">
        <f>'Raw Data'!F46</f>
        <v>9.8371245799999993</v>
      </c>
      <c r="G45" s="1336">
        <f>'Raw Data'!G46</f>
        <v>22.52671557</v>
      </c>
      <c r="H45" s="70">
        <f>'Raw Data'!H46</f>
        <v>70.018458499999994</v>
      </c>
      <c r="I45" s="70">
        <f>'Raw Data'!I46</f>
        <v>141.56359981</v>
      </c>
      <c r="J45" s="70">
        <f>'Raw Data'!J46</f>
        <v>95.315854420000008</v>
      </c>
      <c r="K45" s="1139">
        <v>110</v>
      </c>
      <c r="L45" s="1139">
        <f>K45</f>
        <v>110</v>
      </c>
      <c r="M45" s="1139">
        <f>L45</f>
        <v>110</v>
      </c>
      <c r="N45" s="139"/>
    </row>
    <row r="46" spans="1:26" ht="13.5" customHeight="1">
      <c r="A46" s="78"/>
      <c r="B46" s="501" t="s">
        <v>993</v>
      </c>
      <c r="C46" s="70">
        <f>+Wind!U35</f>
        <v>10.3</v>
      </c>
      <c r="D46" s="70">
        <f>+Wind!V35</f>
        <v>25.5671</v>
      </c>
      <c r="E46" s="70">
        <f>+Wind!W35</f>
        <v>16.186299999999999</v>
      </c>
      <c r="F46" s="70">
        <f>+Wind!X35</f>
        <v>23.403700000000001</v>
      </c>
      <c r="G46" s="1336">
        <f>+Wind!Y35</f>
        <v>22.13032961</v>
      </c>
      <c r="H46" s="70">
        <f>+Wind!Z35</f>
        <v>54.124659340000001</v>
      </c>
      <c r="I46" s="70">
        <f>+Wind!AA35</f>
        <v>69.936746679999999</v>
      </c>
      <c r="J46" s="70">
        <f>+Wind!AB35</f>
        <v>58.834579660000003</v>
      </c>
      <c r="K46" s="1139">
        <v>85</v>
      </c>
      <c r="L46" s="1139">
        <f>+Segment!O58</f>
        <v>76</v>
      </c>
      <c r="M46" s="1139">
        <f>+Segment!P58</f>
        <v>68.400000000000006</v>
      </c>
      <c r="N46" s="139"/>
      <c r="O46" s="70">
        <f>Segment!V58</f>
        <v>6.93</v>
      </c>
      <c r="P46" s="70">
        <f>Segment!W58</f>
        <v>16.473700000000001</v>
      </c>
      <c r="Q46" s="70">
        <f>Segment!X58</f>
        <v>11.25573007</v>
      </c>
      <c r="R46" s="70">
        <f>Segment!Y58</f>
        <v>10.87459954</v>
      </c>
      <c r="S46" s="70">
        <f>Segment!Z58</f>
        <v>9.1197664499999984</v>
      </c>
      <c r="T46" s="70">
        <f>Segment!AA58</f>
        <v>45.004892890000001</v>
      </c>
      <c r="U46" s="70">
        <f>Segment!AB58</f>
        <v>10.470394000000001</v>
      </c>
      <c r="V46" s="70">
        <f>Segment!AC58</f>
        <v>59.46635268</v>
      </c>
      <c r="W46" s="70">
        <f>Segment!AD58</f>
        <v>17.2865</v>
      </c>
      <c r="X46" s="70">
        <f>Segment!AE58</f>
        <v>41.548079659999999</v>
      </c>
      <c r="Y46" s="70">
        <f>Segment!AF58</f>
        <v>43.539441240000002</v>
      </c>
    </row>
    <row r="47" spans="1:26" ht="13.5" customHeight="1">
      <c r="A47" s="78"/>
      <c r="B47" s="89" t="s">
        <v>219</v>
      </c>
      <c r="C47" s="77">
        <f>+'Raw Data'!C49</f>
        <v>-9.3560999999999996</v>
      </c>
      <c r="D47" s="77">
        <f>+'Raw Data'!D49</f>
        <v>-1.5794620800000001</v>
      </c>
      <c r="E47" s="77">
        <f>+'Raw Data'!E49</f>
        <v>-4.1295241200000001</v>
      </c>
      <c r="F47" s="77">
        <f>+'Raw Data'!F49</f>
        <v>-20.750898780000004</v>
      </c>
      <c r="G47" s="1334">
        <f>+'Raw Data'!G49</f>
        <v>-15.040490150000002</v>
      </c>
      <c r="H47" s="77">
        <f>+'Raw Data'!H49</f>
        <v>-18.256917689999998</v>
      </c>
      <c r="I47" s="77">
        <f>+'Raw Data'!I49</f>
        <v>-9.0968042899999997</v>
      </c>
      <c r="J47" s="77">
        <f>+'Raw Data'!J49</f>
        <v>-37.457737019999996</v>
      </c>
      <c r="K47" s="70">
        <f>K48+K49</f>
        <v>-30.607987569999999</v>
      </c>
      <c r="L47" s="70">
        <f>L48+L49</f>
        <v>-30.607987569999999</v>
      </c>
      <c r="M47" s="70">
        <f>M48+M49</f>
        <v>-30.607987569999999</v>
      </c>
      <c r="N47" s="70"/>
      <c r="O47" s="66">
        <f t="shared" ref="O47:T47" si="21">+O48+O49</f>
        <v>-19.251100000000001</v>
      </c>
      <c r="P47" s="66">
        <f t="shared" si="21"/>
        <v>-1.4997987800000008</v>
      </c>
      <c r="Q47" s="66">
        <f t="shared" si="21"/>
        <v>-7.2484096000000005</v>
      </c>
      <c r="R47" s="66">
        <f t="shared" si="21"/>
        <v>-7.7920805500000014</v>
      </c>
      <c r="S47" s="66">
        <f t="shared" si="21"/>
        <v>-4.2061025599999997</v>
      </c>
      <c r="T47" s="66">
        <f t="shared" si="21"/>
        <v>-14.050815129999998</v>
      </c>
      <c r="U47" s="66">
        <f>+U48+U49</f>
        <v>0.79416812000000014</v>
      </c>
      <c r="V47" s="66">
        <f>+V48+V49</f>
        <v>-9.8909724099999998</v>
      </c>
      <c r="W47" s="66">
        <f>+W48+W49</f>
        <v>-7.8395449999999993</v>
      </c>
      <c r="X47" s="66">
        <f>+X48+X49</f>
        <v>-29.618192019999999</v>
      </c>
      <c r="Y47" s="66">
        <f>+Y48+Y49</f>
        <v>-5.1974055400000001</v>
      </c>
    </row>
    <row r="48" spans="1:26" ht="13.5" customHeight="1">
      <c r="A48" s="78"/>
      <c r="B48" s="140" t="s">
        <v>82</v>
      </c>
      <c r="C48" s="77">
        <f>'Raw Data'!C47</f>
        <v>0.7278</v>
      </c>
      <c r="D48" s="77">
        <f>'Raw Data'!D47</f>
        <v>1.41045581</v>
      </c>
      <c r="E48" s="77">
        <f>'Raw Data'!E47</f>
        <v>1.79897818</v>
      </c>
      <c r="F48" s="77">
        <f>'Raw Data'!F47</f>
        <v>1.97485548</v>
      </c>
      <c r="G48" s="1334">
        <f>'Raw Data'!G47</f>
        <v>2.1570988600000001</v>
      </c>
      <c r="H48" s="77">
        <f>'Raw Data'!H47</f>
        <v>2.3318254900000004</v>
      </c>
      <c r="I48" s="77">
        <f>'Raw Data'!I47</f>
        <v>2.1691309400000001</v>
      </c>
      <c r="J48" s="77">
        <f>'Raw Data'!J47</f>
        <v>2.15025055</v>
      </c>
      <c r="K48" s="1139">
        <v>9</v>
      </c>
      <c r="L48" s="1139">
        <f>+K48</f>
        <v>9</v>
      </c>
      <c r="M48" s="1139">
        <f>+L48</f>
        <v>9</v>
      </c>
      <c r="N48" s="139"/>
      <c r="O48" s="77">
        <f>Segment!V59</f>
        <v>0.63549999999999995</v>
      </c>
      <c r="P48" s="77">
        <f>Segment!W59</f>
        <v>1.33935548</v>
      </c>
      <c r="Q48" s="77">
        <f>Segment!X59</f>
        <v>1.1791737900000001</v>
      </c>
      <c r="R48" s="77">
        <f>Segment!Y59</f>
        <v>0.97792506999999995</v>
      </c>
      <c r="S48" s="77">
        <f>Segment!Z59</f>
        <v>1.16757292</v>
      </c>
      <c r="T48" s="77">
        <f>Segment!AA59</f>
        <v>1.1642525700000004</v>
      </c>
      <c r="U48" s="77">
        <f>Segment!AB59</f>
        <v>1.2054724800000001</v>
      </c>
      <c r="V48" s="77">
        <f>Segment!AC59</f>
        <v>0.96365845999999999</v>
      </c>
      <c r="W48" s="77">
        <f>Segment!AD59</f>
        <v>0.93164000000000002</v>
      </c>
      <c r="X48" s="77">
        <f>Segment!AE59</f>
        <v>1.21861055</v>
      </c>
      <c r="Y48" s="77">
        <f>Segment!AF59</f>
        <v>4.3003498499999999</v>
      </c>
    </row>
    <row r="49" spans="1:25" ht="13.5" customHeight="1">
      <c r="A49" s="78"/>
      <c r="B49" s="140" t="s">
        <v>80</v>
      </c>
      <c r="C49" s="77">
        <f>'Raw Data'!C48</f>
        <v>-10.0839</v>
      </c>
      <c r="D49" s="77">
        <f>'Raw Data'!D48</f>
        <v>-2.9899178900000001</v>
      </c>
      <c r="E49" s="77">
        <f>'Raw Data'!E48</f>
        <v>-5.9285022999999999</v>
      </c>
      <c r="F49" s="77">
        <f>'Raw Data'!F48</f>
        <v>-22.725754260000002</v>
      </c>
      <c r="G49" s="1334">
        <f>'Raw Data'!G48</f>
        <v>-17.197589010000002</v>
      </c>
      <c r="H49" s="77">
        <f>'Raw Data'!H48</f>
        <v>-20.588743179999998</v>
      </c>
      <c r="I49" s="77">
        <f>'Raw Data'!I48</f>
        <v>-11.26593523</v>
      </c>
      <c r="J49" s="77">
        <f>'Raw Data'!J48</f>
        <v>-39.607987569999999</v>
      </c>
      <c r="K49" s="1139">
        <f>J49</f>
        <v>-39.607987569999999</v>
      </c>
      <c r="L49" s="1139">
        <f>K49</f>
        <v>-39.607987569999999</v>
      </c>
      <c r="M49" s="1139">
        <f>L49</f>
        <v>-39.607987569999999</v>
      </c>
      <c r="N49" s="139"/>
      <c r="O49" s="77">
        <f>-Segment!V60</f>
        <v>-19.886600000000001</v>
      </c>
      <c r="P49" s="77">
        <f>-Segment!W60</f>
        <v>-2.8391542600000008</v>
      </c>
      <c r="Q49" s="77">
        <f>-Segment!X60</f>
        <v>-8.4275833900000006</v>
      </c>
      <c r="R49" s="77">
        <f>-Segment!Y60</f>
        <v>-8.7700056200000009</v>
      </c>
      <c r="S49" s="77">
        <f>-Segment!Z60</f>
        <v>-5.3736754800000002</v>
      </c>
      <c r="T49" s="77">
        <f>-Segment!AA60</f>
        <v>-15.215067699999999</v>
      </c>
      <c r="U49" s="77">
        <f>-Segment!AB60</f>
        <v>-0.41130435999999998</v>
      </c>
      <c r="V49" s="77">
        <f>-Segment!AC60</f>
        <v>-10.854630869999999</v>
      </c>
      <c r="W49" s="77">
        <f>-Segment!AD60</f>
        <v>-8.7711849999999991</v>
      </c>
      <c r="X49" s="77">
        <f>-Segment!AE60</f>
        <v>-30.83680257</v>
      </c>
      <c r="Y49" s="77">
        <f>-Segment!AF60</f>
        <v>-9.49775539</v>
      </c>
    </row>
    <row r="50" spans="1:25" ht="13.5" customHeight="1">
      <c r="A50" s="78"/>
      <c r="B50" s="82" t="s">
        <v>78</v>
      </c>
      <c r="C50" s="82">
        <f t="shared" ref="C50:L50" si="22">C35+C47+C38+C43+C46</f>
        <v>389.80510000000004</v>
      </c>
      <c r="D50" s="82">
        <f t="shared" si="22"/>
        <v>273.32785421000005</v>
      </c>
      <c r="E50" s="82">
        <f t="shared" si="22"/>
        <v>736.50294468999994</v>
      </c>
      <c r="F50" s="82">
        <f t="shared" si="22"/>
        <v>1029.5496544300004</v>
      </c>
      <c r="G50" s="1337">
        <f t="shared" si="22"/>
        <v>1513.5168144099998</v>
      </c>
      <c r="H50" s="82">
        <f t="shared" si="22"/>
        <v>1836.0097494299994</v>
      </c>
      <c r="I50" s="82">
        <f t="shared" si="22"/>
        <v>2579.270935590001</v>
      </c>
      <c r="J50" s="82">
        <f>J35+J47+J38+J43+J46</f>
        <v>4107.3122987000024</v>
      </c>
      <c r="K50" s="82">
        <f t="shared" si="22"/>
        <v>5739.0791352899023</v>
      </c>
      <c r="L50" s="82">
        <f t="shared" si="22"/>
        <v>7113.8611753666792</v>
      </c>
      <c r="M50" s="82">
        <f>M35+M47+M38+M43+M46</f>
        <v>8495.2442202056791</v>
      </c>
      <c r="N50" s="82"/>
      <c r="O50" s="82">
        <f t="shared" ref="O50:T50" si="23">O35+O47+O38+O43+O46</f>
        <v>551.29790000000003</v>
      </c>
      <c r="P50" s="82">
        <f t="shared" si="23"/>
        <v>478.2517544300004</v>
      </c>
      <c r="Q50" s="82">
        <f t="shared" si="23"/>
        <v>851.27325733000021</v>
      </c>
      <c r="R50" s="82">
        <f t="shared" si="23"/>
        <v>662.24355707999962</v>
      </c>
      <c r="S50" s="82">
        <f t="shared" si="23"/>
        <v>1002.5461567099998</v>
      </c>
      <c r="T50" s="82">
        <f t="shared" si="23"/>
        <v>833.46359271999972</v>
      </c>
      <c r="U50" s="82">
        <f>U35+U47+U38+U43+U46</f>
        <v>1391.5822096999996</v>
      </c>
      <c r="V50" s="82">
        <f>V35+V47+V38+V43+V46</f>
        <v>1187.6887258900015</v>
      </c>
      <c r="W50" s="82">
        <f>W35+W47+W38+W43+W46</f>
        <v>1933.1922341200002</v>
      </c>
      <c r="X50" s="82">
        <f>X35+X47+X38+X43+X46</f>
        <v>2174.1200645800009</v>
      </c>
      <c r="Y50" s="82">
        <f>Y35+Y47+Y38+Y43+Y46</f>
        <v>3001.5694754100018</v>
      </c>
    </row>
    <row r="51" spans="1:25" s="74" customFormat="1" ht="13.5" hidden="1" customHeight="1" outlineLevel="1">
      <c r="A51" s="138"/>
      <c r="B51" s="137" t="s">
        <v>216</v>
      </c>
      <c r="C51" s="136" t="str">
        <f>IF(ISERROR(C50/#REF!-1)," ",(C50/#REF!-1))</f>
        <v xml:space="preserve"> </v>
      </c>
      <c r="D51" s="136">
        <f t="shared" ref="D51:L51" si="24">IF(ISERROR(D50/C50-1)," ",(D50/C50-1))</f>
        <v>-0.29880893243828766</v>
      </c>
      <c r="E51" s="136">
        <f t="shared" si="24"/>
        <v>1.6945769827181194</v>
      </c>
      <c r="F51" s="136">
        <f t="shared" si="24"/>
        <v>0.39788939318273364</v>
      </c>
      <c r="G51" s="136">
        <f t="shared" si="24"/>
        <v>0.47007656007416454</v>
      </c>
      <c r="H51" s="136">
        <f t="shared" si="24"/>
        <v>0.21307522450334582</v>
      </c>
      <c r="I51" s="136">
        <f t="shared" si="24"/>
        <v>0.40482420444158951</v>
      </c>
      <c r="J51" s="136">
        <f t="shared" si="24"/>
        <v>0.59243150536276112</v>
      </c>
      <c r="K51" s="136">
        <f t="shared" si="24"/>
        <v>0.39728336145911469</v>
      </c>
      <c r="L51" s="136">
        <f t="shared" si="24"/>
        <v>0.23954749667471376</v>
      </c>
      <c r="M51" s="136">
        <f>IF(ISERROR(M50/L50-1)," ",(M50/L50-1))</f>
        <v>0.19418189514610495</v>
      </c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</row>
    <row r="52" spans="1:25" ht="13.5" customHeight="1" collapsed="1">
      <c r="A52" s="73"/>
      <c r="B52" s="133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</row>
    <row r="53" spans="1:25" ht="13.5" customHeight="1">
      <c r="A53" s="78"/>
      <c r="B53" s="84" t="s">
        <v>77</v>
      </c>
      <c r="C53" s="77">
        <f>+'Raw Data'!C54</f>
        <v>-93.639300000000006</v>
      </c>
      <c r="D53" s="77">
        <f>+'Raw Data'!D54</f>
        <v>-57.496913749999997</v>
      </c>
      <c r="E53" s="77">
        <f>+'Raw Data'!E54</f>
        <v>-165.92903487000001</v>
      </c>
      <c r="F53" s="77">
        <f>+'Raw Data'!F54</f>
        <v>-217.48613861000001</v>
      </c>
      <c r="G53" s="77">
        <f>+'Raw Data'!G54</f>
        <v>-320.55640682000001</v>
      </c>
      <c r="H53" s="77">
        <f>+'Raw Data'!H54</f>
        <v>-395.48917806999998</v>
      </c>
      <c r="I53" s="77">
        <f>+'Raw Data'!I54</f>
        <v>-539.49813166999991</v>
      </c>
      <c r="J53" s="77">
        <f>+'Raw Data'!J54</f>
        <v>-780.88329400999999</v>
      </c>
      <c r="K53" s="70">
        <f>-(K50-K44)*K89</f>
        <v>-1176.5112227344298</v>
      </c>
      <c r="L53" s="70">
        <f>-(L50-L44)*L89</f>
        <v>-1458.3415409501692</v>
      </c>
      <c r="M53" s="70">
        <f>-(M50-M44)*M89</f>
        <v>-1741.5250651421641</v>
      </c>
      <c r="N53" s="70"/>
      <c r="O53" s="77">
        <f>-Segment!V62</f>
        <v>-123.6327</v>
      </c>
      <c r="P53" s="77">
        <f>-Segment!W62</f>
        <v>-93.853438610000012</v>
      </c>
      <c r="Q53" s="77">
        <f>-Segment!X62</f>
        <v>-184.04004799000001</v>
      </c>
      <c r="R53" s="77">
        <f>-Segment!Y62</f>
        <v>-136.51635883</v>
      </c>
      <c r="S53" s="77">
        <f>-Segment!Z62</f>
        <v>-206.38160372999999</v>
      </c>
      <c r="T53" s="77">
        <f>-Segment!AA62</f>
        <v>-189.10757433999999</v>
      </c>
      <c r="U53" s="77">
        <f>-Segment!AB62</f>
        <v>-294.04552769999998</v>
      </c>
      <c r="V53" s="77">
        <f>-Segment!AC62</f>
        <v>-245.45260396999993</v>
      </c>
      <c r="W53" s="77">
        <f>-Segment!AD62</f>
        <v>-411.34985</v>
      </c>
      <c r="X53" s="77">
        <f>-Segment!AE62</f>
        <v>-369.53344400999998</v>
      </c>
      <c r="Y53" s="77">
        <f>-Segment!AF62</f>
        <v>-627.05491160999998</v>
      </c>
    </row>
    <row r="54" spans="1:25" ht="13.5" customHeight="1">
      <c r="A54" s="78"/>
      <c r="B54" s="70" t="s">
        <v>18</v>
      </c>
      <c r="C54" s="77">
        <f>-'Raw Data'!C55</f>
        <v>0</v>
      </c>
      <c r="D54" s="77">
        <f>-'Raw Data'!D55</f>
        <v>0</v>
      </c>
      <c r="E54" s="77">
        <f>-'Raw Data'!E55</f>
        <v>0</v>
      </c>
      <c r="F54" s="77">
        <f>-'Raw Data'!F55</f>
        <v>0</v>
      </c>
      <c r="G54" s="77">
        <f>-'Raw Data'!G55</f>
        <v>0</v>
      </c>
      <c r="H54" s="77">
        <f>-'Raw Data'!H55</f>
        <v>0</v>
      </c>
      <c r="I54" s="77">
        <f>-'Raw Data'!I55</f>
        <v>0</v>
      </c>
      <c r="J54" s="77">
        <f>-'Raw Data'!J55</f>
        <v>0.27984775000000001</v>
      </c>
      <c r="K54" s="1139">
        <f>J54</f>
        <v>0.27984775000000001</v>
      </c>
      <c r="L54" s="1139">
        <f>K54</f>
        <v>0.27984775000000001</v>
      </c>
      <c r="M54" s="1139">
        <f>L54</f>
        <v>0.27984775000000001</v>
      </c>
      <c r="N54" s="139"/>
      <c r="O54" s="77">
        <f>-Segment!V64</f>
        <v>0</v>
      </c>
      <c r="P54" s="77">
        <f>-Segment!W64</f>
        <v>0</v>
      </c>
      <c r="Q54" s="77">
        <f>-Segment!X64</f>
        <v>0</v>
      </c>
      <c r="R54" s="77">
        <f>-Segment!Y64</f>
        <v>0</v>
      </c>
      <c r="S54" s="77">
        <f>-Segment!Z64</f>
        <v>0</v>
      </c>
      <c r="T54" s="77">
        <f>-Segment!AA64</f>
        <v>0</v>
      </c>
      <c r="U54" s="77">
        <f>-Segment!AB64</f>
        <v>0</v>
      </c>
      <c r="V54" s="77">
        <f>-Segment!AC64</f>
        <v>0</v>
      </c>
      <c r="W54" s="77">
        <f>-Segment!AD64</f>
        <v>0</v>
      </c>
      <c r="X54" s="77">
        <f>-Segment!AE64</f>
        <v>0.27984775000000001</v>
      </c>
      <c r="Y54" s="77">
        <f>-Segment!AF64</f>
        <v>0</v>
      </c>
    </row>
    <row r="55" spans="1:25" ht="13.5" customHeight="1">
      <c r="A55" s="78"/>
      <c r="B55" s="70" t="s">
        <v>218</v>
      </c>
      <c r="C55" s="77">
        <f>-'Raw Data'!C56</f>
        <v>0</v>
      </c>
      <c r="D55" s="77">
        <f>-'Raw Data'!D56</f>
        <v>0</v>
      </c>
      <c r="E55" s="77">
        <f>-'Raw Data'!E56</f>
        <v>0</v>
      </c>
      <c r="F55" s="77">
        <f>-'Raw Data'!F56</f>
        <v>0</v>
      </c>
      <c r="G55" s="77">
        <f>-'Raw Data'!G56</f>
        <v>0</v>
      </c>
      <c r="H55" s="77">
        <f>-'Raw Data'!H56</f>
        <v>0</v>
      </c>
      <c r="I55" s="77">
        <f>-'Raw Data'!I56</f>
        <v>0</v>
      </c>
      <c r="J55" s="77">
        <f>-'Raw Data'!J56</f>
        <v>0</v>
      </c>
      <c r="K55" s="1141">
        <v>0</v>
      </c>
      <c r="L55" s="1141">
        <v>0</v>
      </c>
      <c r="M55" s="1141">
        <v>0</v>
      </c>
      <c r="N55" s="91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</row>
    <row r="56" spans="1:25" ht="13.5" customHeight="1">
      <c r="A56" s="78"/>
      <c r="B56" s="84" t="s">
        <v>217</v>
      </c>
      <c r="C56" s="77">
        <f>-'Raw Data'!C60</f>
        <v>0</v>
      </c>
      <c r="D56" s="77">
        <f>-'Raw Data'!D60</f>
        <v>0</v>
      </c>
      <c r="E56" s="77">
        <f>-'Raw Data'!E60</f>
        <v>0</v>
      </c>
      <c r="F56" s="77">
        <f>-'Raw Data'!F60</f>
        <v>0</v>
      </c>
      <c r="G56" s="77">
        <f>-'Raw Data'!G60</f>
        <v>0</v>
      </c>
      <c r="H56" s="77">
        <f>-'Raw Data'!H60</f>
        <v>0</v>
      </c>
      <c r="I56" s="77">
        <f>-'Raw Data'!I60</f>
        <v>0</v>
      </c>
      <c r="J56" s="77">
        <f>-'Raw Data'!J60</f>
        <v>0</v>
      </c>
      <c r="K56" s="1141">
        <v>0</v>
      </c>
      <c r="L56" s="1141">
        <v>0</v>
      </c>
      <c r="M56" s="1141">
        <v>0</v>
      </c>
      <c r="N56" s="91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</row>
    <row r="57" spans="1:25" ht="13.5" customHeight="1">
      <c r="A57" s="78"/>
      <c r="B57" s="82" t="s">
        <v>16</v>
      </c>
      <c r="C57" s="82">
        <f t="shared" ref="C57:I57" si="25">IF(ISERROR(C50+C53+C54+C55+C56)," ",C50+C53+C54+C55+C56)</f>
        <v>296.16580000000005</v>
      </c>
      <c r="D57" s="82">
        <f t="shared" si="25"/>
        <v>215.83094046000005</v>
      </c>
      <c r="E57" s="82">
        <f t="shared" si="25"/>
        <v>570.57390981999993</v>
      </c>
      <c r="F57" s="82">
        <f t="shared" si="25"/>
        <v>812.06351582000036</v>
      </c>
      <c r="G57" s="82">
        <f t="shared" si="25"/>
        <v>1192.9604075899997</v>
      </c>
      <c r="H57" s="82">
        <f t="shared" si="25"/>
        <v>1440.5205713599994</v>
      </c>
      <c r="I57" s="82">
        <f t="shared" si="25"/>
        <v>2039.772803920001</v>
      </c>
      <c r="J57" s="82">
        <f>IF(ISERROR(J50+J53+J54+J55+J56)," ",J50+J53+J54+J55+J56)</f>
        <v>3326.7088524400024</v>
      </c>
      <c r="K57" s="82">
        <f>+K50+K53+K54+K55+K56</f>
        <v>4562.8477603054725</v>
      </c>
      <c r="L57" s="82">
        <f>+L50+L53+L54+L55+L56</f>
        <v>5655.7994821665097</v>
      </c>
      <c r="M57" s="82">
        <f>+M50+M53+M54+M55+M56</f>
        <v>6753.9990028135153</v>
      </c>
      <c r="N57" s="2224">
        <f>(M57/J57)^(1/3)-1</f>
        <v>0.26623816564405955</v>
      </c>
      <c r="O57" s="82">
        <f t="shared" ref="O57:T57" si="26">IF(ISERROR(O50+O53+O54+O55+O56)," ",O50+O53+O54+O55+O56)</f>
        <v>427.66520000000003</v>
      </c>
      <c r="P57" s="82">
        <f t="shared" si="26"/>
        <v>384.39831582000039</v>
      </c>
      <c r="Q57" s="82">
        <f t="shared" si="26"/>
        <v>667.23320934000026</v>
      </c>
      <c r="R57" s="82">
        <f t="shared" si="26"/>
        <v>525.72719824999967</v>
      </c>
      <c r="S57" s="82">
        <f t="shared" si="26"/>
        <v>796.16455297999983</v>
      </c>
      <c r="T57" s="82">
        <f t="shared" si="26"/>
        <v>644.3560183799998</v>
      </c>
      <c r="U57" s="82">
        <f>IF(ISERROR(U50+U53+U54+U55+U56)," ",U50+U53+U54+U55+U56)</f>
        <v>1097.5366819999995</v>
      </c>
      <c r="V57" s="82">
        <f>IF(ISERROR(V50+V53+V54+V55+V56)," ",V50+V53+V54+V55+V56)</f>
        <v>942.23612192000155</v>
      </c>
      <c r="W57" s="82">
        <f>IF(ISERROR(W50+W53+W54+W55+W56)," ",W50+W53+W54+W55+W56)</f>
        <v>1521.8423841200001</v>
      </c>
      <c r="X57" s="82">
        <f>IF(ISERROR(X50+X53+X54+X55+X56)," ",X50+X53+X54+X55+X56)</f>
        <v>1804.8664683200009</v>
      </c>
      <c r="Y57" s="82">
        <f>IF(ISERROR(Y50+Y53+Y54+Y55+Y56)," ",Y50+Y53+Y54+Y55+Y56)</f>
        <v>2374.5145638000017</v>
      </c>
    </row>
    <row r="58" spans="1:25" s="74" customFormat="1" ht="13.5" hidden="1" customHeight="1" outlineLevel="1">
      <c r="A58" s="138"/>
      <c r="B58" s="137" t="s">
        <v>216</v>
      </c>
      <c r="C58" s="136" t="str">
        <f>IF(ISERROR(C57/#REF!-1)," ",(C57/#REF!-1))</f>
        <v xml:space="preserve"> </v>
      </c>
      <c r="D58" s="136">
        <f t="shared" ref="D58:L58" si="27">IF(ISERROR(D57/C57-1)," ",(D57/C57-1))</f>
        <v>-0.27124961605965303</v>
      </c>
      <c r="E58" s="136">
        <f t="shared" si="27"/>
        <v>1.6436149914555203</v>
      </c>
      <c r="F58" s="136">
        <f t="shared" si="27"/>
        <v>0.42323983246304353</v>
      </c>
      <c r="G58" s="136">
        <f t="shared" si="27"/>
        <v>0.46904815245317311</v>
      </c>
      <c r="H58" s="136">
        <f t="shared" si="27"/>
        <v>0.20751750200169417</v>
      </c>
      <c r="I58" s="136">
        <f t="shared" si="27"/>
        <v>0.41599699752586394</v>
      </c>
      <c r="J58" s="136">
        <f t="shared" si="27"/>
        <v>0.63092127027421352</v>
      </c>
      <c r="K58" s="136">
        <f t="shared" si="27"/>
        <v>0.37158013000110124</v>
      </c>
      <c r="L58" s="136">
        <f t="shared" si="27"/>
        <v>0.23953280479116112</v>
      </c>
      <c r="M58" s="136">
        <f>IF(ISERROR(M57/L57-1)," ",(M57/L57-1))</f>
        <v>0.19417228706742073</v>
      </c>
      <c r="N58" s="136"/>
      <c r="O58" s="136"/>
      <c r="P58" s="136"/>
      <c r="Q58" s="136"/>
      <c r="R58" s="136"/>
    </row>
    <row r="59" spans="1:25" ht="13.5" customHeight="1" collapsed="1">
      <c r="A59" s="73"/>
      <c r="B59" s="128"/>
      <c r="C59" s="86"/>
      <c r="D59" s="86"/>
      <c r="E59" s="86"/>
      <c r="F59" s="86"/>
      <c r="G59" s="86"/>
      <c r="H59" s="86"/>
      <c r="I59" s="1804"/>
      <c r="J59" s="1804"/>
      <c r="K59" s="1809">
        <f>K57/4227.8-1</f>
        <v>7.9248725177508916E-2</v>
      </c>
      <c r="L59" s="1809">
        <f>L57/5301.6-1</f>
        <v>6.6809921941774153E-2</v>
      </c>
      <c r="M59" s="89"/>
      <c r="N59" s="89"/>
      <c r="O59" s="86"/>
      <c r="P59" s="86"/>
      <c r="Q59" s="86"/>
      <c r="R59" s="86"/>
    </row>
    <row r="60" spans="1:25" s="130" customFormat="1" ht="13.5" customHeight="1">
      <c r="A60" s="134"/>
      <c r="B60" s="133" t="s">
        <v>71</v>
      </c>
      <c r="C60" s="135">
        <f t="shared" ref="C60:I60" si="28">IF(ISERROR(C57/C70)," ",C57/C70)</f>
        <v>1.9637076588801066</v>
      </c>
      <c r="D60" s="135">
        <f t="shared" si="28"/>
        <v>0.47435371529670339</v>
      </c>
      <c r="E60" s="135">
        <f t="shared" si="28"/>
        <v>1.2191750209829058</v>
      </c>
      <c r="F60" s="135">
        <f t="shared" si="28"/>
        <v>1.7351784526068383</v>
      </c>
      <c r="G60" s="135">
        <f t="shared" si="28"/>
        <v>2.29409727754883</v>
      </c>
      <c r="H60" s="135">
        <f t="shared" si="28"/>
        <v>2.7701626139346502</v>
      </c>
      <c r="I60" s="135">
        <f t="shared" si="28"/>
        <v>3.9225419439898634</v>
      </c>
      <c r="J60" s="135">
        <f>IF(ISERROR(J57/J70)," ",J57/J70)</f>
        <v>6.3973570899958307</v>
      </c>
      <c r="K60" s="135">
        <f>IF(ISERROR(K57/K72)," ",K57/K72)</f>
        <v>8.7744878691599482</v>
      </c>
      <c r="L60" s="135">
        <f>IF(ISERROR(L57/L72)," ",L57/L72)</f>
        <v>10.87626555906585</v>
      </c>
      <c r="M60" s="135">
        <f>IF(ISERROR(M57/M72)," ",M57/M72)</f>
        <v>12.988134917422284</v>
      </c>
      <c r="N60" s="135"/>
      <c r="O60" s="135"/>
      <c r="P60" s="135"/>
      <c r="Q60" s="135"/>
      <c r="R60" s="135"/>
    </row>
    <row r="61" spans="1:25" s="130" customFormat="1" ht="13.5" customHeight="1">
      <c r="A61" s="73"/>
      <c r="B61" s="129" t="s">
        <v>215</v>
      </c>
      <c r="C61" s="131">
        <f t="shared" ref="C61:I61" si="29">IF(ISERROR(C57/C71)," ",C57/C71)</f>
        <v>1.9637076588801066</v>
      </c>
      <c r="D61" s="131">
        <f t="shared" si="29"/>
        <v>0.47435371529670339</v>
      </c>
      <c r="E61" s="131">
        <f t="shared" si="29"/>
        <v>1.2191750209829058</v>
      </c>
      <c r="F61" s="131">
        <f t="shared" si="29"/>
        <v>1.7351784526068383</v>
      </c>
      <c r="G61" s="131">
        <f t="shared" si="29"/>
        <v>2.29409727754883</v>
      </c>
      <c r="H61" s="131">
        <f t="shared" si="29"/>
        <v>2.7701626139346502</v>
      </c>
      <c r="I61" s="131">
        <f t="shared" si="29"/>
        <v>3.9225419439898634</v>
      </c>
      <c r="J61" s="131">
        <f>IF(ISERROR(J57/J71)," ",J57/J71)</f>
        <v>6.3973570899958307</v>
      </c>
      <c r="K61" s="131">
        <f>IF(ISERROR(K57/K72)," ",K57/K72)</f>
        <v>8.7744878691599482</v>
      </c>
      <c r="L61" s="131">
        <f>IF(ISERROR(L57/L72)," ",L57/L72)</f>
        <v>10.87626555906585</v>
      </c>
      <c r="M61" s="131">
        <f>IF(ISERROR(M57/M72)," ",M57/M72)</f>
        <v>12.988134917422284</v>
      </c>
      <c r="N61" s="131"/>
      <c r="O61" s="131"/>
      <c r="P61" s="131"/>
      <c r="Q61" s="131"/>
      <c r="R61" s="131"/>
    </row>
    <row r="62" spans="1:25" ht="13.5" customHeight="1">
      <c r="A62" s="134"/>
      <c r="B62" s="133"/>
      <c r="C62" s="89"/>
      <c r="D62" s="89"/>
      <c r="E62" s="812"/>
      <c r="F62" s="812"/>
      <c r="G62" s="812"/>
      <c r="H62" s="812"/>
      <c r="I62" s="812"/>
      <c r="J62" s="812"/>
      <c r="K62" s="89"/>
      <c r="L62" s="89"/>
      <c r="M62" s="89"/>
      <c r="N62" s="89"/>
      <c r="O62" s="89"/>
      <c r="P62" s="89"/>
      <c r="Q62" s="89"/>
      <c r="R62" s="89"/>
    </row>
    <row r="63" spans="1:25" ht="13.5" customHeight="1">
      <c r="A63" s="73"/>
      <c r="B63" s="129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</row>
    <row r="64" spans="1:25" ht="13.5" customHeight="1">
      <c r="A64" s="73"/>
      <c r="B64" s="129" t="s">
        <v>1490</v>
      </c>
      <c r="C64" s="70"/>
      <c r="D64" s="70"/>
      <c r="E64" s="70"/>
      <c r="F64" s="70"/>
      <c r="G64" s="70"/>
      <c r="H64" s="70">
        <f t="shared" ref="H64:M64" si="30">G67</f>
        <v>-600.01499999999999</v>
      </c>
      <c r="I64" s="70">
        <f t="shared" si="30"/>
        <v>-800.02</v>
      </c>
      <c r="J64" s="1797">
        <f t="shared" si="30"/>
        <v>-1000.025</v>
      </c>
      <c r="K64" s="70">
        <f t="shared" si="30"/>
        <v>-1300.0325</v>
      </c>
      <c r="L64" s="70">
        <f t="shared" si="30"/>
        <v>-3154.713164860008</v>
      </c>
      <c r="M64" s="70">
        <f t="shared" si="30"/>
        <v>-3910.3704575505258</v>
      </c>
      <c r="N64" s="70"/>
      <c r="O64" s="70"/>
      <c r="P64" s="70"/>
      <c r="Q64" s="70"/>
      <c r="R64" s="70"/>
    </row>
    <row r="65" spans="1:25" ht="13.5" customHeight="1">
      <c r="A65" s="73"/>
      <c r="B65" s="129" t="s">
        <v>1491</v>
      </c>
      <c r="C65" s="70"/>
      <c r="D65" s="70"/>
      <c r="E65" s="70"/>
      <c r="F65" s="70"/>
      <c r="G65" s="815">
        <v>-600.01499999999999</v>
      </c>
      <c r="H65" s="70">
        <v>0</v>
      </c>
      <c r="I65" s="70">
        <v>0</v>
      </c>
      <c r="J65" s="1799">
        <v>-1000.025</v>
      </c>
      <c r="K65" s="70">
        <v>0</v>
      </c>
      <c r="L65" s="70">
        <v>0</v>
      </c>
      <c r="M65" s="70">
        <v>0</v>
      </c>
      <c r="N65" s="70"/>
      <c r="O65" s="70"/>
      <c r="P65" s="70"/>
      <c r="Q65" s="70"/>
      <c r="R65" s="70"/>
    </row>
    <row r="66" spans="1:25" s="85" customFormat="1" ht="13.5" customHeight="1">
      <c r="A66" s="134"/>
      <c r="B66" s="133" t="s">
        <v>1492</v>
      </c>
      <c r="C66" s="89"/>
      <c r="D66" s="89"/>
      <c r="E66" s="89"/>
      <c r="F66" s="89"/>
      <c r="G66" s="89">
        <f t="shared" ref="G66:M66" si="31">SUM(G64:G65)</f>
        <v>-600.01499999999999</v>
      </c>
      <c r="H66" s="89">
        <f t="shared" si="31"/>
        <v>-600.01499999999999</v>
      </c>
      <c r="I66" s="89">
        <f t="shared" si="31"/>
        <v>-800.02</v>
      </c>
      <c r="J66" s="1798">
        <f t="shared" si="31"/>
        <v>-2000.05</v>
      </c>
      <c r="K66" s="89">
        <f t="shared" si="31"/>
        <v>-1300.0325</v>
      </c>
      <c r="L66" s="89">
        <f t="shared" si="31"/>
        <v>-3154.713164860008</v>
      </c>
      <c r="M66" s="89">
        <f t="shared" si="31"/>
        <v>-3910.3704575505258</v>
      </c>
      <c r="N66" s="89"/>
      <c r="O66" s="89"/>
      <c r="P66" s="89"/>
      <c r="Q66" s="89"/>
      <c r="R66" s="89"/>
      <c r="W66" s="1795"/>
    </row>
    <row r="67" spans="1:25" ht="13.5" customHeight="1">
      <c r="A67" s="73"/>
      <c r="B67" s="129" t="s">
        <v>1493</v>
      </c>
      <c r="C67" s="70"/>
      <c r="D67" s="70"/>
      <c r="E67" s="70"/>
      <c r="F67" s="70"/>
      <c r="G67" s="77">
        <f>-'Raw Data'!G71</f>
        <v>-600.01499999999999</v>
      </c>
      <c r="H67" s="77">
        <f>-'Raw Data'!H71</f>
        <v>-800.02</v>
      </c>
      <c r="I67" s="77">
        <f>-'Raw Data'!I71</f>
        <v>-1000.025</v>
      </c>
      <c r="J67" s="77">
        <f>-'Raw Data'!J71</f>
        <v>-1300.0325</v>
      </c>
      <c r="K67" s="70">
        <f>K68</f>
        <v>-3154.713164860008</v>
      </c>
      <c r="L67" s="70">
        <f>L68</f>
        <v>-3910.3704575505258</v>
      </c>
      <c r="M67" s="70">
        <f>M68</f>
        <v>-4669.6560325739883</v>
      </c>
      <c r="N67" s="70"/>
      <c r="O67" s="70"/>
      <c r="P67" s="70"/>
      <c r="Q67" s="70"/>
      <c r="R67" s="70"/>
    </row>
    <row r="68" spans="1:25" s="85" customFormat="1" ht="13.5" customHeight="1">
      <c r="A68" s="88"/>
      <c r="B68" s="89" t="s">
        <v>1494</v>
      </c>
      <c r="C68" s="86"/>
      <c r="D68" s="86">
        <f>-'Raw Data'!D71</f>
        <v>0</v>
      </c>
      <c r="E68" s="86">
        <f>-'Raw Data'!E71</f>
        <v>0</v>
      </c>
      <c r="F68" s="86">
        <f>-'Raw Data'!F71</f>
        <v>0</v>
      </c>
      <c r="G68" s="89">
        <f>G67+G65</f>
        <v>-1200.03</v>
      </c>
      <c r="H68" s="89">
        <f>H67+H65</f>
        <v>-800.02</v>
      </c>
      <c r="I68" s="89">
        <f>I67+I65</f>
        <v>-1000.025</v>
      </c>
      <c r="J68" s="1798">
        <f>J67+J65</f>
        <v>-2300.0574999999999</v>
      </c>
      <c r="K68" s="89">
        <f>IF(ISERROR(-K57*K184)," ",(-K57*K184))</f>
        <v>-3154.713164860008</v>
      </c>
      <c r="L68" s="89">
        <f>IF(ISERROR(-L57*L184)," ",(-L57*L184))</f>
        <v>-3910.3704575505258</v>
      </c>
      <c r="M68" s="89">
        <f>IF(ISERROR(-M57*M184)," ",(-M57*M184))</f>
        <v>-4669.6560325739883</v>
      </c>
      <c r="N68" s="89"/>
      <c r="O68" s="86"/>
      <c r="P68" s="86"/>
      <c r="Q68" s="86"/>
      <c r="R68" s="86"/>
    </row>
    <row r="69" spans="1:25" s="130" customFormat="1" ht="13.5" customHeight="1">
      <c r="A69" s="132"/>
      <c r="B69" s="131" t="s">
        <v>214</v>
      </c>
      <c r="C69" s="131">
        <f t="shared" ref="C69:I69" si="32">IF(ISERROR(-C68/C70)," ",-C68/C70)</f>
        <v>0</v>
      </c>
      <c r="D69" s="131">
        <f t="shared" si="32"/>
        <v>0</v>
      </c>
      <c r="E69" s="131">
        <f t="shared" si="32"/>
        <v>0</v>
      </c>
      <c r="F69" s="131">
        <f t="shared" si="32"/>
        <v>0</v>
      </c>
      <c r="G69" s="131">
        <f t="shared" si="32"/>
        <v>2.3076923076923075</v>
      </c>
      <c r="H69" s="131">
        <f t="shared" si="32"/>
        <v>1.5384615384615383</v>
      </c>
      <c r="I69" s="131">
        <f t="shared" si="32"/>
        <v>1.9230769230769229</v>
      </c>
      <c r="J69" s="1800">
        <f>-J65/W70+-J67/J70</f>
        <v>4.4230769230769234</v>
      </c>
      <c r="K69" s="131">
        <f>MAX(0,K184*K60)</f>
        <v>6.0666044211587158</v>
      </c>
      <c r="L69" s="131">
        <f>MAX(0,L184*L60)</f>
        <v>7.5197551937173222</v>
      </c>
      <c r="M69" s="131">
        <f>MAX(0,M184*M60)</f>
        <v>8.9798832578685293</v>
      </c>
      <c r="N69" s="131"/>
      <c r="O69" s="131"/>
      <c r="P69" s="131"/>
      <c r="Q69" s="131"/>
      <c r="R69" s="131"/>
    </row>
    <row r="70" spans="1:25" ht="13.5" customHeight="1">
      <c r="A70" s="78"/>
      <c r="B70" s="70" t="s">
        <v>213</v>
      </c>
      <c r="C70" s="77">
        <f>+'Raw Data'!C74</f>
        <v>150.81970000000001</v>
      </c>
      <c r="D70" s="1616">
        <f>+'Raw Data'!D74*1.3</f>
        <v>455</v>
      </c>
      <c r="E70" s="1616">
        <f>+'Raw Data'!E74*1.3</f>
        <v>468</v>
      </c>
      <c r="F70" s="1616">
        <f>+'Raw Data'!F74*1.3</f>
        <v>468</v>
      </c>
      <c r="G70" s="1616">
        <f>+'Raw Data'!G74*1.3</f>
        <v>520.01300000000003</v>
      </c>
      <c r="H70" s="1616">
        <f>+'Raw Data'!H74*1.3</f>
        <v>520.01300000000003</v>
      </c>
      <c r="I70" s="1616">
        <f>+'Raw Data'!I74*1.3</f>
        <v>520.01300000000003</v>
      </c>
      <c r="J70" s="1797">
        <f>I72*(1+J185)</f>
        <v>520.01300000000003</v>
      </c>
      <c r="K70" s="70">
        <f>J72*(1+K185)</f>
        <v>520.01300000000003</v>
      </c>
      <c r="L70" s="70">
        <f>K72*(1+L185)</f>
        <v>520.01300000000003</v>
      </c>
      <c r="M70" s="70">
        <f>L72*(1+M185)</f>
        <v>520.01300000000003</v>
      </c>
      <c r="N70" s="70"/>
      <c r="O70" s="77"/>
      <c r="P70" s="77"/>
      <c r="Q70" s="77">
        <f>G70</f>
        <v>520.01300000000003</v>
      </c>
      <c r="R70" s="77"/>
      <c r="W70" s="77">
        <f>I70</f>
        <v>520.01300000000003</v>
      </c>
      <c r="Y70" s="77">
        <f>K70</f>
        <v>520.01300000000003</v>
      </c>
    </row>
    <row r="71" spans="1:25" ht="13.5" customHeight="1">
      <c r="A71" s="78"/>
      <c r="B71" s="70" t="s">
        <v>212</v>
      </c>
      <c r="C71" s="77">
        <f>+'Raw Data'!C75</f>
        <v>150.81970000000001</v>
      </c>
      <c r="D71" s="1615">
        <f>+'Raw Data'!D75*1.3</f>
        <v>455</v>
      </c>
      <c r="E71" s="1615">
        <f>+'Raw Data'!E75*1.3</f>
        <v>468</v>
      </c>
      <c r="F71" s="1615">
        <f>+'Raw Data'!F75*1.3</f>
        <v>468</v>
      </c>
      <c r="G71" s="1615">
        <f>+'Raw Data'!G75*1.3</f>
        <v>520.01300000000003</v>
      </c>
      <c r="H71" s="1615">
        <f>+'Raw Data'!H75*1.3</f>
        <v>520.01300000000003</v>
      </c>
      <c r="I71" s="1615">
        <f>+'Raw Data'!I75*1.3</f>
        <v>520.01300000000003</v>
      </c>
      <c r="J71" s="1797">
        <f>J72</f>
        <v>520.01300000000003</v>
      </c>
      <c r="K71" s="70">
        <f t="shared" ref="K71:M72" si="33">+J71</f>
        <v>520.01300000000003</v>
      </c>
      <c r="L71" s="70">
        <f t="shared" si="33"/>
        <v>520.01300000000003</v>
      </c>
      <c r="M71" s="70">
        <f t="shared" si="33"/>
        <v>520.01300000000003</v>
      </c>
      <c r="N71" s="70"/>
      <c r="O71" s="77"/>
      <c r="P71" s="77"/>
      <c r="Q71" s="77">
        <f>G71</f>
        <v>520.01300000000003</v>
      </c>
      <c r="R71" s="77"/>
      <c r="W71" s="77">
        <f>W72</f>
        <v>520.01300000000003</v>
      </c>
      <c r="Y71" s="77">
        <f>Y72</f>
        <v>520.01300000000003</v>
      </c>
    </row>
    <row r="72" spans="1:25" ht="13.5" customHeight="1">
      <c r="A72" s="78"/>
      <c r="B72" s="70" t="s">
        <v>211</v>
      </c>
      <c r="C72" s="77">
        <f>+'Raw Data'!C76</f>
        <v>150.81970000000001</v>
      </c>
      <c r="D72" s="1615">
        <f>+'Raw Data'!D76*1.3</f>
        <v>455</v>
      </c>
      <c r="E72" s="1615">
        <f>+'Raw Data'!E76*1.3</f>
        <v>468</v>
      </c>
      <c r="F72" s="1615">
        <f>+'Raw Data'!F76*1.3</f>
        <v>468</v>
      </c>
      <c r="G72" s="1615">
        <f>+'Raw Data'!G76*1.3</f>
        <v>520.01300000000003</v>
      </c>
      <c r="H72" s="1615">
        <f>+'Raw Data'!H76*1.3</f>
        <v>520.01300000000003</v>
      </c>
      <c r="I72" s="1615">
        <f>+'Raw Data'!I76*1.3</f>
        <v>520.01300000000003</v>
      </c>
      <c r="J72" s="1797">
        <f>I72</f>
        <v>520.01300000000003</v>
      </c>
      <c r="K72" s="70">
        <f t="shared" si="33"/>
        <v>520.01300000000003</v>
      </c>
      <c r="L72" s="70">
        <f t="shared" si="33"/>
        <v>520.01300000000003</v>
      </c>
      <c r="M72" s="70">
        <f t="shared" si="33"/>
        <v>520.01300000000003</v>
      </c>
      <c r="N72" s="70"/>
      <c r="O72" s="77"/>
      <c r="P72" s="77"/>
      <c r="Q72" s="77">
        <f>G72</f>
        <v>520.01300000000003</v>
      </c>
      <c r="R72" s="77"/>
      <c r="W72" s="77">
        <f>I72</f>
        <v>520.01300000000003</v>
      </c>
      <c r="Y72" s="77">
        <f>K72</f>
        <v>520.01300000000003</v>
      </c>
    </row>
    <row r="73" spans="1:25" ht="13.5" customHeight="1">
      <c r="A73" s="73"/>
      <c r="B73" s="129"/>
      <c r="C73" s="513"/>
      <c r="D73" s="513"/>
      <c r="E73" s="513"/>
      <c r="F73" s="513"/>
      <c r="G73" s="513"/>
      <c r="H73" s="513"/>
      <c r="I73" s="1614">
        <v>400.01</v>
      </c>
      <c r="J73" s="1614">
        <v>400.01</v>
      </c>
      <c r="K73" s="513"/>
      <c r="L73" s="513"/>
      <c r="M73" s="513"/>
      <c r="N73" s="513"/>
      <c r="O73" s="513"/>
      <c r="P73" s="513"/>
      <c r="Q73" s="513"/>
      <c r="R73" s="513"/>
      <c r="W73" s="77"/>
    </row>
    <row r="74" spans="1:25" ht="13.5" customHeight="1">
      <c r="A74" s="73"/>
      <c r="B74" s="79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</row>
    <row r="75" spans="1:25" s="1146" customFormat="1" ht="15.75" customHeight="1">
      <c r="A75" s="1144"/>
      <c r="B75" s="1143" t="s">
        <v>210</v>
      </c>
      <c r="C75" s="1145" t="str">
        <f t="shared" ref="C75:V75" si="34">C4</f>
        <v>2017</v>
      </c>
      <c r="D75" s="1145" t="str">
        <f t="shared" si="34"/>
        <v>2018</v>
      </c>
      <c r="E75" s="1145" t="str">
        <f t="shared" si="34"/>
        <v>2019</v>
      </c>
      <c r="F75" s="1145" t="str">
        <f t="shared" si="34"/>
        <v>2020</v>
      </c>
      <c r="G75" s="1145">
        <f t="shared" si="34"/>
        <v>2021</v>
      </c>
      <c r="H75" s="1145">
        <f t="shared" si="34"/>
        <v>2022</v>
      </c>
      <c r="I75" s="1145">
        <f t="shared" si="34"/>
        <v>2023</v>
      </c>
      <c r="J75" s="1145">
        <f>J4</f>
        <v>2024</v>
      </c>
      <c r="K75" s="1145" t="str">
        <f t="shared" si="34"/>
        <v>2025E</v>
      </c>
      <c r="L75" s="1145" t="str">
        <f t="shared" si="34"/>
        <v>2026E</v>
      </c>
      <c r="M75" s="1145" t="str">
        <f>M4</f>
        <v>2027E</v>
      </c>
      <c r="N75" s="1145"/>
      <c r="O75" s="1145" t="str">
        <f t="shared" si="34"/>
        <v>1H20</v>
      </c>
      <c r="P75" s="1145" t="str">
        <f t="shared" si="34"/>
        <v>2H20</v>
      </c>
      <c r="Q75" s="1145" t="str">
        <f t="shared" si="34"/>
        <v>1H21</v>
      </c>
      <c r="R75" s="1145" t="str">
        <f t="shared" si="34"/>
        <v>2H21</v>
      </c>
      <c r="S75" s="1145" t="str">
        <f t="shared" si="34"/>
        <v>1H22</v>
      </c>
      <c r="T75" s="1145" t="str">
        <f t="shared" si="34"/>
        <v>2H22</v>
      </c>
      <c r="U75" s="1145" t="str">
        <f t="shared" si="34"/>
        <v>1H23</v>
      </c>
      <c r="V75" s="1145" t="str">
        <f t="shared" si="34"/>
        <v>2H23</v>
      </c>
      <c r="W75" s="1145" t="str">
        <f>W4</f>
        <v>1H24</v>
      </c>
      <c r="X75" s="1145" t="str">
        <f>X4</f>
        <v>2H24</v>
      </c>
      <c r="Y75" s="2174" t="str">
        <f>Y4</f>
        <v>1H25</v>
      </c>
    </row>
    <row r="76" spans="1:25" ht="13.5" hidden="1" customHeight="1" outlineLevel="1">
      <c r="A76" s="73"/>
      <c r="B76" s="79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</row>
    <row r="77" spans="1:25" s="74" customFormat="1" ht="13.5" hidden="1" customHeight="1" outlineLevel="1">
      <c r="A77" s="73"/>
      <c r="B77" s="128" t="s">
        <v>209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</row>
    <row r="78" spans="1:25" s="74" customFormat="1" ht="13.5" hidden="1" customHeight="1" outlineLevel="1">
      <c r="A78" s="116"/>
      <c r="B78" s="115" t="s">
        <v>208</v>
      </c>
      <c r="C78" s="101">
        <f t="shared" ref="C78:L78" si="35">IF(ISERROR(-C16/C$13)," ",-C16/C$13)</f>
        <v>0.52077883187315477</v>
      </c>
      <c r="D78" s="101">
        <f t="shared" si="35"/>
        <v>0.54032019950226817</v>
      </c>
      <c r="E78" s="101">
        <f t="shared" si="35"/>
        <v>0.53263575224477866</v>
      </c>
      <c r="F78" s="101">
        <f t="shared" si="35"/>
        <v>0.53400143341422324</v>
      </c>
      <c r="G78" s="101">
        <f t="shared" si="35"/>
        <v>0.55627164589024602</v>
      </c>
      <c r="H78" s="101">
        <f t="shared" si="35"/>
        <v>0.57674739008598341</v>
      </c>
      <c r="I78" s="101">
        <f t="shared" si="35"/>
        <v>0.56927736693886866</v>
      </c>
      <c r="J78" s="101">
        <f>IF(ISERROR(-J16/J$13)," ",-J16/J$13)</f>
        <v>0.55190623016294715</v>
      </c>
      <c r="K78" s="101">
        <f t="shared" si="35"/>
        <v>0.55089788322942213</v>
      </c>
      <c r="L78" s="101">
        <f t="shared" si="35"/>
        <v>0.54115748593561208</v>
      </c>
      <c r="M78" s="101">
        <f>IF(ISERROR(-M16/M$13)," ",-M16/M$13)</f>
        <v>0.53782015194267563</v>
      </c>
      <c r="N78" s="101"/>
      <c r="O78" s="101">
        <f t="shared" ref="O78:V78" si="36">IF(ISERROR(-O16/O$13)," ",-O16/O$13)</f>
        <v>0.53560233973163474</v>
      </c>
      <c r="P78" s="101">
        <f t="shared" si="36"/>
        <v>0.53241311881657738</v>
      </c>
      <c r="Q78" s="101">
        <f t="shared" si="36"/>
        <v>0.50320013398996188</v>
      </c>
      <c r="R78" s="101">
        <f t="shared" si="36"/>
        <v>0.61557056802064025</v>
      </c>
      <c r="S78" s="101">
        <f t="shared" si="36"/>
        <v>0.57319628359438179</v>
      </c>
      <c r="T78" s="101">
        <f t="shared" si="36"/>
        <v>0.58036351548739973</v>
      </c>
      <c r="U78" s="101">
        <f t="shared" si="36"/>
        <v>0.56895707336891488</v>
      </c>
      <c r="V78" s="101">
        <f t="shared" si="36"/>
        <v>0.56957875930856872</v>
      </c>
      <c r="W78" s="101">
        <f>IF(ISERROR(-W16/W$13)," ",-W16/W$13)</f>
        <v>0.5539926974467998</v>
      </c>
      <c r="X78" s="101">
        <f>IF(ISERROR(-X16/X$13)," ",-X16/X$13)</f>
        <v>0.54984393331003067</v>
      </c>
      <c r="Y78" s="101">
        <f>IF(ISERROR(-Y16/Y$13)," ",-Y16/Y$13)</f>
        <v>0.54853482037610901</v>
      </c>
    </row>
    <row r="79" spans="1:25" s="74" customFormat="1" ht="13.5" hidden="1" customHeight="1" outlineLevel="1">
      <c r="A79" s="116"/>
      <c r="B79" s="115" t="s">
        <v>207</v>
      </c>
      <c r="C79" s="101">
        <f>IF(ISERROR(-C17/C$13)," ",-C17/C$13)</f>
        <v>0</v>
      </c>
      <c r="D79" s="101">
        <f>IF(ISERROR(-D17/D$13)," ",-D17/D$13)</f>
        <v>0</v>
      </c>
      <c r="E79" s="101">
        <f>IF(ISERROR(-E17/E$13)," ",-E17/E$13)</f>
        <v>0</v>
      </c>
      <c r="F79" s="101">
        <f>IF(ISERROR(-F17/F$13)," ",-F17/F$13)</f>
        <v>0</v>
      </c>
      <c r="G79" s="101">
        <f>IF(ISERROR(-G17/G$13)," ",-G17/G$13)</f>
        <v>0</v>
      </c>
      <c r="H79" s="100">
        <f t="shared" ref="H79:M79" si="37">G79</f>
        <v>0</v>
      </c>
      <c r="I79" s="100">
        <f t="shared" si="37"/>
        <v>0</v>
      </c>
      <c r="J79" s="100">
        <f t="shared" si="37"/>
        <v>0</v>
      </c>
      <c r="K79" s="100">
        <f t="shared" si="37"/>
        <v>0</v>
      </c>
      <c r="L79" s="100">
        <f t="shared" si="37"/>
        <v>0</v>
      </c>
      <c r="M79" s="100">
        <f t="shared" si="37"/>
        <v>0</v>
      </c>
      <c r="N79" s="100"/>
      <c r="O79" s="100">
        <f>N79</f>
        <v>0</v>
      </c>
      <c r="P79" s="100">
        <f t="shared" ref="P79:Y79" si="38">O79</f>
        <v>0</v>
      </c>
      <c r="Q79" s="100">
        <f t="shared" si="38"/>
        <v>0</v>
      </c>
      <c r="R79" s="100">
        <f t="shared" si="38"/>
        <v>0</v>
      </c>
      <c r="S79" s="100">
        <f t="shared" si="38"/>
        <v>0</v>
      </c>
      <c r="T79" s="100">
        <f t="shared" si="38"/>
        <v>0</v>
      </c>
      <c r="U79" s="100">
        <f t="shared" si="38"/>
        <v>0</v>
      </c>
      <c r="V79" s="100">
        <f t="shared" si="38"/>
        <v>0</v>
      </c>
      <c r="W79" s="100">
        <f t="shared" si="38"/>
        <v>0</v>
      </c>
      <c r="X79" s="100">
        <f t="shared" si="38"/>
        <v>0</v>
      </c>
      <c r="Y79" s="100">
        <f t="shared" si="38"/>
        <v>0</v>
      </c>
    </row>
    <row r="80" spans="1:25" s="74" customFormat="1" ht="13.5" hidden="1" customHeight="1" outlineLevel="1">
      <c r="A80" s="116"/>
      <c r="B80" s="115" t="s">
        <v>205</v>
      </c>
      <c r="C80" s="101">
        <f t="shared" ref="C80:L80" si="39">IF(ISERROR(-C20/C$13)," ",C20/C$13)</f>
        <v>0.47922116812684518</v>
      </c>
      <c r="D80" s="1319">
        <f t="shared" si="39"/>
        <v>0.45967980049773188</v>
      </c>
      <c r="E80" s="1319">
        <f t="shared" si="39"/>
        <v>0.46736424775522128</v>
      </c>
      <c r="F80" s="1319">
        <f t="shared" si="39"/>
        <v>0.46599856658577676</v>
      </c>
      <c r="G80" s="1319">
        <f t="shared" si="39"/>
        <v>0.44372835410975392</v>
      </c>
      <c r="H80" s="1319">
        <f t="shared" si="39"/>
        <v>0.42325260991401664</v>
      </c>
      <c r="I80" s="1319">
        <f t="shared" si="39"/>
        <v>0.4307226330611314</v>
      </c>
      <c r="J80" s="1319">
        <f>IF(ISERROR(-J20/J$13)," ",J20/J$13)</f>
        <v>0.44809376983705279</v>
      </c>
      <c r="K80" s="1319">
        <f t="shared" si="39"/>
        <v>0.44910211677057787</v>
      </c>
      <c r="L80" s="1319">
        <f t="shared" si="39"/>
        <v>0.45884251406438797</v>
      </c>
      <c r="M80" s="1319">
        <f>IF(ISERROR(-M20/M$13)," ",M20/M$13)</f>
        <v>0.46217984805732437</v>
      </c>
      <c r="N80" s="121">
        <f>M80-J80</f>
        <v>1.4086078220271581E-2</v>
      </c>
      <c r="O80" s="121">
        <f t="shared" ref="O80:V80" si="40">IF(ISERROR(-O20/O$13)," ",O20/O$13)</f>
        <v>0.46439766026836521</v>
      </c>
      <c r="P80" s="121">
        <f t="shared" si="40"/>
        <v>0.46758688118342262</v>
      </c>
      <c r="Q80" s="121">
        <f t="shared" si="40"/>
        <v>0.49679986601003817</v>
      </c>
      <c r="R80" s="121">
        <f t="shared" si="40"/>
        <v>0.38442943197935975</v>
      </c>
      <c r="S80" s="121">
        <f t="shared" si="40"/>
        <v>0.42680371640561815</v>
      </c>
      <c r="T80" s="121">
        <f t="shared" si="40"/>
        <v>0.41963648451260033</v>
      </c>
      <c r="U80" s="121">
        <f t="shared" si="40"/>
        <v>0.43104292663108518</v>
      </c>
      <c r="V80" s="121">
        <f t="shared" si="40"/>
        <v>0.43042124069143128</v>
      </c>
      <c r="W80" s="121">
        <f>IF(ISERROR(-W20/W$13)," ",W20/W$13)</f>
        <v>0.4460073025532002</v>
      </c>
      <c r="X80" s="121">
        <f>IF(ISERROR(-X20/X$13)," ",X20/X$13)</f>
        <v>0.45015606668996938</v>
      </c>
      <c r="Y80" s="121">
        <f>IF(ISERROR(-Y20/Y$13)," ",Y20/Y$13)</f>
        <v>0.45146517962389099</v>
      </c>
    </row>
    <row r="81" spans="1:25" s="74" customFormat="1" ht="13.5" hidden="1" customHeight="1" outlineLevel="1">
      <c r="A81" s="116"/>
      <c r="B81" s="127" t="s">
        <v>206</v>
      </c>
      <c r="C81" s="101">
        <f t="shared" ref="C81:L81" si="41">IF(ISERROR(-C23/C$13)," ",-C23/C$13)</f>
        <v>0.3453057794767832</v>
      </c>
      <c r="D81" s="1319">
        <f t="shared" si="41"/>
        <v>0.37946801486935394</v>
      </c>
      <c r="E81" s="1319">
        <f t="shared" si="41"/>
        <v>0.29870233479353669</v>
      </c>
      <c r="F81" s="1319">
        <f t="shared" si="41"/>
        <v>0.2642216704396057</v>
      </c>
      <c r="G81" s="1319">
        <f t="shared" si="41"/>
        <v>0.24930935713108587</v>
      </c>
      <c r="H81" s="1319">
        <f t="shared" si="41"/>
        <v>0.21647392034342006</v>
      </c>
      <c r="I81" s="1319">
        <f t="shared" si="41"/>
        <v>0.22194024926715311</v>
      </c>
      <c r="J81" s="1319">
        <f>IF(ISERROR(-J23/J$13)," ",-J23/J$13)</f>
        <v>0.21019185267759596</v>
      </c>
      <c r="K81" s="1319">
        <f t="shared" si="41"/>
        <v>0.19969185267759598</v>
      </c>
      <c r="L81" s="1319">
        <f t="shared" si="41"/>
        <v>0.19439185267759598</v>
      </c>
      <c r="M81" s="1319">
        <f t="shared" ref="M81:M84" si="42">IF(ISERROR(-M23/M$13)," ",-M23/M$13)</f>
        <v>0.19079185267759605</v>
      </c>
      <c r="N81" s="101"/>
      <c r="O81" s="101">
        <f t="shared" ref="O81:V81" si="43">IF(ISERROR(-O23/O$13)," ",-O23/O$13)</f>
        <v>0.23458390361595663</v>
      </c>
      <c r="P81" s="101">
        <f t="shared" si="43"/>
        <v>0.2936263252752111</v>
      </c>
      <c r="Q81" s="101">
        <f t="shared" si="43"/>
        <v>0.26960487311091197</v>
      </c>
      <c r="R81" s="101">
        <f t="shared" si="43"/>
        <v>0.22663236567953018</v>
      </c>
      <c r="S81" s="101">
        <f t="shared" si="43"/>
        <v>0.21012542148037364</v>
      </c>
      <c r="T81" s="101">
        <f t="shared" si="43"/>
        <v>0.22293865691322409</v>
      </c>
      <c r="U81" s="101">
        <f t="shared" si="43"/>
        <v>0.20363255170809683</v>
      </c>
      <c r="V81" s="101">
        <f t="shared" si="43"/>
        <v>0.23916757091420743</v>
      </c>
      <c r="W81" s="101">
        <f t="shared" ref="W81:X84" si="44">IF(ISERROR(-W23/W$13)," ",-W23/W$13)</f>
        <v>0.19459684223933801</v>
      </c>
      <c r="X81" s="101">
        <f t="shared" si="44"/>
        <v>0.22560620458089289</v>
      </c>
      <c r="Y81" s="101">
        <f t="shared" ref="Y81" si="45">IF(ISERROR(-Y23/Y$13)," ",-Y23/Y$13)</f>
        <v>0.19394201964830041</v>
      </c>
    </row>
    <row r="82" spans="1:25" s="74" customFormat="1" ht="13.5" hidden="1" customHeight="1" outlineLevel="1">
      <c r="A82" s="116"/>
      <c r="B82" s="421" t="s">
        <v>96</v>
      </c>
      <c r="C82" s="101">
        <f t="shared" ref="C82:F84" si="46">IF(ISERROR(-C24/C$13)," ",-C24/C$13)</f>
        <v>1.615601561793421E-2</v>
      </c>
      <c r="D82" s="1319">
        <f t="shared" si="46"/>
        <v>1.3026697249003847E-2</v>
      </c>
      <c r="E82" s="1319">
        <f t="shared" si="46"/>
        <v>1.0527240792137032E-2</v>
      </c>
      <c r="F82" s="1319">
        <f t="shared" si="46"/>
        <v>1.0155803340666153E-2</v>
      </c>
      <c r="G82" s="1319">
        <f t="shared" ref="G82:L82" si="47">IF(ISERROR(-G24/G$13)," ",-G24/G$13)</f>
        <v>1.1007806310878467E-2</v>
      </c>
      <c r="H82" s="1319">
        <f t="shared" si="47"/>
        <v>1.0891819191753145E-2</v>
      </c>
      <c r="I82" s="1319">
        <f t="shared" si="47"/>
        <v>1.0744300286865517E-2</v>
      </c>
      <c r="J82" s="1319">
        <f>IF(ISERROR(-J24/J$13)," ",-J24/J$13)</f>
        <v>1.0088657227337252E-2</v>
      </c>
      <c r="K82" s="1319">
        <f t="shared" si="47"/>
        <v>1.0088657227337252E-2</v>
      </c>
      <c r="L82" s="1319">
        <f t="shared" si="47"/>
        <v>1.0088657227337254E-2</v>
      </c>
      <c r="M82" s="1319">
        <f t="shared" si="42"/>
        <v>1.0088657227337252E-2</v>
      </c>
      <c r="N82" s="122"/>
      <c r="O82" s="101">
        <f t="shared" ref="O82:V82" si="48">IF(ISERROR(-O24/O$13)," ",-O24/O$13)</f>
        <v>9.6126173519446145E-3</v>
      </c>
      <c r="P82" s="101">
        <f t="shared" si="48"/>
        <v>1.0694716970864129E-2</v>
      </c>
      <c r="Q82" s="101">
        <f t="shared" si="48"/>
        <v>1.1292488080455061E-2</v>
      </c>
      <c r="R82" s="101">
        <f t="shared" si="48"/>
        <v>1.0689719987696579E-2</v>
      </c>
      <c r="S82" s="101">
        <f t="shared" si="48"/>
        <v>1.1104093607783151E-2</v>
      </c>
      <c r="T82" s="101">
        <f t="shared" si="48"/>
        <v>1.0675658141755813E-2</v>
      </c>
      <c r="U82" s="101">
        <f t="shared" si="48"/>
        <v>1.0891453621879545E-2</v>
      </c>
      <c r="V82" s="101">
        <f t="shared" si="48"/>
        <v>1.0605830781044488E-2</v>
      </c>
      <c r="W82" s="101">
        <f t="shared" si="44"/>
        <v>1.0703828751481752E-2</v>
      </c>
      <c r="X82" s="101">
        <f t="shared" si="44"/>
        <v>9.4806120842068405E-3</v>
      </c>
      <c r="Y82" s="101">
        <f t="shared" ref="Y82" si="49">IF(ISERROR(-Y24/Y$13)," ",-Y24/Y$13)</f>
        <v>1.0182825773732588E-2</v>
      </c>
    </row>
    <row r="83" spans="1:25" s="74" customFormat="1" ht="13.5" hidden="1" customHeight="1" outlineLevel="1">
      <c r="A83" s="116"/>
      <c r="B83" s="421" t="s">
        <v>63</v>
      </c>
      <c r="C83" s="101">
        <f t="shared" si="46"/>
        <v>0.29019185404807274</v>
      </c>
      <c r="D83" s="1319">
        <f t="shared" si="46"/>
        <v>0.31915682216812563</v>
      </c>
      <c r="E83" s="1319">
        <f t="shared" si="46"/>
        <v>0.23370316402796393</v>
      </c>
      <c r="F83" s="1319">
        <f t="shared" si="46"/>
        <v>0.20981077853831201</v>
      </c>
      <c r="G83" s="1319">
        <f t="shared" ref="G83:L83" si="50">IF(ISERROR(-G25/G$13)," ",-G25/G$13)</f>
        <v>0.19610478370269829</v>
      </c>
      <c r="H83" s="1319">
        <f t="shared" si="50"/>
        <v>0.17039502368515247</v>
      </c>
      <c r="I83" s="1319">
        <f t="shared" si="50"/>
        <v>0.17363998317003096</v>
      </c>
      <c r="J83" s="1319">
        <f>IF(ISERROR(-J25/J$13)," ",-J25/J$13)</f>
        <v>0.16927235739049407</v>
      </c>
      <c r="K83" s="1319">
        <f t="shared" si="50"/>
        <v>0.16057235739049408</v>
      </c>
      <c r="L83" s="1319">
        <f t="shared" si="50"/>
        <v>0.15637235739049407</v>
      </c>
      <c r="M83" s="1319">
        <f t="shared" si="42"/>
        <v>0.1538723573904941</v>
      </c>
      <c r="N83" s="121">
        <f>M83-J83</f>
        <v>-1.5399999999999969E-2</v>
      </c>
      <c r="O83" s="101">
        <f t="shared" ref="O83:V83" si="51">IF(ISERROR(-O25/O$13)," ",-O25/O$13)</f>
        <v>0.18311999610279597</v>
      </c>
      <c r="P83" s="101">
        <f t="shared" si="51"/>
        <v>0.23629162810698931</v>
      </c>
      <c r="Q83" s="101">
        <f t="shared" si="51"/>
        <v>0.2168933971352478</v>
      </c>
      <c r="R83" s="101">
        <f t="shared" si="51"/>
        <v>0.17287683475238735</v>
      </c>
      <c r="S83" s="101">
        <f t="shared" si="51"/>
        <v>0.16375048189918112</v>
      </c>
      <c r="T83" s="101">
        <f t="shared" si="51"/>
        <v>0.17716122356956848</v>
      </c>
      <c r="U83" s="101">
        <f t="shared" si="51"/>
        <v>0.15809625061983129</v>
      </c>
      <c r="V83" s="101">
        <f t="shared" si="51"/>
        <v>0.18826644722288591</v>
      </c>
      <c r="W83" s="101">
        <f t="shared" si="44"/>
        <v>0.15558990350559346</v>
      </c>
      <c r="X83" s="101">
        <f t="shared" si="44"/>
        <v>0.18279630852329296</v>
      </c>
      <c r="Y83" s="101">
        <f t="shared" ref="Y83" si="52">IF(ISERROR(-Y25/Y$13)," ",-Y25/Y$13)</f>
        <v>0.15661519426945597</v>
      </c>
    </row>
    <row r="84" spans="1:25" s="74" customFormat="1" ht="13.5" hidden="1" customHeight="1" outlineLevel="1">
      <c r="A84" s="116"/>
      <c r="B84" s="421" t="s">
        <v>93</v>
      </c>
      <c r="C84" s="101">
        <f t="shared" si="46"/>
        <v>3.8957909810776223E-2</v>
      </c>
      <c r="D84" s="1319">
        <f t="shared" si="46"/>
        <v>4.7284495452224476E-2</v>
      </c>
      <c r="E84" s="1319">
        <f t="shared" si="46"/>
        <v>5.4471929973435709E-2</v>
      </c>
      <c r="F84" s="1319">
        <f t="shared" si="46"/>
        <v>4.4255088560627591E-2</v>
      </c>
      <c r="G84" s="1319">
        <f t="shared" ref="G84:L84" si="53">IF(ISERROR(-G26/G$13)," ",-G26/G$13)</f>
        <v>4.2196767117509117E-2</v>
      </c>
      <c r="H84" s="1319">
        <f t="shared" si="53"/>
        <v>3.5187077466514456E-2</v>
      </c>
      <c r="I84" s="1319">
        <f t="shared" si="53"/>
        <v>3.7555965810256643E-2</v>
      </c>
      <c r="J84" s="1319">
        <f>IF(ISERROR(-J26/J$13)," ",-J26/J$13)</f>
        <v>3.0830838059764672E-2</v>
      </c>
      <c r="K84" s="1319">
        <f t="shared" si="53"/>
        <v>2.9030838059764676E-2</v>
      </c>
      <c r="L84" s="1319">
        <f t="shared" si="53"/>
        <v>2.7930838059764668E-2</v>
      </c>
      <c r="M84" s="1319">
        <f t="shared" si="42"/>
        <v>2.6830838059764668E-2</v>
      </c>
      <c r="N84" s="120"/>
      <c r="O84" s="101">
        <f t="shared" ref="O84:V84" si="54">IF(ISERROR(-O26/O$13)," ",-O26/O$13)</f>
        <v>4.185129016121604E-2</v>
      </c>
      <c r="P84" s="101">
        <f t="shared" si="54"/>
        <v>4.663998019735769E-2</v>
      </c>
      <c r="Q84" s="101">
        <f t="shared" si="54"/>
        <v>4.1418987895209133E-2</v>
      </c>
      <c r="R84" s="101">
        <f t="shared" si="54"/>
        <v>4.3065810939446253E-2</v>
      </c>
      <c r="S84" s="101">
        <f t="shared" si="54"/>
        <v>3.5270845973409369E-2</v>
      </c>
      <c r="T84" s="101">
        <f t="shared" si="54"/>
        <v>3.5101775201899804E-2</v>
      </c>
      <c r="U84" s="101">
        <f t="shared" si="54"/>
        <v>3.4644847466385971E-2</v>
      </c>
      <c r="V84" s="101">
        <f t="shared" si="54"/>
        <v>4.0295292910277031E-2</v>
      </c>
      <c r="W84" s="101">
        <f t="shared" si="44"/>
        <v>2.8303109982262806E-2</v>
      </c>
      <c r="X84" s="101">
        <f t="shared" si="44"/>
        <v>3.3329283973393076E-2</v>
      </c>
      <c r="Y84" s="101">
        <f t="shared" ref="Y84" si="55">IF(ISERROR(-Y26/Y$13)," ",-Y26/Y$13)</f>
        <v>2.7143999605111876E-2</v>
      </c>
    </row>
    <row r="85" spans="1:25" s="74" customFormat="1" ht="13.5" hidden="1" customHeight="1" outlineLevel="1">
      <c r="A85" s="116"/>
      <c r="B85" s="125" t="s">
        <v>205</v>
      </c>
      <c r="C85" s="101">
        <f t="shared" ref="C85:L85" si="56">IF(ISERROR(C20/C$13)," ",C20/C$13)</f>
        <v>0.47922116812684518</v>
      </c>
      <c r="D85" s="1319">
        <f t="shared" si="56"/>
        <v>0.45967980049773188</v>
      </c>
      <c r="E85" s="1319">
        <f t="shared" si="56"/>
        <v>0.46736424775522128</v>
      </c>
      <c r="F85" s="1319">
        <f t="shared" si="56"/>
        <v>0.46599856658577676</v>
      </c>
      <c r="G85" s="1319">
        <f t="shared" si="56"/>
        <v>0.44372835410975392</v>
      </c>
      <c r="H85" s="1319">
        <f t="shared" si="56"/>
        <v>0.42325260991401664</v>
      </c>
      <c r="I85" s="1319">
        <f t="shared" si="56"/>
        <v>0.4307226330611314</v>
      </c>
      <c r="J85" s="1319">
        <f>IF(ISERROR(J20/J$13)," ",J20/J$13)</f>
        <v>0.44809376983705279</v>
      </c>
      <c r="K85" s="1319">
        <f t="shared" si="56"/>
        <v>0.44910211677057787</v>
      </c>
      <c r="L85" s="1319">
        <f t="shared" si="56"/>
        <v>0.45884251406438797</v>
      </c>
      <c r="M85" s="1319">
        <f>IF(ISERROR(M20/M$13)," ",M20/M$13)</f>
        <v>0.46217984805732437</v>
      </c>
      <c r="N85" s="101"/>
      <c r="O85" s="101">
        <f t="shared" ref="O85:V85" si="57">IF(ISERROR(O20/O$13)," ",O20/O$13)</f>
        <v>0.46439766026836521</v>
      </c>
      <c r="P85" s="101">
        <f t="shared" si="57"/>
        <v>0.46758688118342262</v>
      </c>
      <c r="Q85" s="101">
        <f t="shared" si="57"/>
        <v>0.49679986601003817</v>
      </c>
      <c r="R85" s="101">
        <f t="shared" si="57"/>
        <v>0.38442943197935975</v>
      </c>
      <c r="S85" s="101">
        <f t="shared" si="57"/>
        <v>0.42680371640561815</v>
      </c>
      <c r="T85" s="101">
        <f t="shared" si="57"/>
        <v>0.41963648451260033</v>
      </c>
      <c r="U85" s="101">
        <f t="shared" si="57"/>
        <v>0.43104292663108518</v>
      </c>
      <c r="V85" s="101">
        <f t="shared" si="57"/>
        <v>0.43042124069143128</v>
      </c>
      <c r="W85" s="101">
        <f>IF(ISERROR(W20/W$13)," ",W20/W$13)</f>
        <v>0.4460073025532002</v>
      </c>
      <c r="X85" s="101">
        <f>IF(ISERROR(X20/X$13)," ",X20/X$13)</f>
        <v>0.45015606668996938</v>
      </c>
      <c r="Y85" s="101">
        <f>IF(ISERROR(Y20/Y$13)," ",Y20/Y$13)</f>
        <v>0.45146517962389099</v>
      </c>
    </row>
    <row r="86" spans="1:25" s="74" customFormat="1" ht="13.5" hidden="1" customHeight="1" outlineLevel="1">
      <c r="A86" s="116"/>
      <c r="B86" s="125" t="s">
        <v>204</v>
      </c>
      <c r="C86" s="101">
        <f t="shared" ref="C86:L86" si="58">IF(ISERROR(C30/C$13)," ",C30/C$13)</f>
        <v>0.13372711993596192</v>
      </c>
      <c r="D86" s="1319">
        <f t="shared" si="58"/>
        <v>0.10743348018289324</v>
      </c>
      <c r="E86" s="1319">
        <f t="shared" si="58"/>
        <v>0.19317370570101897</v>
      </c>
      <c r="F86" s="1319">
        <f t="shared" si="58"/>
        <v>0.22901501226812893</v>
      </c>
      <c r="G86" s="1319">
        <f t="shared" si="58"/>
        <v>0.23755535656991009</v>
      </c>
      <c r="H86" s="1319">
        <f t="shared" si="58"/>
        <v>0.23456942802346048</v>
      </c>
      <c r="I86" s="1319">
        <f t="shared" si="58"/>
        <v>0.23379563869828054</v>
      </c>
      <c r="J86" s="1319">
        <f>IF(ISERROR(J30/J$13)," ",J30/J$13)</f>
        <v>0.26158054899062316</v>
      </c>
      <c r="K86" s="1319">
        <f t="shared" si="58"/>
        <v>0.27876718865102856</v>
      </c>
      <c r="L86" s="1319">
        <f t="shared" si="58"/>
        <v>0.28629874876348455</v>
      </c>
      <c r="M86" s="1319">
        <f>IF(ISERROR(M30/M$13)," ",M30/M$13)</f>
        <v>0.29784325940736622</v>
      </c>
      <c r="N86" s="101"/>
      <c r="O86" s="101">
        <f t="shared" ref="O86:V86" si="59">IF(ISERROR(O30/O$13)," ",O30/O$13)</f>
        <v>0.22941168538403109</v>
      </c>
      <c r="P86" s="101">
        <f t="shared" si="59"/>
        <v>0.17460756067815578</v>
      </c>
      <c r="Q86" s="101">
        <f t="shared" si="59"/>
        <v>0.25300957166120486</v>
      </c>
      <c r="R86" s="101">
        <f t="shared" si="59"/>
        <v>0.22028774416408864</v>
      </c>
      <c r="S86" s="101">
        <f t="shared" si="59"/>
        <v>0.25126203069501274</v>
      </c>
      <c r="T86" s="101">
        <f t="shared" si="59"/>
        <v>0.21757119249346174</v>
      </c>
      <c r="U86" s="101">
        <f t="shared" si="59"/>
        <v>0.26414901277539032</v>
      </c>
      <c r="V86" s="101">
        <f t="shared" si="59"/>
        <v>0.20523348135364697</v>
      </c>
      <c r="W86" s="101">
        <f>IF(ISERROR(W30/W$13)," ",W30/W$13)</f>
        <v>0.27484994020164211</v>
      </c>
      <c r="X86" s="101">
        <f>IF(ISERROR(X30/X$13)," ",X30/X$13)</f>
        <v>0.24846487545651741</v>
      </c>
      <c r="Y86" s="101">
        <f>IF(ISERROR(Y30/Y$13)," ",Y30/Y$13)</f>
        <v>0.28752967252338257</v>
      </c>
    </row>
    <row r="87" spans="1:25" s="74" customFormat="1" ht="13.5" hidden="1" customHeight="1" outlineLevel="1">
      <c r="A87" s="116"/>
      <c r="B87" s="125" t="s">
        <v>203</v>
      </c>
      <c r="C87" s="101">
        <f t="shared" ref="C87:L87" si="60">IF(ISERROR(C35/C$13)," ",C35/C$13)</f>
        <v>0.13372711993596192</v>
      </c>
      <c r="D87" s="1319">
        <f t="shared" si="60"/>
        <v>7.945965927323817E-2</v>
      </c>
      <c r="E87" s="1319">
        <f t="shared" si="60"/>
        <v>0.16710301341938438</v>
      </c>
      <c r="F87" s="1319">
        <f t="shared" si="60"/>
        <v>0.20190143388417031</v>
      </c>
      <c r="G87" s="1319">
        <f t="shared" si="60"/>
        <v>0.21102662147971965</v>
      </c>
      <c r="H87" s="1319">
        <f t="shared" si="60"/>
        <v>0.20824007940032155</v>
      </c>
      <c r="I87" s="1319">
        <f t="shared" si="60"/>
        <v>0.21124003445466716</v>
      </c>
      <c r="J87" s="1319">
        <f>IF(ISERROR(J35/J$13)," ",J35/J$13)</f>
        <v>0.23992167559503375</v>
      </c>
      <c r="K87" s="1319">
        <f t="shared" si="60"/>
        <v>0.25893974798083536</v>
      </c>
      <c r="L87" s="1319">
        <f t="shared" si="60"/>
        <v>0.26638118499888003</v>
      </c>
      <c r="M87" s="1319">
        <f>IF(ISERROR(M35/M$13)," ",M35/M$13)</f>
        <v>0.27320197555031533</v>
      </c>
      <c r="N87" s="121"/>
      <c r="O87" s="121">
        <f t="shared" ref="O87:V87" si="61">IF(ISERROR(O35/O$13)," ",O35/O$13)</f>
        <v>0.22941168538403109</v>
      </c>
      <c r="P87" s="121">
        <f t="shared" si="61"/>
        <v>0.17460756067815578</v>
      </c>
      <c r="Q87" s="121">
        <f t="shared" si="61"/>
        <v>0.22867245328433311</v>
      </c>
      <c r="R87" s="121">
        <f t="shared" si="61"/>
        <v>0.19131022809575424</v>
      </c>
      <c r="S87" s="121">
        <f t="shared" si="61"/>
        <v>0.22413996155430096</v>
      </c>
      <c r="T87" s="121">
        <f t="shared" si="61"/>
        <v>0.19204907868758297</v>
      </c>
      <c r="U87" s="121">
        <f t="shared" si="61"/>
        <v>0.24042637162006686</v>
      </c>
      <c r="V87" s="121">
        <f t="shared" si="61"/>
        <v>0.18377604470796113</v>
      </c>
      <c r="W87" s="121">
        <f>IF(ISERROR(W35/W$13)," ",W35/W$13)</f>
        <v>0.25305011343496037</v>
      </c>
      <c r="X87" s="121">
        <f>IF(ISERROR(X35/X$13)," ",X35/X$13)</f>
        <v>0.22694532257453554</v>
      </c>
      <c r="Y87" s="121">
        <f>IF(ISERROR(Y35/Y$13)," ",Y35/Y$13)</f>
        <v>0.26472917239680988</v>
      </c>
    </row>
    <row r="88" spans="1:25" s="74" customFormat="1" ht="13.5" hidden="1" customHeight="1" outlineLevel="1">
      <c r="A88" s="116"/>
      <c r="B88" s="125" t="s">
        <v>202</v>
      </c>
      <c r="C88" s="101">
        <f t="shared" ref="C88:L88" si="62">IF(ISERROR(C50/C$13)," ",C50/C$13)</f>
        <v>0.13707154450251841</v>
      </c>
      <c r="D88" s="1319">
        <f t="shared" si="62"/>
        <v>8.9983412293448944E-2</v>
      </c>
      <c r="E88" s="1319">
        <f t="shared" si="62"/>
        <v>0.17499416945465335</v>
      </c>
      <c r="F88" s="1319">
        <f t="shared" si="62"/>
        <v>0.20763317751230603</v>
      </c>
      <c r="G88" s="1319">
        <f t="shared" si="62"/>
        <v>0.21690388655781517</v>
      </c>
      <c r="H88" s="1319">
        <f t="shared" si="62"/>
        <v>0.21586427049264295</v>
      </c>
      <c r="I88" s="1319">
        <f t="shared" si="62"/>
        <v>0.22900808773701423</v>
      </c>
      <c r="J88" s="1319">
        <f>IF(ISERROR(J50/J$13)," ",J50/J$13)</f>
        <v>0.25931881573442461</v>
      </c>
      <c r="K88" s="1319">
        <f t="shared" si="62"/>
        <v>0.27339479816694745</v>
      </c>
      <c r="L88" s="1319">
        <f t="shared" si="62"/>
        <v>0.28003459385913165</v>
      </c>
      <c r="M88" s="1319">
        <f>IF(ISERROR(M50/M$13)," ",M50/M$13)</f>
        <v>0.28515198857303276</v>
      </c>
      <c r="N88" s="121"/>
      <c r="O88" s="121">
        <f t="shared" ref="O88:V88" si="63">IF(ISERROR(O50/O$13)," ",O50/O$13)</f>
        <v>0.22324609316836413</v>
      </c>
      <c r="P88" s="121">
        <f t="shared" si="63"/>
        <v>0.19214306320728761</v>
      </c>
      <c r="Q88" s="121">
        <f t="shared" si="63"/>
        <v>0.23118216849377141</v>
      </c>
      <c r="R88" s="121">
        <f t="shared" si="63"/>
        <v>0.20095019128214794</v>
      </c>
      <c r="S88" s="121">
        <f t="shared" si="63"/>
        <v>0.23362436362647909</v>
      </c>
      <c r="T88" s="121">
        <f t="shared" si="63"/>
        <v>0.19777899930613441</v>
      </c>
      <c r="U88" s="121">
        <f t="shared" si="63"/>
        <v>0.25485990453080598</v>
      </c>
      <c r="V88" s="121">
        <f t="shared" si="63"/>
        <v>0.20468184126987907</v>
      </c>
      <c r="W88" s="121">
        <f>IF(ISERROR(W50/W$13)," ",W50/W$13)</f>
        <v>0.24553811195971581</v>
      </c>
      <c r="X88" s="121">
        <f>IF(ISERROR(X50/X$13)," ",X50/X$13)</f>
        <v>0.27293987859292301</v>
      </c>
      <c r="Y88" s="121">
        <f>IF(ISERROR(Y50/Y$13)," ",Y50/Y$13)</f>
        <v>0.27956351984833766</v>
      </c>
    </row>
    <row r="89" spans="1:25" s="74" customFormat="1" ht="13.5" hidden="1" customHeight="1" outlineLevel="1">
      <c r="A89" s="116"/>
      <c r="B89" s="125" t="s">
        <v>201</v>
      </c>
      <c r="C89" s="101">
        <f t="shared" ref="C89:I89" si="64">IF(ISERROR(-C53/(C50-C44))," ",-C53/(C50-C44))</f>
        <v>0.24022081804471002</v>
      </c>
      <c r="D89" s="1319">
        <f t="shared" si="64"/>
        <v>0.21035877926230176</v>
      </c>
      <c r="E89" s="1319">
        <f t="shared" si="64"/>
        <v>0.22529310448288958</v>
      </c>
      <c r="F89" s="1319">
        <f t="shared" si="64"/>
        <v>0.21124395280420835</v>
      </c>
      <c r="G89" s="1319">
        <f t="shared" si="64"/>
        <v>0.21179573544741856</v>
      </c>
      <c r="H89" s="1319">
        <f t="shared" si="64"/>
        <v>0.21540690521539008</v>
      </c>
      <c r="I89" s="1319">
        <f t="shared" si="64"/>
        <v>0.20916691000768836</v>
      </c>
      <c r="J89" s="1319">
        <f>IF(ISERROR(-J53/(J50-J44))," ",-J53/(J50-J44))</f>
        <v>0.19012026289239214</v>
      </c>
      <c r="K89" s="1695">
        <v>0.20499999999999999</v>
      </c>
      <c r="L89" s="1695">
        <f>+K89</f>
        <v>0.20499999999999999</v>
      </c>
      <c r="M89" s="1695">
        <f>+L89</f>
        <v>0.20499999999999999</v>
      </c>
      <c r="N89" s="120"/>
      <c r="O89" s="101">
        <f t="shared" ref="O89:V89" si="65">IF(ISERROR(-O53/(O50-O44))," ",-O53/(O50-O44))</f>
        <v>0.22425752029891641</v>
      </c>
      <c r="P89" s="101">
        <f t="shared" si="65"/>
        <v>0.19624274817738682</v>
      </c>
      <c r="Q89" s="101">
        <f t="shared" si="65"/>
        <v>0.21619385597432902</v>
      </c>
      <c r="R89" s="101">
        <f t="shared" si="65"/>
        <v>0.20614222270720967</v>
      </c>
      <c r="S89" s="101">
        <f t="shared" si="65"/>
        <v>0.20585745838103961</v>
      </c>
      <c r="T89" s="101">
        <f t="shared" si="65"/>
        <v>0.22689362317896741</v>
      </c>
      <c r="U89" s="101">
        <f t="shared" si="65"/>
        <v>0.21130302302685444</v>
      </c>
      <c r="V89" s="101">
        <f t="shared" si="65"/>
        <v>0.20666408514240006</v>
      </c>
      <c r="W89" s="101">
        <f>IF(ISERROR(-W53/(W50-W44))," ",-W53/(W50-W44))</f>
        <v>0.2127826931744575</v>
      </c>
      <c r="X89" s="101">
        <f>IF(ISERROR(-X53/(X50-X44))," ",-X53/(X50-X44))</f>
        <v>0.1699691981276972</v>
      </c>
      <c r="Y89" s="101">
        <f>IF(ISERROR(-Y53/(Y50-Y44))," ",-Y53/(Y50-Y44))</f>
        <v>0.20890901135125214</v>
      </c>
    </row>
    <row r="90" spans="1:25" s="74" customFormat="1" ht="13.5" hidden="1" customHeight="1" outlineLevel="1">
      <c r="A90" s="116"/>
      <c r="B90" s="125" t="s">
        <v>200</v>
      </c>
      <c r="C90" s="101">
        <f t="shared" ref="C90:L90" si="66">IF(ISERROR(C57/C$13)," ",C57/C$13)</f>
        <v>0.10414410595147156</v>
      </c>
      <c r="D90" s="1319">
        <f t="shared" si="66"/>
        <v>7.1054611529542636E-2</v>
      </c>
      <c r="E90" s="1319">
        <f t="shared" si="66"/>
        <v>0.13556918975180965</v>
      </c>
      <c r="F90" s="1319">
        <f t="shared" si="66"/>
        <v>0.16377192436130864</v>
      </c>
      <c r="G90" s="1319">
        <f t="shared" si="66"/>
        <v>0.17096456838289925</v>
      </c>
      <c r="H90" s="1319">
        <f t="shared" si="66"/>
        <v>0.16936561603924488</v>
      </c>
      <c r="I90" s="1319">
        <f t="shared" si="66"/>
        <v>0.18110717365829335</v>
      </c>
      <c r="J90" s="1319">
        <f>IF(ISERROR(J57/J$13)," ",J57/J$13)</f>
        <v>0.21003472275069338</v>
      </c>
      <c r="K90" s="1319">
        <f t="shared" si="66"/>
        <v>0.21736219576143012</v>
      </c>
      <c r="L90" s="1319">
        <f t="shared" si="66"/>
        <v>0.22263851822432407</v>
      </c>
      <c r="M90" s="1319">
        <f>IF(ISERROR(M57/M$13)," ",M57/M$13)</f>
        <v>0.22670522430559689</v>
      </c>
      <c r="N90" s="121">
        <f>M90-J90</f>
        <v>1.6670501554903516E-2</v>
      </c>
      <c r="O90" s="121">
        <f t="shared" ref="O90:V90" si="67">IF(ISERROR(O57/O$13)," ",O57/O$13)</f>
        <v>0.17318147789800592</v>
      </c>
      <c r="P90" s="121">
        <f t="shared" si="67"/>
        <v>0.15443638044026814</v>
      </c>
      <c r="Q90" s="121">
        <f t="shared" si="67"/>
        <v>0.18120200405459594</v>
      </c>
      <c r="R90" s="121">
        <f t="shared" si="67"/>
        <v>0.15952587219780703</v>
      </c>
      <c r="S90" s="121">
        <f t="shared" si="67"/>
        <v>0.18553104591444433</v>
      </c>
      <c r="T90" s="121">
        <f t="shared" si="67"/>
        <v>0.15290420556485509</v>
      </c>
      <c r="U90" s="121">
        <f t="shared" si="67"/>
        <v>0.20100723625511116</v>
      </c>
      <c r="V90" s="121">
        <f t="shared" si="67"/>
        <v>0.16238145579857757</v>
      </c>
      <c r="W90" s="121">
        <f>IF(ISERROR(W57/W$13)," ",W57/W$13)</f>
        <v>0.19329185121995598</v>
      </c>
      <c r="X90" s="121">
        <f>IF(ISERROR(X57/X$13)," ",X57/X$13)</f>
        <v>0.22658363848680255</v>
      </c>
      <c r="Y90" s="121">
        <f>IF(ISERROR(Y57/Y$13)," ",Y57/Y$13)</f>
        <v>0.22116018130694526</v>
      </c>
    </row>
    <row r="91" spans="1:25" ht="13.5" customHeight="1" collapsed="1">
      <c r="A91" s="73"/>
      <c r="B91" s="79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</row>
    <row r="92" spans="1:25" s="735" customFormat="1" ht="15.75">
      <c r="A92" s="1147"/>
      <c r="B92" s="1143" t="s">
        <v>199</v>
      </c>
      <c r="C92" s="1148"/>
      <c r="D92" s="1148"/>
      <c r="E92" s="1148"/>
      <c r="F92" s="1148"/>
      <c r="G92" s="1148"/>
      <c r="H92" s="1148"/>
      <c r="I92" s="1148"/>
      <c r="J92" s="1148"/>
      <c r="K92" s="1148"/>
      <c r="L92" s="1148"/>
      <c r="M92" s="1148"/>
      <c r="N92" s="1148"/>
      <c r="O92" s="1148"/>
      <c r="P92" s="1148"/>
      <c r="Q92" s="1148"/>
      <c r="R92" s="1148"/>
      <c r="S92" s="1148"/>
      <c r="T92" s="1148"/>
      <c r="U92" s="1148"/>
      <c r="V92" s="1148"/>
      <c r="W92" s="1148"/>
      <c r="X92" s="1148"/>
      <c r="Y92" s="1148"/>
    </row>
    <row r="93" spans="1:25" ht="13.5" hidden="1" customHeight="1" outlineLevel="1">
      <c r="A93" s="73"/>
      <c r="B93" s="124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</row>
    <row r="94" spans="1:25" ht="13.5" hidden="1" customHeight="1" outlineLevel="1">
      <c r="A94" s="73"/>
      <c r="B94" s="102" t="s">
        <v>198</v>
      </c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</row>
    <row r="95" spans="1:25" ht="13.5" hidden="1" customHeight="1" outlineLevel="1">
      <c r="A95" s="78"/>
      <c r="B95" s="70" t="s">
        <v>1657</v>
      </c>
      <c r="C95" s="70">
        <f>+C130+Wind!U76</f>
        <v>464.14830000000001</v>
      </c>
      <c r="D95" s="70">
        <f>+D130</f>
        <v>339.29502861999998</v>
      </c>
      <c r="E95" s="70">
        <f>+E130+Wind!W82</f>
        <v>1075.0957011400001</v>
      </c>
      <c r="F95" s="70">
        <f>+F130+Wind!X82</f>
        <v>1324.8536962200001</v>
      </c>
      <c r="G95" s="70">
        <f>+G130+Wind!Y82</f>
        <v>1169.1040422000001</v>
      </c>
      <c r="H95" s="70">
        <f>+H130+Wind!Z82</f>
        <v>2540.5392992200004</v>
      </c>
      <c r="I95" s="70">
        <f>+I130+Wind!AA82</f>
        <v>7277.7697772499996</v>
      </c>
      <c r="J95" s="70">
        <f>+J130+Wind!AB82</f>
        <v>9324.15101985</v>
      </c>
      <c r="K95" s="1779">
        <f>+K130++Wind!$AB$82</f>
        <v>11054.991345519307</v>
      </c>
      <c r="L95" s="1779">
        <f>+L130++Wind!$AB$82</f>
        <v>11472.158361076799</v>
      </c>
      <c r="M95" s="1779">
        <f>+M130++Wind!$AB$82</f>
        <v>11999.154027976911</v>
      </c>
      <c r="N95" s="70"/>
      <c r="O95" s="70"/>
      <c r="P95" s="70"/>
      <c r="Q95" s="70"/>
      <c r="R95" s="70"/>
    </row>
    <row r="96" spans="1:25" ht="13.5" hidden="1" customHeight="1" outlineLevel="1">
      <c r="A96" s="78"/>
      <c r="B96" s="70" t="s">
        <v>34</v>
      </c>
      <c r="C96" s="70"/>
      <c r="D96" s="70">
        <f t="shared" ref="D96:I96" si="68">D39</f>
        <v>2.7387297599999996</v>
      </c>
      <c r="E96" s="70">
        <f t="shared" si="68"/>
        <v>20.080900679999999</v>
      </c>
      <c r="F96" s="70">
        <f t="shared" si="68"/>
        <v>26.04038886</v>
      </c>
      <c r="G96" s="70">
        <f t="shared" si="68"/>
        <v>29.262542249999999</v>
      </c>
      <c r="H96" s="70">
        <f t="shared" si="68"/>
        <v>19.820947690000001</v>
      </c>
      <c r="I96" s="70">
        <f t="shared" si="68"/>
        <v>122.48630601000001</v>
      </c>
      <c r="J96" s="70">
        <f>J39</f>
        <v>260.35606838999996</v>
      </c>
      <c r="K96" s="70">
        <f>K97*J95</f>
        <v>270.40037957564999</v>
      </c>
      <c r="L96" s="70">
        <f>L97*K95</f>
        <v>322.80574728916378</v>
      </c>
      <c r="M96" s="70">
        <f>M97*L95</f>
        <v>339.57588748787327</v>
      </c>
      <c r="N96" s="70"/>
      <c r="O96" s="70"/>
      <c r="P96" s="70"/>
      <c r="Q96" s="70"/>
      <c r="R96" s="70"/>
    </row>
    <row r="97" spans="1:18" s="74" customFormat="1" ht="13.5" hidden="1" customHeight="1" outlineLevel="1">
      <c r="A97" s="73"/>
      <c r="B97" s="115" t="s">
        <v>1658</v>
      </c>
      <c r="C97" s="123"/>
      <c r="D97" s="123">
        <f t="shared" ref="D97:J97" si="69">IF(ISERROR(D96/D95)," ",D96/AVERAGE(C95,D95))</f>
        <v>6.8174808662710817E-3</v>
      </c>
      <c r="E97" s="123">
        <f t="shared" si="69"/>
        <v>2.8395124851260035E-2</v>
      </c>
      <c r="F97" s="123">
        <f t="shared" si="69"/>
        <v>2.1700781598682897E-2</v>
      </c>
      <c r="G97" s="123">
        <f t="shared" si="69"/>
        <v>2.3466750698461096E-2</v>
      </c>
      <c r="H97" s="123">
        <f t="shared" si="69"/>
        <v>1.0686174311524414E-2</v>
      </c>
      <c r="I97" s="123">
        <f t="shared" si="69"/>
        <v>2.4950590790331448E-2</v>
      </c>
      <c r="J97" s="123">
        <f t="shared" si="69"/>
        <v>3.1364571795268241E-2</v>
      </c>
      <c r="K97" s="1781">
        <v>2.9000000000000001E-2</v>
      </c>
      <c r="L97" s="1781">
        <f>K97+0.02%</f>
        <v>2.92E-2</v>
      </c>
      <c r="M97" s="1781">
        <f>L97+0.04%</f>
        <v>2.9600000000000001E-2</v>
      </c>
      <c r="N97" s="123"/>
      <c r="O97" s="123"/>
      <c r="P97" s="123"/>
      <c r="Q97" s="123"/>
      <c r="R97" s="123"/>
    </row>
    <row r="98" spans="1:18" ht="13.5" hidden="1" customHeight="1" outlineLevel="1">
      <c r="A98" s="116"/>
      <c r="B98" s="115" t="s">
        <v>1659</v>
      </c>
      <c r="D98" s="1783">
        <f t="shared" ref="D98:I98" si="70">D96/D95</f>
        <v>8.0718240144546684E-3</v>
      </c>
      <c r="E98" s="1783">
        <f t="shared" si="70"/>
        <v>1.8678244791330484E-2</v>
      </c>
      <c r="F98" s="1783">
        <f t="shared" si="70"/>
        <v>1.9655293965135177E-2</v>
      </c>
      <c r="G98" s="1783">
        <f t="shared" si="70"/>
        <v>2.5029887156094548E-2</v>
      </c>
      <c r="H98" s="1783">
        <f t="shared" si="70"/>
        <v>7.8018662006470252E-3</v>
      </c>
      <c r="I98" s="1783">
        <f t="shared" si="70"/>
        <v>1.6830197953346508E-2</v>
      </c>
      <c r="J98" s="1783">
        <f>J96/J95</f>
        <v>2.7922763995964148E-2</v>
      </c>
      <c r="L98" s="1801"/>
      <c r="M98" s="1801"/>
    </row>
    <row r="99" spans="1:18" ht="13.5" hidden="1" customHeight="1" outlineLevel="1">
      <c r="A99" s="73"/>
      <c r="B99" s="102" t="s">
        <v>197</v>
      </c>
      <c r="C99" s="70"/>
      <c r="D99" s="70"/>
      <c r="E99" s="70"/>
      <c r="F99" s="70"/>
      <c r="G99" s="70"/>
      <c r="H99" s="70"/>
      <c r="I99" s="70"/>
      <c r="J99" s="70"/>
      <c r="K99" s="1141"/>
      <c r="L99" s="1141"/>
      <c r="M99" s="1141"/>
      <c r="N99" s="70"/>
      <c r="O99" s="70"/>
      <c r="P99" s="70"/>
      <c r="Q99" s="70"/>
      <c r="R99" s="70"/>
    </row>
    <row r="100" spans="1:18" ht="13.5" hidden="1" customHeight="1" outlineLevel="1">
      <c r="A100" s="78"/>
      <c r="B100" s="70" t="s">
        <v>196</v>
      </c>
      <c r="C100" s="70">
        <f>+(C148+C153)/2</f>
        <v>80</v>
      </c>
      <c r="D100" s="70">
        <f t="shared" ref="D100:L100" si="71">((C148+C153)+(D148+D153))/2</f>
        <v>182.39892236499998</v>
      </c>
      <c r="E100" s="70">
        <f t="shared" si="71"/>
        <v>225.83642236499998</v>
      </c>
      <c r="F100" s="70">
        <f t="shared" si="71"/>
        <v>329.30082189500001</v>
      </c>
      <c r="G100" s="70">
        <f t="shared" si="71"/>
        <v>530.52582189500004</v>
      </c>
      <c r="H100" s="70">
        <f t="shared" si="71"/>
        <v>1915.4623165150001</v>
      </c>
      <c r="I100" s="70">
        <f t="shared" si="71"/>
        <v>3198.6526010800003</v>
      </c>
      <c r="J100" s="70">
        <f t="shared" si="71"/>
        <v>4883.521245205</v>
      </c>
      <c r="K100" s="70">
        <f>((J148+J153)+(K148+K153))/2</f>
        <v>6551.3369212799998</v>
      </c>
      <c r="L100" s="70">
        <f t="shared" si="71"/>
        <v>6551.3369212799998</v>
      </c>
      <c r="M100" s="70">
        <f>((L148+L153)+(M148+M153))/2</f>
        <v>6551.3369212799998</v>
      </c>
      <c r="N100" s="70"/>
      <c r="O100" s="70"/>
      <c r="P100" s="70"/>
      <c r="Q100" s="70"/>
      <c r="R100" s="70"/>
    </row>
    <row r="101" spans="1:18" ht="13.5" hidden="1" customHeight="1" outlineLevel="1">
      <c r="A101" s="78"/>
      <c r="B101" s="70" t="s">
        <v>195</v>
      </c>
      <c r="C101" s="70">
        <f t="shared" ref="C101:I101" si="72">C40+C104</f>
        <v>0</v>
      </c>
      <c r="D101" s="70">
        <f t="shared" si="72"/>
        <v>-6.9068464699999996</v>
      </c>
      <c r="E101" s="70">
        <f t="shared" si="72"/>
        <v>-5.40212936</v>
      </c>
      <c r="F101" s="70">
        <f t="shared" si="72"/>
        <v>-9.7758555000000005</v>
      </c>
      <c r="G101" s="70">
        <f t="shared" si="72"/>
        <v>-13.615900460000001</v>
      </c>
      <c r="H101" s="70">
        <f t="shared" si="72"/>
        <v>-52.681527880000004</v>
      </c>
      <c r="I101" s="70">
        <f t="shared" si="72"/>
        <v>-80.086467639999995</v>
      </c>
      <c r="J101" s="70">
        <f>J40+J104</f>
        <v>-97.913830869999998</v>
      </c>
      <c r="K101" s="70">
        <f>-K100*K102</f>
        <v>-131.35327217270432</v>
      </c>
      <c r="L101" s="70">
        <f>-L100*L102</f>
        <v>-131.35327217270432</v>
      </c>
      <c r="M101" s="70">
        <f>-M100*M102</f>
        <v>-131.35327217270432</v>
      </c>
      <c r="N101" s="70"/>
      <c r="O101" s="70"/>
      <c r="P101" s="70"/>
      <c r="Q101" s="70"/>
      <c r="R101" s="70"/>
    </row>
    <row r="102" spans="1:18" s="74" customFormat="1" ht="13.5" hidden="1" customHeight="1" outlineLevel="1">
      <c r="A102" s="73"/>
      <c r="B102" s="115" t="s">
        <v>194</v>
      </c>
      <c r="C102" s="121">
        <f>IF(ISERROR(-C101/C100)," ",-C101/C100)</f>
        <v>0</v>
      </c>
      <c r="D102" s="121">
        <f t="shared" ref="D102:I102" si="73">-D101/D100</f>
        <v>3.7866706559694756E-2</v>
      </c>
      <c r="E102" s="121">
        <f t="shared" si="73"/>
        <v>2.3920540820776034E-2</v>
      </c>
      <c r="F102" s="121">
        <f t="shared" si="73"/>
        <v>2.9686702400995232E-2</v>
      </c>
      <c r="G102" s="121">
        <f t="shared" si="73"/>
        <v>2.5664915632880949E-2</v>
      </c>
      <c r="H102" s="121">
        <f t="shared" si="73"/>
        <v>2.7503296423940612E-2</v>
      </c>
      <c r="I102" s="121">
        <f t="shared" si="73"/>
        <v>2.5037563508134464E-2</v>
      </c>
      <c r="J102" s="121">
        <f>-J101/J100</f>
        <v>2.0049842307154696E-2</v>
      </c>
      <c r="K102" s="1782">
        <f>+J102</f>
        <v>2.0049842307154696E-2</v>
      </c>
      <c r="L102" s="1782">
        <f>+K102</f>
        <v>2.0049842307154696E-2</v>
      </c>
      <c r="M102" s="1782">
        <f>+L102</f>
        <v>2.0049842307154696E-2</v>
      </c>
      <c r="N102" s="120"/>
      <c r="O102" s="121"/>
      <c r="P102" s="121"/>
      <c r="Q102" s="121"/>
      <c r="R102" s="121"/>
    </row>
    <row r="103" spans="1:18" ht="13.5" hidden="1" customHeight="1" outlineLevel="1">
      <c r="A103" s="73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</row>
    <row r="104" spans="1:18" ht="13.5" hidden="1" customHeight="1" outlineLevel="1">
      <c r="A104" s="78"/>
      <c r="B104" s="84" t="s">
        <v>193</v>
      </c>
      <c r="C104" s="86">
        <f>-'Raw Data'!C92</f>
        <v>0</v>
      </c>
      <c r="D104" s="86">
        <f>-'Raw Data'!D92</f>
        <v>0</v>
      </c>
      <c r="E104" s="86">
        <f>-'Raw Data'!E92</f>
        <v>0</v>
      </c>
      <c r="F104" s="86">
        <f>-'Raw Data'!F92</f>
        <v>0</v>
      </c>
      <c r="G104" s="86">
        <f>-'Raw Data'!G92</f>
        <v>0</v>
      </c>
      <c r="H104" s="86">
        <f>-'Raw Data'!H92</f>
        <v>0</v>
      </c>
      <c r="I104" s="86">
        <f>-'Raw Data'!I92</f>
        <v>0</v>
      </c>
      <c r="J104" s="86">
        <f>-'Raw Data'!J92</f>
        <v>0</v>
      </c>
      <c r="K104" s="70">
        <f>K105*AVERAGE(J207,K207)</f>
        <v>0</v>
      </c>
      <c r="L104" s="70">
        <f>L105*AVERAGE(K207,L207)</f>
        <v>0</v>
      </c>
      <c r="M104" s="70">
        <f>M105*AVERAGE(L207,M207)</f>
        <v>0</v>
      </c>
      <c r="N104" s="70"/>
      <c r="O104" s="86"/>
      <c r="P104" s="86"/>
      <c r="Q104" s="86"/>
      <c r="R104" s="86"/>
    </row>
    <row r="105" spans="1:18" s="74" customFormat="1" ht="13.5" hidden="1" customHeight="1" outlineLevel="1">
      <c r="A105" s="73"/>
      <c r="B105" s="115" t="s">
        <v>192</v>
      </c>
      <c r="C105" s="101" t="str">
        <f>IF(ISERROR(C104/AVERAGE(#REF!,C207))," ",C104/AVERAGE(#REF!,C207))</f>
        <v xml:space="preserve"> </v>
      </c>
      <c r="D105" s="101" t="str">
        <f t="shared" ref="D105:J105" si="74">C105</f>
        <v xml:space="preserve"> </v>
      </c>
      <c r="E105" s="101" t="str">
        <f t="shared" si="74"/>
        <v xml:space="preserve"> </v>
      </c>
      <c r="F105" s="101" t="str">
        <f t="shared" si="74"/>
        <v xml:space="preserve"> </v>
      </c>
      <c r="G105" s="101" t="str">
        <f t="shared" si="74"/>
        <v xml:space="preserve"> </v>
      </c>
      <c r="H105" s="101" t="str">
        <f t="shared" si="74"/>
        <v xml:space="preserve"> </v>
      </c>
      <c r="I105" s="101" t="str">
        <f t="shared" si="74"/>
        <v xml:space="preserve"> </v>
      </c>
      <c r="J105" s="101" t="str">
        <f t="shared" si="74"/>
        <v xml:space="preserve"> </v>
      </c>
      <c r="K105" s="1140">
        <v>0</v>
      </c>
      <c r="L105" s="1140">
        <v>0</v>
      </c>
      <c r="M105" s="1140">
        <v>0</v>
      </c>
      <c r="N105" s="100"/>
      <c r="O105" s="101"/>
      <c r="P105" s="101"/>
      <c r="Q105" s="101"/>
      <c r="R105" s="101"/>
    </row>
    <row r="106" spans="1:18" ht="13.5" hidden="1" customHeight="1" outlineLevel="1">
      <c r="A106" s="73"/>
      <c r="B106" s="119"/>
      <c r="C106" s="91"/>
      <c r="D106" s="91"/>
      <c r="E106" s="91"/>
      <c r="F106" s="91"/>
      <c r="G106" s="91"/>
      <c r="H106" s="91"/>
      <c r="I106" s="91"/>
      <c r="J106" s="91"/>
      <c r="K106" s="69"/>
      <c r="L106" s="69"/>
      <c r="M106" s="69"/>
      <c r="N106" s="69"/>
      <c r="O106" s="91"/>
      <c r="P106" s="91"/>
      <c r="Q106" s="91"/>
      <c r="R106" s="91"/>
    </row>
    <row r="107" spans="1:18" ht="13.5" hidden="1" customHeight="1" outlineLevel="1">
      <c r="A107" s="73"/>
      <c r="B107" s="117" t="s">
        <v>191</v>
      </c>
      <c r="C107" s="91"/>
      <c r="D107" s="91"/>
      <c r="E107" s="91"/>
      <c r="F107" s="91"/>
      <c r="G107" s="91"/>
      <c r="H107" s="91"/>
      <c r="I107" s="91"/>
      <c r="J107" s="91"/>
      <c r="K107" s="70"/>
      <c r="L107" s="70"/>
      <c r="M107" s="70"/>
      <c r="N107" s="70"/>
      <c r="O107" s="91"/>
      <c r="P107" s="91"/>
      <c r="Q107" s="91"/>
      <c r="R107" s="91"/>
    </row>
    <row r="108" spans="1:18" ht="13.5" hidden="1" customHeight="1" outlineLevel="1">
      <c r="A108" s="78"/>
      <c r="B108" s="70" t="s">
        <v>190</v>
      </c>
      <c r="C108" s="86">
        <f>'Raw Data'!C114</f>
        <v>0</v>
      </c>
      <c r="D108" s="86">
        <f>'Raw Data'!D114</f>
        <v>0</v>
      </c>
      <c r="E108" s="86">
        <f>'Raw Data'!E114</f>
        <v>0</v>
      </c>
      <c r="F108" s="86">
        <f>'Raw Data'!F114</f>
        <v>0</v>
      </c>
      <c r="G108" s="86">
        <f>'Raw Data'!G114</f>
        <v>0</v>
      </c>
      <c r="H108" s="86">
        <f>'Raw Data'!H114</f>
        <v>0</v>
      </c>
      <c r="I108" s="86">
        <f>'Raw Data'!I114</f>
        <v>0</v>
      </c>
      <c r="J108" s="86">
        <f>'Raw Data'!J114</f>
        <v>0</v>
      </c>
      <c r="K108" s="118">
        <f>J108</f>
        <v>0</v>
      </c>
      <c r="L108" s="118">
        <f>K108</f>
        <v>0</v>
      </c>
      <c r="M108" s="118">
        <f>L108</f>
        <v>0</v>
      </c>
      <c r="N108" s="118"/>
      <c r="O108" s="86"/>
      <c r="P108" s="86"/>
      <c r="Q108" s="86"/>
      <c r="R108" s="86"/>
    </row>
    <row r="109" spans="1:18" s="74" customFormat="1" ht="13.5" hidden="1" customHeight="1" outlineLevel="1">
      <c r="A109" s="116"/>
      <c r="B109" s="115" t="s">
        <v>189</v>
      </c>
      <c r="C109" s="101" t="str">
        <f t="shared" ref="C109:I109" si="75">IF(ISERROR(C44/C108)," ",C44/C108)</f>
        <v xml:space="preserve"> </v>
      </c>
      <c r="D109" s="101" t="str">
        <f t="shared" si="75"/>
        <v xml:space="preserve"> </v>
      </c>
      <c r="E109" s="101" t="str">
        <f t="shared" si="75"/>
        <v xml:space="preserve"> </v>
      </c>
      <c r="F109" s="101" t="str">
        <f t="shared" si="75"/>
        <v xml:space="preserve"> </v>
      </c>
      <c r="G109" s="101" t="str">
        <f t="shared" si="75"/>
        <v xml:space="preserve"> </v>
      </c>
      <c r="H109" s="101" t="str">
        <f t="shared" si="75"/>
        <v xml:space="preserve"> </v>
      </c>
      <c r="I109" s="101" t="str">
        <f t="shared" si="75"/>
        <v xml:space="preserve"> </v>
      </c>
      <c r="J109" s="101" t="str">
        <f>IF(ISERROR(J44/J108)," ",J44/J108)</f>
        <v xml:space="preserve"> </v>
      </c>
      <c r="K109" s="99"/>
      <c r="L109" s="99"/>
      <c r="M109" s="99"/>
      <c r="N109" s="99"/>
      <c r="O109" s="101"/>
      <c r="P109" s="101"/>
      <c r="Q109" s="101"/>
      <c r="R109" s="101"/>
    </row>
    <row r="110" spans="1:18" ht="13.5" hidden="1" customHeight="1" outlineLevel="1">
      <c r="A110" s="73"/>
      <c r="B110" s="117"/>
      <c r="C110" s="91"/>
      <c r="D110" s="91"/>
      <c r="E110" s="91"/>
      <c r="F110" s="91"/>
      <c r="G110" s="91"/>
      <c r="H110" s="91"/>
      <c r="I110" s="91"/>
      <c r="J110" s="91"/>
      <c r="K110" s="70"/>
      <c r="L110" s="70"/>
      <c r="M110" s="70"/>
      <c r="N110" s="70"/>
      <c r="O110" s="91"/>
      <c r="P110" s="91"/>
      <c r="Q110" s="91"/>
      <c r="R110" s="91"/>
    </row>
    <row r="111" spans="1:18" ht="13.5" hidden="1" customHeight="1" outlineLevel="1">
      <c r="A111" s="114"/>
      <c r="B111" s="117" t="s">
        <v>188</v>
      </c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</row>
    <row r="112" spans="1:18" ht="13.5" hidden="1" customHeight="1" outlineLevel="1">
      <c r="A112" s="78"/>
      <c r="B112" s="70" t="s">
        <v>187</v>
      </c>
      <c r="C112" s="86">
        <f>'Raw Data'!C116</f>
        <v>0</v>
      </c>
      <c r="D112" s="86">
        <f t="shared" ref="D112:L112" si="76">C112</f>
        <v>0</v>
      </c>
      <c r="E112" s="86">
        <f t="shared" si="76"/>
        <v>0</v>
      </c>
      <c r="F112" s="86">
        <f t="shared" si="76"/>
        <v>0</v>
      </c>
      <c r="G112" s="86">
        <f t="shared" si="76"/>
        <v>0</v>
      </c>
      <c r="H112" s="86">
        <f>G112</f>
        <v>0</v>
      </c>
      <c r="I112" s="86">
        <f>H112</f>
        <v>0</v>
      </c>
      <c r="J112" s="86">
        <f>I112</f>
        <v>0</v>
      </c>
      <c r="K112" s="69">
        <f t="shared" si="76"/>
        <v>0</v>
      </c>
      <c r="L112" s="69">
        <f t="shared" si="76"/>
        <v>0</v>
      </c>
      <c r="M112" s="69">
        <f>L112</f>
        <v>0</v>
      </c>
      <c r="N112" s="69"/>
      <c r="O112" s="86"/>
      <c r="P112" s="86"/>
      <c r="Q112" s="86"/>
      <c r="R112" s="86"/>
    </row>
    <row r="113" spans="1:25" s="74" customFormat="1" ht="13.5" hidden="1" customHeight="1" outlineLevel="1">
      <c r="A113" s="116"/>
      <c r="B113" s="115" t="s">
        <v>186</v>
      </c>
      <c r="C113" s="101" t="str">
        <f>IF(ISERROR(#REF!/C112)," ",#REF!/C112)</f>
        <v xml:space="preserve"> </v>
      </c>
      <c r="D113" s="101">
        <v>0</v>
      </c>
      <c r="E113" s="101">
        <v>0</v>
      </c>
      <c r="F113" s="101">
        <v>0</v>
      </c>
      <c r="G113" s="101">
        <v>0</v>
      </c>
      <c r="H113" s="101"/>
      <c r="I113" s="101"/>
      <c r="J113" s="101"/>
      <c r="K113" s="99">
        <v>0</v>
      </c>
      <c r="L113" s="99">
        <v>0</v>
      </c>
      <c r="M113" s="99">
        <v>0</v>
      </c>
      <c r="N113" s="99"/>
      <c r="O113" s="101"/>
      <c r="P113" s="101"/>
      <c r="Q113" s="101"/>
      <c r="R113" s="101"/>
    </row>
    <row r="114" spans="1:25" ht="13.5" hidden="1" customHeight="1" outlineLevel="1">
      <c r="A114" s="114"/>
      <c r="B114" s="113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</row>
    <row r="115" spans="1:25" ht="13.5" hidden="1" customHeight="1" outlineLevel="1">
      <c r="A115" s="78"/>
      <c r="B115" s="112" t="s">
        <v>185</v>
      </c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</row>
    <row r="116" spans="1:25" ht="13.5" hidden="1" customHeight="1" outlineLevel="1">
      <c r="A116" s="78"/>
      <c r="B116" s="87" t="s">
        <v>184</v>
      </c>
      <c r="C116" s="91">
        <v>0</v>
      </c>
      <c r="D116" s="91">
        <v>0</v>
      </c>
      <c r="E116" s="91">
        <v>0</v>
      </c>
      <c r="F116" s="91">
        <v>0</v>
      </c>
      <c r="G116" s="91">
        <v>0</v>
      </c>
      <c r="H116" s="91">
        <v>0</v>
      </c>
      <c r="I116" s="91">
        <v>0</v>
      </c>
      <c r="J116" s="91">
        <v>0</v>
      </c>
      <c r="K116" s="91">
        <v>0</v>
      </c>
      <c r="L116" s="91">
        <v>0</v>
      </c>
      <c r="M116" s="91">
        <v>0</v>
      </c>
      <c r="N116" s="91"/>
      <c r="O116" s="91"/>
      <c r="P116" s="91"/>
      <c r="Q116" s="91"/>
      <c r="R116" s="91"/>
    </row>
    <row r="117" spans="1:25" ht="13.5" hidden="1" customHeight="1" outlineLevel="1">
      <c r="A117" s="78"/>
      <c r="B117" s="111" t="s">
        <v>182</v>
      </c>
      <c r="C117" s="91">
        <v>0</v>
      </c>
      <c r="D117" s="91">
        <v>0</v>
      </c>
      <c r="E117" s="91">
        <v>0</v>
      </c>
      <c r="F117" s="91">
        <v>0</v>
      </c>
      <c r="G117" s="91">
        <v>0</v>
      </c>
      <c r="H117" s="91">
        <v>0</v>
      </c>
      <c r="I117" s="91">
        <v>0</v>
      </c>
      <c r="J117" s="91">
        <v>0</v>
      </c>
      <c r="K117" s="91">
        <v>0</v>
      </c>
      <c r="L117" s="91">
        <v>0</v>
      </c>
      <c r="M117" s="91">
        <v>0</v>
      </c>
      <c r="N117" s="91"/>
      <c r="O117" s="91"/>
      <c r="P117" s="91"/>
      <c r="Q117" s="91"/>
      <c r="R117" s="91"/>
    </row>
    <row r="118" spans="1:25" ht="13.5" hidden="1" customHeight="1" outlineLevel="1">
      <c r="A118" s="78"/>
      <c r="B118" s="84" t="s">
        <v>181</v>
      </c>
      <c r="C118" s="91">
        <v>0</v>
      </c>
      <c r="D118" s="91">
        <v>0</v>
      </c>
      <c r="E118" s="91">
        <v>0</v>
      </c>
      <c r="F118" s="91">
        <v>0</v>
      </c>
      <c r="G118" s="91">
        <v>0</v>
      </c>
      <c r="H118" s="91">
        <v>0</v>
      </c>
      <c r="I118" s="91">
        <v>0</v>
      </c>
      <c r="J118" s="91">
        <v>0</v>
      </c>
      <c r="K118" s="91">
        <v>0</v>
      </c>
      <c r="L118" s="91">
        <v>0</v>
      </c>
      <c r="M118" s="91">
        <v>0</v>
      </c>
      <c r="N118" s="91"/>
      <c r="O118" s="91"/>
      <c r="P118" s="91"/>
      <c r="Q118" s="91"/>
      <c r="R118" s="91"/>
    </row>
    <row r="119" spans="1:25" ht="13.5" hidden="1" customHeight="1" outlineLevel="1">
      <c r="A119" s="78"/>
      <c r="B119" s="87" t="s">
        <v>180</v>
      </c>
      <c r="C119" s="109" t="str">
        <f t="shared" ref="C119:L119" si="77">IF(ISERROR((C116/C117)/C118),"0",(C116/C117)/C118)</f>
        <v>0</v>
      </c>
      <c r="D119" s="109" t="str">
        <f t="shared" si="77"/>
        <v>0</v>
      </c>
      <c r="E119" s="109" t="str">
        <f t="shared" si="77"/>
        <v>0</v>
      </c>
      <c r="F119" s="109" t="str">
        <f t="shared" si="77"/>
        <v>0</v>
      </c>
      <c r="G119" s="109" t="str">
        <f t="shared" si="77"/>
        <v>0</v>
      </c>
      <c r="H119" s="109" t="str">
        <f t="shared" si="77"/>
        <v>0</v>
      </c>
      <c r="I119" s="109" t="str">
        <f t="shared" si="77"/>
        <v>0</v>
      </c>
      <c r="J119" s="109" t="str">
        <f>IF(ISERROR((J116/J117)/J118),"0",(J116/J117)/J118)</f>
        <v>0</v>
      </c>
      <c r="K119" s="109" t="str">
        <f t="shared" si="77"/>
        <v>0</v>
      </c>
      <c r="L119" s="109" t="str">
        <f t="shared" si="77"/>
        <v>0</v>
      </c>
      <c r="M119" s="109" t="str">
        <f>IF(ISERROR((M116/M117)/M118),"0",(M116/M117)/M118)</f>
        <v>0</v>
      </c>
      <c r="N119" s="109"/>
      <c r="O119" s="109"/>
      <c r="P119" s="109"/>
      <c r="Q119" s="109"/>
      <c r="R119" s="109"/>
    </row>
    <row r="120" spans="1:25" ht="13.5" hidden="1" customHeight="1" outlineLevel="1">
      <c r="A120" s="78"/>
      <c r="B120" s="87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</row>
    <row r="121" spans="1:25" ht="13.5" hidden="1" customHeight="1" outlineLevel="1">
      <c r="A121" s="78"/>
      <c r="B121" s="87" t="s">
        <v>183</v>
      </c>
      <c r="C121" s="91">
        <v>0</v>
      </c>
      <c r="D121" s="91">
        <v>0</v>
      </c>
      <c r="E121" s="91">
        <v>0</v>
      </c>
      <c r="F121" s="91">
        <v>0</v>
      </c>
      <c r="G121" s="91">
        <v>0</v>
      </c>
      <c r="H121" s="91">
        <v>0</v>
      </c>
      <c r="I121" s="91">
        <v>0</v>
      </c>
      <c r="J121" s="91">
        <v>0</v>
      </c>
      <c r="K121" s="91">
        <v>0</v>
      </c>
      <c r="L121" s="91">
        <v>0</v>
      </c>
      <c r="M121" s="91">
        <v>0</v>
      </c>
      <c r="N121" s="91"/>
      <c r="O121" s="91"/>
      <c r="P121" s="91"/>
      <c r="Q121" s="91"/>
      <c r="R121" s="91"/>
    </row>
    <row r="122" spans="1:25" ht="13.5" hidden="1" customHeight="1" outlineLevel="1">
      <c r="A122" s="78"/>
      <c r="B122" s="111" t="s">
        <v>182</v>
      </c>
      <c r="C122" s="91">
        <v>0</v>
      </c>
      <c r="D122" s="91">
        <v>0</v>
      </c>
      <c r="E122" s="91">
        <v>0</v>
      </c>
      <c r="F122" s="91">
        <v>0</v>
      </c>
      <c r="G122" s="91">
        <v>0</v>
      </c>
      <c r="H122" s="91">
        <v>0</v>
      </c>
      <c r="I122" s="91">
        <v>0</v>
      </c>
      <c r="J122" s="91">
        <v>0</v>
      </c>
      <c r="K122" s="91">
        <v>0</v>
      </c>
      <c r="L122" s="91">
        <v>0</v>
      </c>
      <c r="M122" s="91">
        <v>0</v>
      </c>
      <c r="N122" s="91"/>
      <c r="O122" s="91"/>
      <c r="P122" s="91"/>
      <c r="Q122" s="91"/>
      <c r="R122" s="91"/>
    </row>
    <row r="123" spans="1:25" ht="13.5" hidden="1" customHeight="1" outlineLevel="1">
      <c r="A123" s="78"/>
      <c r="B123" s="84" t="s">
        <v>181</v>
      </c>
      <c r="C123" s="91">
        <v>0</v>
      </c>
      <c r="D123" s="91">
        <v>0</v>
      </c>
      <c r="E123" s="91">
        <v>0</v>
      </c>
      <c r="F123" s="91">
        <v>0</v>
      </c>
      <c r="G123" s="91">
        <v>0</v>
      </c>
      <c r="H123" s="91">
        <v>0</v>
      </c>
      <c r="I123" s="91">
        <v>0</v>
      </c>
      <c r="J123" s="91">
        <v>0</v>
      </c>
      <c r="K123" s="91">
        <v>0</v>
      </c>
      <c r="L123" s="91">
        <v>0</v>
      </c>
      <c r="M123" s="91">
        <v>0</v>
      </c>
      <c r="N123" s="91"/>
      <c r="O123" s="91"/>
      <c r="P123" s="91"/>
      <c r="Q123" s="91"/>
      <c r="R123" s="91"/>
    </row>
    <row r="124" spans="1:25" ht="13.5" hidden="1" customHeight="1" outlineLevel="1">
      <c r="A124" s="78"/>
      <c r="B124" s="87" t="s">
        <v>180</v>
      </c>
      <c r="C124" s="109" t="str">
        <f t="shared" ref="C124:L124" si="78">IF(ISERROR((C121/C122)/C123),"0",(C121/C122)/C123)</f>
        <v>0</v>
      </c>
      <c r="D124" s="109" t="str">
        <f t="shared" si="78"/>
        <v>0</v>
      </c>
      <c r="E124" s="109" t="str">
        <f t="shared" si="78"/>
        <v>0</v>
      </c>
      <c r="F124" s="109" t="str">
        <f t="shared" si="78"/>
        <v>0</v>
      </c>
      <c r="G124" s="109" t="str">
        <f t="shared" si="78"/>
        <v>0</v>
      </c>
      <c r="H124" s="109" t="str">
        <f t="shared" si="78"/>
        <v>0</v>
      </c>
      <c r="I124" s="109" t="str">
        <f t="shared" si="78"/>
        <v>0</v>
      </c>
      <c r="J124" s="109" t="str">
        <f>IF(ISERROR((J121/J122)/J123),"0",(J121/J122)/J123)</f>
        <v>0</v>
      </c>
      <c r="K124" s="109" t="str">
        <f t="shared" si="78"/>
        <v>0</v>
      </c>
      <c r="L124" s="109" t="str">
        <f t="shared" si="78"/>
        <v>0</v>
      </c>
      <c r="M124" s="109" t="str">
        <f>IF(ISERROR((M121/M122)/M123),"0",(M121/M122)/M123)</f>
        <v>0</v>
      </c>
      <c r="N124" s="109"/>
      <c r="O124" s="109"/>
      <c r="P124" s="109"/>
      <c r="Q124" s="109"/>
      <c r="R124" s="109"/>
    </row>
    <row r="125" spans="1:25" ht="13.5" hidden="1" customHeight="1" outlineLevel="1">
      <c r="A125" s="78"/>
      <c r="B125" s="110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</row>
    <row r="126" spans="1:25" ht="13.5" customHeight="1" collapsed="1">
      <c r="A126" s="73"/>
      <c r="B126" s="79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</row>
    <row r="127" spans="1:25" ht="13.5" customHeight="1">
      <c r="A127" s="73"/>
      <c r="B127" s="96" t="s">
        <v>136</v>
      </c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</row>
    <row r="128" spans="1:25" s="67" customFormat="1" ht="15.75" customHeight="1">
      <c r="A128" s="72"/>
      <c r="B128" s="881" t="s">
        <v>179</v>
      </c>
      <c r="C128" s="882" t="str">
        <f t="shared" ref="C128:L128" si="79">C4</f>
        <v>2017</v>
      </c>
      <c r="D128" s="882" t="str">
        <f t="shared" si="79"/>
        <v>2018</v>
      </c>
      <c r="E128" s="882" t="str">
        <f t="shared" si="79"/>
        <v>2019</v>
      </c>
      <c r="F128" s="882" t="str">
        <f t="shared" si="79"/>
        <v>2020</v>
      </c>
      <c r="G128" s="882">
        <f t="shared" si="79"/>
        <v>2021</v>
      </c>
      <c r="H128" s="882">
        <f t="shared" si="79"/>
        <v>2022</v>
      </c>
      <c r="I128" s="882">
        <f t="shared" si="79"/>
        <v>2023</v>
      </c>
      <c r="J128" s="882">
        <f>J4</f>
        <v>2024</v>
      </c>
      <c r="K128" s="882" t="str">
        <f t="shared" si="79"/>
        <v>2025E</v>
      </c>
      <c r="L128" s="882" t="str">
        <f t="shared" si="79"/>
        <v>2026E</v>
      </c>
      <c r="M128" s="882" t="str">
        <f>M4</f>
        <v>2027E</v>
      </c>
      <c r="N128" s="882"/>
      <c r="O128" s="884" t="str">
        <f t="shared" ref="O128:T128" si="80">O4</f>
        <v>1H20</v>
      </c>
      <c r="P128" s="884" t="str">
        <f t="shared" si="80"/>
        <v>2H20</v>
      </c>
      <c r="Q128" s="884" t="str">
        <f t="shared" si="80"/>
        <v>1H21</v>
      </c>
      <c r="R128" s="884" t="str">
        <f t="shared" si="80"/>
        <v>2H21</v>
      </c>
      <c r="S128" s="884" t="str">
        <f t="shared" si="80"/>
        <v>1H22</v>
      </c>
      <c r="T128" s="884" t="str">
        <f t="shared" si="80"/>
        <v>2H22</v>
      </c>
      <c r="U128" s="884" t="str">
        <f>U4</f>
        <v>1H23</v>
      </c>
      <c r="V128" s="884" t="str">
        <f>V4</f>
        <v>2H23</v>
      </c>
      <c r="W128" s="884" t="str">
        <f>W4</f>
        <v>1H24</v>
      </c>
      <c r="X128" s="884" t="str">
        <f>X4</f>
        <v>2H24</v>
      </c>
      <c r="Y128" s="884" t="str">
        <f>Y4</f>
        <v>1H25</v>
      </c>
    </row>
    <row r="129" spans="1:25" ht="13.5" customHeight="1">
      <c r="A129" s="73"/>
      <c r="B129" s="79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</row>
    <row r="130" spans="1:25" ht="13.5" customHeight="1">
      <c r="A130" s="78"/>
      <c r="B130" s="70" t="s">
        <v>178</v>
      </c>
      <c r="C130" s="86">
        <f>'Raw Data'!C133</f>
        <v>193.57069999999999</v>
      </c>
      <c r="D130" s="86">
        <f>'Raw Data'!D133</f>
        <v>339.29502861999998</v>
      </c>
      <c r="E130" s="86">
        <f>'Raw Data'!E133</f>
        <v>945.09570113999996</v>
      </c>
      <c r="F130" s="86">
        <f>'Raw Data'!F133</f>
        <v>1224.8536962200001</v>
      </c>
      <c r="G130" s="86">
        <f>'Raw Data'!G133</f>
        <v>1019.1040422000001</v>
      </c>
      <c r="H130" s="86">
        <f>'Raw Data'!H133</f>
        <v>2157.5604636100002</v>
      </c>
      <c r="I130" s="86">
        <f>'Raw Data'!I133</f>
        <v>6057.6919416700002</v>
      </c>
      <c r="J130" s="86">
        <f>'Raw Data'!J133</f>
        <v>5652.5491231599999</v>
      </c>
      <c r="K130" s="70">
        <f>J130+K224</f>
        <v>7383.3894488293072</v>
      </c>
      <c r="L130" s="70">
        <f>K130+L224</f>
        <v>7800.5564643868001</v>
      </c>
      <c r="M130" s="70">
        <f>L130+M224</f>
        <v>8327.5521312869096</v>
      </c>
      <c r="N130" s="70"/>
      <c r="O130" s="86">
        <f>'Raw Data'!M133</f>
        <v>886.85940000000005</v>
      </c>
      <c r="P130" s="89">
        <f>+F130</f>
        <v>1224.8536962200001</v>
      </c>
      <c r="Q130" s="86">
        <f>'Raw Data'!Q133</f>
        <v>2530.5770456799996</v>
      </c>
      <c r="R130" s="89">
        <f>+G130</f>
        <v>1019.1040422000001</v>
      </c>
      <c r="S130" s="86">
        <f>'Raw Data'!U133</f>
        <v>1180.2054266800001</v>
      </c>
      <c r="T130" s="89">
        <f>+H130</f>
        <v>2157.5604636100002</v>
      </c>
      <c r="U130" s="86">
        <f>'Raw Data'!Y133</f>
        <v>3271.7523049499996</v>
      </c>
      <c r="V130" s="89">
        <f>+I130</f>
        <v>6057.6919416700002</v>
      </c>
      <c r="W130" s="86">
        <f>'Raw Data'!AC133</f>
        <v>7975.2577327700001</v>
      </c>
      <c r="X130" s="89">
        <f>+J130</f>
        <v>5652.5491231599999</v>
      </c>
      <c r="Y130" s="86">
        <f>'Raw Data'!AG133</f>
        <v>5262.1294421800003</v>
      </c>
    </row>
    <row r="131" spans="1:25" ht="13.5" customHeight="1">
      <c r="A131" s="78"/>
      <c r="B131" s="70" t="s">
        <v>177</v>
      </c>
      <c r="C131" s="86">
        <f>'Raw Data'!C148</f>
        <v>37.623999999999995</v>
      </c>
      <c r="D131" s="86">
        <f>'Raw Data'!D148</f>
        <v>68.890917389999998</v>
      </c>
      <c r="E131" s="86">
        <f>'Raw Data'!E148</f>
        <v>43.032292499999997</v>
      </c>
      <c r="F131" s="86">
        <f>'Raw Data'!F148</f>
        <v>27.87312988</v>
      </c>
      <c r="G131" s="86">
        <f>'Raw Data'!G148</f>
        <v>43.057332849999995</v>
      </c>
      <c r="H131" s="86">
        <f>'Raw Data'!H148</f>
        <v>40.773595880000002</v>
      </c>
      <c r="I131" s="86">
        <f>'Raw Data'!I148</f>
        <v>88.630687719999997</v>
      </c>
      <c r="J131" s="86">
        <f>'Raw Data'!J148</f>
        <v>109.74073278</v>
      </c>
      <c r="K131" s="70">
        <f>(K174*K13)/365</f>
        <v>145.44410580401967</v>
      </c>
      <c r="L131" s="70">
        <f>(L174*L13)/365</f>
        <v>176.01020984787672</v>
      </c>
      <c r="M131" s="70">
        <f>(M174*M13)/365</f>
        <v>206.41612630819623</v>
      </c>
      <c r="N131" s="70"/>
      <c r="O131" s="86">
        <f>'Raw Data'!M148</f>
        <v>64.704099999999997</v>
      </c>
      <c r="P131" s="89">
        <f>+F131</f>
        <v>27.87312988</v>
      </c>
      <c r="Q131" s="86">
        <f>'Raw Data'!Q148</f>
        <v>45.473846020000003</v>
      </c>
      <c r="R131" s="89">
        <f>+G131</f>
        <v>43.057332849999995</v>
      </c>
      <c r="S131" s="86">
        <f>'Raw Data'!U148</f>
        <v>48.366798039999999</v>
      </c>
      <c r="T131" s="89">
        <f>+H131</f>
        <v>40.773595880000002</v>
      </c>
      <c r="U131" s="86">
        <f>'Raw Data'!Y148</f>
        <v>90.088780940000007</v>
      </c>
      <c r="V131" s="89">
        <f>+I131</f>
        <v>88.630687719999997</v>
      </c>
      <c r="W131" s="86">
        <f>'Raw Data'!AC148</f>
        <v>125.77827228000001</v>
      </c>
      <c r="X131" s="89">
        <f>+J131</f>
        <v>109.74073278</v>
      </c>
      <c r="Y131" s="86">
        <f>'Raw Data'!AG148</f>
        <v>169.34870050000001</v>
      </c>
    </row>
    <row r="132" spans="1:25" ht="13.5" customHeight="1">
      <c r="A132" s="78"/>
      <c r="B132" s="70" t="s">
        <v>176</v>
      </c>
      <c r="C132" s="86">
        <f>'Raw Data'!C139</f>
        <v>134.75049999999999</v>
      </c>
      <c r="D132" s="86">
        <f>'Raw Data'!D139</f>
        <v>119.62862948</v>
      </c>
      <c r="E132" s="86">
        <f>'Raw Data'!E139</f>
        <v>214.22814141999999</v>
      </c>
      <c r="F132" s="86">
        <f>'Raw Data'!F139</f>
        <v>272.70129147</v>
      </c>
      <c r="G132" s="86">
        <f>'Raw Data'!G139</f>
        <v>340.03603963</v>
      </c>
      <c r="H132" s="86">
        <f>'Raw Data'!H139</f>
        <v>394.21987751</v>
      </c>
      <c r="I132" s="86">
        <f>'Raw Data'!I139</f>
        <v>568.60120574999996</v>
      </c>
      <c r="J132" s="86">
        <f>'Raw Data'!J139</f>
        <v>1068.08370694</v>
      </c>
      <c r="K132" s="70">
        <f>-(K175*K18)/365</f>
        <v>1412.9909079515915</v>
      </c>
      <c r="L132" s="70">
        <f>-(L175*L18)/365</f>
        <v>1679.7075294617184</v>
      </c>
      <c r="M132" s="70">
        <f>-(M175*M18)/365</f>
        <v>1957.7301646065439</v>
      </c>
      <c r="N132" s="70"/>
      <c r="O132" s="86">
        <f>'Raw Data'!M139</f>
        <v>231.5035</v>
      </c>
      <c r="P132" s="89">
        <f>+F132</f>
        <v>272.70129147</v>
      </c>
      <c r="Q132" s="86">
        <f>'Raw Data'!Q139</f>
        <v>274.28615908999996</v>
      </c>
      <c r="R132" s="89">
        <f>+G132</f>
        <v>340.03603963</v>
      </c>
      <c r="S132" s="86">
        <f>'Raw Data'!U139</f>
        <v>392.42296155000002</v>
      </c>
      <c r="T132" s="89">
        <f>+H132</f>
        <v>394.21987751</v>
      </c>
      <c r="U132" s="86">
        <f>'Raw Data'!Y139</f>
        <v>362.36816312000002</v>
      </c>
      <c r="V132" s="89">
        <f>+I132</f>
        <v>568.60120574999996</v>
      </c>
      <c r="W132" s="86">
        <f>'Raw Data'!AC139</f>
        <v>456.87630218999999</v>
      </c>
      <c r="X132" s="89">
        <f>+J132</f>
        <v>1068.08370694</v>
      </c>
      <c r="Y132" s="86">
        <f>'Raw Data'!AG139</f>
        <v>678.32126533000007</v>
      </c>
    </row>
    <row r="133" spans="1:25" ht="13.5" customHeight="1">
      <c r="A133" s="78"/>
      <c r="B133" s="70" t="s">
        <v>175</v>
      </c>
      <c r="C133" s="86">
        <f>'Raw Data'!C157</f>
        <v>639.22500000000002</v>
      </c>
      <c r="D133" s="86">
        <f>'Raw Data'!D157</f>
        <v>154.67212176999999</v>
      </c>
      <c r="E133" s="86">
        <f>'Raw Data'!E157</f>
        <v>249.18382057000002</v>
      </c>
      <c r="F133" s="86">
        <f>'Raw Data'!F157</f>
        <v>433.54905317000004</v>
      </c>
      <c r="G133" s="86">
        <f>'Raw Data'!G157</f>
        <v>1449.3293779300002</v>
      </c>
      <c r="H133" s="86">
        <f>'Raw Data'!H157</f>
        <v>4653.6371568699997</v>
      </c>
      <c r="I133" s="86">
        <f>'Raw Data'!I157</f>
        <v>2053.6379249600004</v>
      </c>
      <c r="J133" s="86">
        <f>'Raw Data'!J157</f>
        <v>5875.2498948900011</v>
      </c>
      <c r="K133" s="1141">
        <f>J133</f>
        <v>5875.2498948900011</v>
      </c>
      <c r="L133" s="1141">
        <f>K133</f>
        <v>5875.2498948900011</v>
      </c>
      <c r="M133" s="1141">
        <f>L133</f>
        <v>5875.2498948900011</v>
      </c>
      <c r="N133" s="69"/>
      <c r="O133" s="86">
        <f>'Raw Data'!M157</f>
        <v>257.63659999999999</v>
      </c>
      <c r="P133" s="89">
        <f>+F133</f>
        <v>433.54905317000004</v>
      </c>
      <c r="Q133" s="86">
        <f>'Raw Data'!Q157</f>
        <v>1128.3976993400001</v>
      </c>
      <c r="R133" s="89">
        <f>+G133</f>
        <v>1449.3293779300002</v>
      </c>
      <c r="S133" s="86">
        <f>'Raw Data'!U157</f>
        <v>3522.93052051</v>
      </c>
      <c r="T133" s="89">
        <f>+H133</f>
        <v>4653.6371568699997</v>
      </c>
      <c r="U133" s="86">
        <f>'Raw Data'!Y157</f>
        <v>4113.7057101499995</v>
      </c>
      <c r="V133" s="89">
        <f>+I133</f>
        <v>2053.6379249600004</v>
      </c>
      <c r="W133" s="86">
        <f>'Raw Data'!AC157</f>
        <v>1724.7616231000002</v>
      </c>
      <c r="X133" s="89">
        <f>+J133</f>
        <v>5875.2498948900011</v>
      </c>
      <c r="Y133" s="86">
        <f>'Raw Data'!AG157</f>
        <v>6169.7379240699993</v>
      </c>
    </row>
    <row r="134" spans="1:25" ht="13.5" customHeight="1">
      <c r="A134" s="78"/>
      <c r="B134" s="82" t="s">
        <v>174</v>
      </c>
      <c r="C134" s="82">
        <f t="shared" ref="C134:M134" si="81">SUM(C130+C131+C132+C133)</f>
        <v>1005.1702</v>
      </c>
      <c r="D134" s="82">
        <f t="shared" si="81"/>
        <v>682.48669725999991</v>
      </c>
      <c r="E134" s="82">
        <f t="shared" si="81"/>
        <v>1451.5399556300001</v>
      </c>
      <c r="F134" s="82">
        <f t="shared" si="81"/>
        <v>1958.9771707400002</v>
      </c>
      <c r="G134" s="82">
        <f t="shared" si="81"/>
        <v>2851.5267926100005</v>
      </c>
      <c r="H134" s="82">
        <f t="shared" si="81"/>
        <v>7246.1910938700003</v>
      </c>
      <c r="I134" s="82">
        <f t="shared" si="81"/>
        <v>8768.5617601000013</v>
      </c>
      <c r="J134" s="82">
        <f t="shared" si="81"/>
        <v>12705.623457770002</v>
      </c>
      <c r="K134" s="82">
        <f t="shared" si="81"/>
        <v>14817.074357474919</v>
      </c>
      <c r="L134" s="82">
        <f t="shared" si="81"/>
        <v>15531.524098586397</v>
      </c>
      <c r="M134" s="82">
        <f t="shared" si="81"/>
        <v>16366.948317091652</v>
      </c>
      <c r="N134" s="82"/>
      <c r="O134" s="82">
        <f>SUM(O130+O131+O132+O133)</f>
        <v>1440.7036000000001</v>
      </c>
      <c r="P134" s="82">
        <f>+F134</f>
        <v>1958.9771707400002</v>
      </c>
      <c r="Q134" s="82">
        <f>SUM(Q130+Q131+Q132+Q133)</f>
        <v>3978.7347501300001</v>
      </c>
      <c r="R134" s="82">
        <f>+G134</f>
        <v>2851.5267926100005</v>
      </c>
      <c r="S134" s="82">
        <f>SUM(S130+S131+S132+S133)</f>
        <v>5143.9257067799999</v>
      </c>
      <c r="T134" s="82">
        <f>+H134</f>
        <v>7246.1910938700003</v>
      </c>
      <c r="U134" s="82">
        <f>SUM(U130+U131+U132+U133)</f>
        <v>7837.9149591599999</v>
      </c>
      <c r="V134" s="82">
        <f>+I134</f>
        <v>8768.5617601000013</v>
      </c>
      <c r="W134" s="82">
        <f>SUM(W130+W131+W132+W133)</f>
        <v>10282.673930339999</v>
      </c>
      <c r="X134" s="82">
        <f>+J134</f>
        <v>12705.623457770002</v>
      </c>
      <c r="Y134" s="82">
        <f>SUM(Y130+Y131+Y132+Y133)</f>
        <v>12279.537332079999</v>
      </c>
    </row>
    <row r="135" spans="1:25" ht="13.5" customHeight="1">
      <c r="A135" s="78"/>
      <c r="B135" s="84" t="s">
        <v>41</v>
      </c>
      <c r="C135" s="70"/>
      <c r="D135" s="70"/>
      <c r="E135" s="70"/>
      <c r="F135" s="70"/>
      <c r="G135" s="70"/>
      <c r="H135" s="70"/>
      <c r="I135" s="70"/>
      <c r="J135" s="70"/>
      <c r="K135" s="387"/>
      <c r="L135" s="387"/>
      <c r="M135" s="387"/>
      <c r="N135" s="387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</row>
    <row r="136" spans="1:25" ht="13.5" customHeight="1">
      <c r="A136" s="75"/>
      <c r="B136" s="104" t="s">
        <v>173</v>
      </c>
      <c r="C136" s="89">
        <f>C139</f>
        <v>773.91329999999994</v>
      </c>
      <c r="D136" s="86">
        <f>'Raw Data'!D99</f>
        <v>1388.68094763</v>
      </c>
      <c r="E136" s="86">
        <f>'Raw Data'!E99</f>
        <v>1771.8870247699999</v>
      </c>
      <c r="F136" s="86">
        <f>'Raw Data'!F99</f>
        <v>2358.3655599600002</v>
      </c>
      <c r="G136" s="86">
        <f>'Raw Data'!G99</f>
        <v>2751.3717454600001</v>
      </c>
      <c r="H136" s="86">
        <f>'Raw Data'!H99</f>
        <v>3611.6571226800002</v>
      </c>
      <c r="I136" s="86">
        <f>'Raw Data'!I99</f>
        <v>4386.0620579699998</v>
      </c>
      <c r="J136" s="86">
        <f>'Raw Data'!J99</f>
        <v>5624.20797631</v>
      </c>
      <c r="K136" s="70">
        <f>Capex!L20</f>
        <v>7723.3990266771525</v>
      </c>
      <c r="L136" s="70">
        <f>Capex!M20</f>
        <v>10263.749873096231</v>
      </c>
      <c r="M136" s="70">
        <f>Capex!N20</f>
        <v>13242.948532280712</v>
      </c>
      <c r="N136" s="70"/>
      <c r="O136" s="86">
        <f>'Raw Data'!M99</f>
        <v>642.23429999999996</v>
      </c>
      <c r="P136" s="89">
        <f>+F136</f>
        <v>2358.3655599600002</v>
      </c>
      <c r="Q136" s="86">
        <f>'Raw Data'!Q99</f>
        <v>2517.9595591000002</v>
      </c>
      <c r="R136" s="89">
        <f>+G136</f>
        <v>2751.3717454600001</v>
      </c>
      <c r="S136" s="86">
        <f>'Raw Data'!U99</f>
        <v>3063.04842435</v>
      </c>
      <c r="T136" s="89">
        <f>+H136</f>
        <v>3611.6571226800002</v>
      </c>
      <c r="U136" s="86">
        <f>'Raw Data'!Y99</f>
        <v>4005.4758447300001</v>
      </c>
      <c r="V136" s="89">
        <f>+I136</f>
        <v>4386.0620579699998</v>
      </c>
      <c r="W136" s="86">
        <f>'Raw Data'!AC99</f>
        <v>4916.8343032700004</v>
      </c>
      <c r="X136" s="89">
        <f>+J136</f>
        <v>5624.20797631</v>
      </c>
      <c r="Y136" s="86">
        <f>'Raw Data'!AG99</f>
        <v>6841.7084954599995</v>
      </c>
    </row>
    <row r="137" spans="1:25" ht="13.5" customHeight="1">
      <c r="A137" s="75"/>
      <c r="B137" s="107" t="s">
        <v>172</v>
      </c>
      <c r="C137" s="86">
        <f>-'Raw Data'!C102</f>
        <v>0</v>
      </c>
      <c r="D137" s="86">
        <f>-'Raw Data'!D102</f>
        <v>-280.79919999999998</v>
      </c>
      <c r="E137" s="86">
        <f>-'Raw Data'!E102</f>
        <v>-375.755</v>
      </c>
      <c r="F137" s="86">
        <f>-'Raw Data'!F102</f>
        <v>-491.14052253</v>
      </c>
      <c r="G137" s="86">
        <f>-'Raw Data'!G102</f>
        <v>-648.57671020000009</v>
      </c>
      <c r="H137" s="86">
        <f>-'Raw Data'!H102</f>
        <v>-843.54578074999995</v>
      </c>
      <c r="I137" s="86">
        <f>-'Raw Data'!I102</f>
        <v>-1078.26040612</v>
      </c>
      <c r="J137" s="86">
        <f>-'Raw Data'!J102</f>
        <v>-1394.09260505</v>
      </c>
      <c r="K137" s="70">
        <f>J137-Capex!L21</f>
        <v>-1786.6692816084455</v>
      </c>
      <c r="L137" s="70">
        <f>K137-Capex!M21</f>
        <v>-2260.0153052866926</v>
      </c>
      <c r="M137" s="70">
        <f>L137-Capex!N21</f>
        <v>-2951.3887877977791</v>
      </c>
      <c r="N137" s="70"/>
      <c r="O137" s="86">
        <f>-'Raw Data'!M102</f>
        <v>0</v>
      </c>
      <c r="P137" s="89">
        <f>+F137</f>
        <v>-491.14052253</v>
      </c>
      <c r="Q137" s="86">
        <f>-'Raw Data'!Q102</f>
        <v>-566.40189134000002</v>
      </c>
      <c r="R137" s="89">
        <f>+G137</f>
        <v>-648.57671020000009</v>
      </c>
      <c r="S137" s="86">
        <f>-'Raw Data'!U102</f>
        <v>-747.09341057000006</v>
      </c>
      <c r="T137" s="89">
        <f>+H137</f>
        <v>-843.54578074999995</v>
      </c>
      <c r="U137" s="86">
        <f>-'Raw Data'!Y102</f>
        <v>-953.29686264999998</v>
      </c>
      <c r="V137" s="89">
        <f>+I137</f>
        <v>-1078.26040612</v>
      </c>
      <c r="W137" s="86">
        <f>-'Raw Data'!AC102</f>
        <v>-1224.5641901500001</v>
      </c>
      <c r="X137" s="89">
        <f>+J137</f>
        <v>-1394.09260505</v>
      </c>
      <c r="Y137" s="86">
        <f>-'Raw Data'!AG102</f>
        <v>-1586.5111051600002</v>
      </c>
    </row>
    <row r="138" spans="1:25" ht="13.5" customHeight="1">
      <c r="A138" s="75"/>
      <c r="B138" s="107" t="s">
        <v>171</v>
      </c>
      <c r="C138" s="86">
        <f>-'Raw Data'!C103</f>
        <v>0</v>
      </c>
      <c r="D138" s="86">
        <f>-'Raw Data'!D103</f>
        <v>0</v>
      </c>
      <c r="E138" s="86">
        <f>-'Raw Data'!E103</f>
        <v>0</v>
      </c>
      <c r="F138" s="86">
        <f>-'Raw Data'!F103</f>
        <v>-6.5768162500000003</v>
      </c>
      <c r="G138" s="86">
        <f>-'Raw Data'!G103</f>
        <v>-6.53578847</v>
      </c>
      <c r="H138" s="86">
        <f>-'Raw Data'!H103</f>
        <v>-6.5354124000000002</v>
      </c>
      <c r="I138" s="86">
        <f>-'Raw Data'!I103</f>
        <v>-6.5354124000000002</v>
      </c>
      <c r="J138" s="86">
        <f>-'Raw Data'!J103</f>
        <v>-6.3862491200000004</v>
      </c>
      <c r="K138" s="1141">
        <f>J138</f>
        <v>-6.3862491200000004</v>
      </c>
      <c r="L138" s="1141">
        <f>K138</f>
        <v>-6.3862491200000004</v>
      </c>
      <c r="M138" s="1141">
        <f>L138</f>
        <v>-6.3862491200000004</v>
      </c>
      <c r="N138" s="108"/>
      <c r="O138" s="86">
        <f>-'Raw Data'!M103</f>
        <v>0</v>
      </c>
      <c r="P138" s="89">
        <f>+F138</f>
        <v>-6.5768162500000003</v>
      </c>
      <c r="Q138" s="86">
        <f>-'Raw Data'!Q103</f>
        <v>-6.53578847</v>
      </c>
      <c r="R138" s="89">
        <f>+G138</f>
        <v>-6.53578847</v>
      </c>
      <c r="S138" s="86">
        <f>-'Raw Data'!U103</f>
        <v>-6.53578847</v>
      </c>
      <c r="T138" s="89">
        <f>+H138</f>
        <v>-6.5354124000000002</v>
      </c>
      <c r="U138" s="86">
        <f>-'Raw Data'!Y103</f>
        <v>-6.5354124000000002</v>
      </c>
      <c r="V138" s="89">
        <f>+I138</f>
        <v>-6.5354124000000002</v>
      </c>
      <c r="W138" s="86">
        <f>-'Raw Data'!AC103</f>
        <v>-6.3862491200000004</v>
      </c>
      <c r="X138" s="89">
        <f>+J138</f>
        <v>-6.3862491200000004</v>
      </c>
      <c r="Y138" s="86">
        <f>-'Raw Data'!AG103</f>
        <v>-6.3785653600000005</v>
      </c>
    </row>
    <row r="139" spans="1:25" ht="13.5" customHeight="1">
      <c r="A139" s="78"/>
      <c r="B139" s="82" t="s">
        <v>170</v>
      </c>
      <c r="C139" s="82">
        <f>'Raw Data'!C104</f>
        <v>773.91329999999994</v>
      </c>
      <c r="D139" s="82">
        <f>'Raw Data'!D104</f>
        <v>1107.88169389</v>
      </c>
      <c r="E139" s="82">
        <f>'Raw Data'!E104</f>
        <v>1389.5552631099999</v>
      </c>
      <c r="F139" s="82">
        <f>'Raw Data'!F104</f>
        <v>1860.6482211800001</v>
      </c>
      <c r="G139" s="82">
        <f>'Raw Data'!G104</f>
        <v>2096.2592467899999</v>
      </c>
      <c r="H139" s="82">
        <f>'Raw Data'!H104</f>
        <v>2761.5759295299999</v>
      </c>
      <c r="I139" s="82">
        <f>'Raw Data'!I104</f>
        <v>3301.2662394500003</v>
      </c>
      <c r="J139" s="82">
        <f>'Raw Data'!J104</f>
        <v>4223.7291221400001</v>
      </c>
      <c r="K139" s="82">
        <f>K136+K137+K138</f>
        <v>5930.3434959487076</v>
      </c>
      <c r="L139" s="82">
        <f>L136+L137+L138</f>
        <v>7997.3483186895382</v>
      </c>
      <c r="M139" s="82">
        <f>M136+M137+M138</f>
        <v>10285.173495362933</v>
      </c>
      <c r="N139" s="82"/>
      <c r="O139" s="82">
        <f>'Raw Data'!M104</f>
        <v>1678.913</v>
      </c>
      <c r="P139" s="82">
        <f>+F139</f>
        <v>1860.6482211800001</v>
      </c>
      <c r="Q139" s="82">
        <f>'Raw Data'!Q104</f>
        <v>1945.02187929</v>
      </c>
      <c r="R139" s="82">
        <f>+G139</f>
        <v>2096.2592467899999</v>
      </c>
      <c r="S139" s="82">
        <f>'Raw Data'!U104</f>
        <v>2309.41922531</v>
      </c>
      <c r="T139" s="82">
        <f>+H139</f>
        <v>2761.5759295299999</v>
      </c>
      <c r="U139" s="82">
        <f>'Raw Data'!Y104</f>
        <v>3045.6435696799999</v>
      </c>
      <c r="V139" s="82">
        <f>+I139</f>
        <v>3301.2662394500003</v>
      </c>
      <c r="W139" s="82">
        <f>'Raw Data'!AC104</f>
        <v>3685.8838640000004</v>
      </c>
      <c r="X139" s="82">
        <f>+J139</f>
        <v>4223.7291221400001</v>
      </c>
      <c r="Y139" s="82">
        <f>'Raw Data'!AG104</f>
        <v>5248.81882494</v>
      </c>
    </row>
    <row r="140" spans="1:25" ht="13.5" customHeight="1">
      <c r="A140" s="78"/>
      <c r="B140" s="104" t="s">
        <v>169</v>
      </c>
      <c r="C140" s="86">
        <f>'Raw Data'!C106</f>
        <v>158.21</v>
      </c>
      <c r="D140" s="86">
        <f>'Raw Data'!D106</f>
        <v>154.96627644</v>
      </c>
      <c r="E140" s="86">
        <f>'Raw Data'!E106</f>
        <v>163.55302633000002</v>
      </c>
      <c r="F140" s="86">
        <f>'Raw Data'!F106</f>
        <v>265.46069978999998</v>
      </c>
      <c r="G140" s="86">
        <f>'Raw Data'!G106</f>
        <v>360.35716041000001</v>
      </c>
      <c r="H140" s="86">
        <f>'Raw Data'!H106</f>
        <v>406.38188984000004</v>
      </c>
      <c r="I140" s="86">
        <f>'Raw Data'!I106</f>
        <v>543.90918796000005</v>
      </c>
      <c r="J140" s="86">
        <f>'Raw Data'!J106</f>
        <v>819.81633613999998</v>
      </c>
      <c r="K140" s="1141">
        <f>Capex!L29</f>
        <v>1164.4960175367123</v>
      </c>
      <c r="L140" s="1141">
        <f>Capex!M29</f>
        <v>1556.2090550993594</v>
      </c>
      <c r="M140" s="1141">
        <f>Capex!N29</f>
        <v>1985.7988731652172</v>
      </c>
      <c r="N140" s="69"/>
      <c r="O140" s="86">
        <f>'Raw Data'!M106</f>
        <v>238.14429999999999</v>
      </c>
      <c r="P140" s="89">
        <f>+F140</f>
        <v>265.46069978999998</v>
      </c>
      <c r="Q140" s="86">
        <f>'Raw Data'!Q106</f>
        <v>265.59578619000001</v>
      </c>
      <c r="R140" s="89">
        <f>+G140</f>
        <v>360.35716041000001</v>
      </c>
      <c r="S140" s="86">
        <f>'Raw Data'!U106</f>
        <v>407.57625223999997</v>
      </c>
      <c r="T140" s="89">
        <f>+H140</f>
        <v>406.38188984000004</v>
      </c>
      <c r="U140" s="86">
        <f>'Raw Data'!Y106</f>
        <v>406.12857124999999</v>
      </c>
      <c r="V140" s="89">
        <f>+I140</f>
        <v>543.90918796000005</v>
      </c>
      <c r="W140" s="86">
        <f>'Raw Data'!AC106</f>
        <v>546.22276839000006</v>
      </c>
      <c r="X140" s="89">
        <f>+J140</f>
        <v>819.81633613999998</v>
      </c>
      <c r="Y140" s="86">
        <f>'Raw Data'!AG106</f>
        <v>1158.1532941800001</v>
      </c>
    </row>
    <row r="141" spans="1:25" ht="13.5" customHeight="1">
      <c r="A141" s="78"/>
      <c r="B141" s="107" t="s">
        <v>168</v>
      </c>
      <c r="C141" s="86">
        <f>-'Raw Data'!C110</f>
        <v>0</v>
      </c>
      <c r="D141" s="86">
        <f>-'Raw Data'!D110</f>
        <v>0</v>
      </c>
      <c r="E141" s="86">
        <f>-'Raw Data'!E110</f>
        <v>0</v>
      </c>
      <c r="F141" s="86">
        <f>-'Raw Data'!F110</f>
        <v>-28.881503389999999</v>
      </c>
      <c r="G141" s="86">
        <f>-'Raw Data'!G110</f>
        <v>-37.789994210000003</v>
      </c>
      <c r="H141" s="86">
        <f>-'Raw Data'!H110</f>
        <v>-49.035509299999994</v>
      </c>
      <c r="I141" s="86">
        <f>-'Raw Data'!I110</f>
        <v>-59.069635270000006</v>
      </c>
      <c r="J141" s="86">
        <f>-'Raw Data'!J110</f>
        <v>-73.696878420000004</v>
      </c>
      <c r="K141" s="70">
        <f>J141-Capex!L30</f>
        <v>-89.165606641628003</v>
      </c>
      <c r="L141" s="70">
        <f>K141-Capex!M30</f>
        <v>-110.37489219681372</v>
      </c>
      <c r="M141" s="70">
        <f>L141-Capex!N30</f>
        <v>-137.98665296605748</v>
      </c>
      <c r="N141" s="70"/>
      <c r="O141" s="86">
        <f>-'Raw Data'!M110</f>
        <v>0</v>
      </c>
      <c r="P141" s="89">
        <f>+F141</f>
        <v>-28.881503389999999</v>
      </c>
      <c r="Q141" s="86">
        <f>-'Raw Data'!Q110</f>
        <v>-33.091151269999997</v>
      </c>
      <c r="R141" s="89">
        <f>+G141</f>
        <v>-37.789994210000003</v>
      </c>
      <c r="S141" s="86">
        <f>-'Raw Data'!U110</f>
        <v>-43.96666553</v>
      </c>
      <c r="T141" s="89">
        <f>+H141</f>
        <v>-49.035509299999994</v>
      </c>
      <c r="U141" s="86">
        <f>-'Raw Data'!Y110</f>
        <v>-54.496884389999998</v>
      </c>
      <c r="V141" s="89">
        <f>+I141</f>
        <v>-59.069635270000006</v>
      </c>
      <c r="W141" s="86">
        <f>-'Raw Data'!AC110</f>
        <v>-65.723622079999998</v>
      </c>
      <c r="X141" s="89">
        <f>+J141</f>
        <v>-73.696878420000004</v>
      </c>
      <c r="Y141" s="86">
        <f>-'Raw Data'!AG110</f>
        <v>-88.292689949999996</v>
      </c>
    </row>
    <row r="142" spans="1:25" ht="13.5" customHeight="1">
      <c r="A142" s="78"/>
      <c r="B142" s="82" t="s">
        <v>167</v>
      </c>
      <c r="C142" s="82">
        <f t="shared" ref="C142:M142" si="82">+C140+C141</f>
        <v>158.21</v>
      </c>
      <c r="D142" s="82">
        <f t="shared" si="82"/>
        <v>154.96627644</v>
      </c>
      <c r="E142" s="82">
        <f t="shared" si="82"/>
        <v>163.55302633000002</v>
      </c>
      <c r="F142" s="82">
        <f t="shared" si="82"/>
        <v>236.57919639999997</v>
      </c>
      <c r="G142" s="82">
        <f t="shared" si="82"/>
        <v>322.56716619999997</v>
      </c>
      <c r="H142" s="82">
        <f t="shared" si="82"/>
        <v>357.34638054000004</v>
      </c>
      <c r="I142" s="82">
        <f t="shared" si="82"/>
        <v>484.83955269000006</v>
      </c>
      <c r="J142" s="82">
        <f t="shared" si="82"/>
        <v>746.11945772000001</v>
      </c>
      <c r="K142" s="82">
        <f t="shared" si="82"/>
        <v>1075.3304108950842</v>
      </c>
      <c r="L142" s="82">
        <f t="shared" si="82"/>
        <v>1445.8341629025456</v>
      </c>
      <c r="M142" s="82">
        <f t="shared" si="82"/>
        <v>1847.8122201991596</v>
      </c>
      <c r="N142" s="82"/>
      <c r="O142" s="82">
        <f>+O140+O141</f>
        <v>238.14429999999999</v>
      </c>
      <c r="P142" s="82">
        <f>+F142</f>
        <v>236.57919639999997</v>
      </c>
      <c r="Q142" s="82">
        <f>+Q140+Q141</f>
        <v>232.50463492</v>
      </c>
      <c r="R142" s="82">
        <f>+G142</f>
        <v>322.56716619999997</v>
      </c>
      <c r="S142" s="82">
        <f>+S140+S141</f>
        <v>363.60958670999997</v>
      </c>
      <c r="T142" s="82">
        <f>+H142</f>
        <v>357.34638054000004</v>
      </c>
      <c r="U142" s="82">
        <f>+U140+U141</f>
        <v>351.63168686</v>
      </c>
      <c r="V142" s="82">
        <f>+I142</f>
        <v>484.83955269000006</v>
      </c>
      <c r="W142" s="82">
        <f>+W140+W141</f>
        <v>480.49914631000007</v>
      </c>
      <c r="X142" s="82">
        <f>+J142</f>
        <v>746.11945772000001</v>
      </c>
      <c r="Y142" s="82">
        <f>+Y140+Y141</f>
        <v>1069.86060423</v>
      </c>
    </row>
    <row r="143" spans="1:25" ht="13.5" customHeight="1">
      <c r="A143" s="78"/>
      <c r="B143" s="70" t="s">
        <v>166</v>
      </c>
      <c r="C143" s="86">
        <f>'Raw Data'!C118</f>
        <v>0</v>
      </c>
      <c r="D143" s="86">
        <f>'Raw Data'!D118</f>
        <v>0</v>
      </c>
      <c r="E143" s="86">
        <f>'Raw Data'!E118</f>
        <v>0</v>
      </c>
      <c r="F143" s="86">
        <f>'Raw Data'!F118</f>
        <v>0</v>
      </c>
      <c r="G143" s="86">
        <f>'Raw Data'!G118</f>
        <v>0</v>
      </c>
      <c r="H143" s="86">
        <f>'Raw Data'!H118</f>
        <v>0</v>
      </c>
      <c r="I143" s="86">
        <f>'Raw Data'!I118</f>
        <v>0</v>
      </c>
      <c r="J143" s="86">
        <f>'Raw Data'!J118</f>
        <v>0</v>
      </c>
      <c r="K143" s="106">
        <f>J143-K209+K44</f>
        <v>110</v>
      </c>
      <c r="L143" s="106">
        <f>K143-L209+L44</f>
        <v>220</v>
      </c>
      <c r="M143" s="106">
        <f>L143-M209+M44</f>
        <v>330</v>
      </c>
      <c r="N143" s="106"/>
      <c r="O143" s="86">
        <f>'Raw Data'!M118</f>
        <v>0</v>
      </c>
      <c r="P143" s="89">
        <f>+F143</f>
        <v>0</v>
      </c>
      <c r="Q143" s="86">
        <f>'Raw Data'!Q118</f>
        <v>0</v>
      </c>
      <c r="R143" s="89">
        <f>+G143</f>
        <v>0</v>
      </c>
      <c r="S143" s="86">
        <f>'Raw Data'!U118</f>
        <v>0</v>
      </c>
      <c r="T143" s="89">
        <f>+H143</f>
        <v>0</v>
      </c>
      <c r="U143" s="86">
        <f>'Raw Data'!Y118</f>
        <v>0</v>
      </c>
      <c r="V143" s="89">
        <f>+I143</f>
        <v>0</v>
      </c>
      <c r="W143" s="86">
        <f>'Raw Data'!AC118</f>
        <v>0</v>
      </c>
      <c r="X143" s="89">
        <f>+J143</f>
        <v>0</v>
      </c>
      <c r="Y143" s="86">
        <f>'Raw Data'!AG118</f>
        <v>0</v>
      </c>
    </row>
    <row r="144" spans="1:25" ht="13.5" customHeight="1">
      <c r="A144" s="78"/>
      <c r="B144" s="70" t="s">
        <v>165</v>
      </c>
      <c r="C144" s="86">
        <f>'Raw Data'!C127</f>
        <v>113.71669999999997</v>
      </c>
      <c r="D144" s="86">
        <f>'Raw Data'!D127</f>
        <v>162.19106248000003</v>
      </c>
      <c r="E144" s="86">
        <f>'Raw Data'!E127</f>
        <v>336.05203494000006</v>
      </c>
      <c r="F144" s="86">
        <f>'Raw Data'!F127</f>
        <v>305.08183391999978</v>
      </c>
      <c r="G144" s="86">
        <f>'Raw Data'!G127</f>
        <v>2520.13795338</v>
      </c>
      <c r="H144" s="86">
        <f>'Raw Data'!H127</f>
        <v>1504.5348819199999</v>
      </c>
      <c r="I144" s="86">
        <f>'Raw Data'!I127</f>
        <v>2155.3823604299992</v>
      </c>
      <c r="J144" s="86">
        <f>'Raw Data'!J127</f>
        <v>5000.8240952699989</v>
      </c>
      <c r="K144" s="1141">
        <f>J144+Capex!L37+-Capex!K37</f>
        <v>5022.8313781676989</v>
      </c>
      <c r="L144" s="1141">
        <f>K144+Capex!M37+-Capex!L37</f>
        <v>5047.9304903007223</v>
      </c>
      <c r="M144" s="1141">
        <f>L144+Capex!N37+-Capex!M37</f>
        <v>5075.6315654665168</v>
      </c>
      <c r="N144" s="69"/>
      <c r="O144" s="86">
        <f>'Raw Data'!M127</f>
        <v>372.88219999999995</v>
      </c>
      <c r="P144" s="89">
        <f>+F144</f>
        <v>305.08183391999978</v>
      </c>
      <c r="Q144" s="86">
        <f>'Raw Data'!Q127</f>
        <v>940.66483777999997</v>
      </c>
      <c r="R144" s="89">
        <f>+G144</f>
        <v>2520.13795338</v>
      </c>
      <c r="S144" s="86">
        <f>'Raw Data'!U127</f>
        <v>1830.5754209599993</v>
      </c>
      <c r="T144" s="89">
        <f>+H144</f>
        <v>1504.5348819199999</v>
      </c>
      <c r="U144" s="86">
        <f>'Raw Data'!Y127</f>
        <v>2280.3579326000004</v>
      </c>
      <c r="V144" s="89">
        <f>+I144</f>
        <v>2155.3823604299992</v>
      </c>
      <c r="W144" s="86">
        <f>'Raw Data'!AC127</f>
        <v>4198.2702548899997</v>
      </c>
      <c r="X144" s="89">
        <f>+J144</f>
        <v>5000.8240952699989</v>
      </c>
      <c r="Y144" s="86">
        <f>'Raw Data'!AG127</f>
        <v>4317.1846737299993</v>
      </c>
    </row>
    <row r="145" spans="1:25" ht="13.5" customHeight="1">
      <c r="A145" s="83"/>
      <c r="B145" s="82" t="s">
        <v>164</v>
      </c>
      <c r="C145" s="82">
        <f t="shared" ref="C145:M145" si="83">SUM(C134+C139+C142+C143+C144)</f>
        <v>2051.0102000000002</v>
      </c>
      <c r="D145" s="82">
        <f t="shared" si="83"/>
        <v>2107.5257300699996</v>
      </c>
      <c r="E145" s="82">
        <f t="shared" si="83"/>
        <v>3340.7002800099999</v>
      </c>
      <c r="F145" s="82">
        <f t="shared" si="83"/>
        <v>4361.2864222400003</v>
      </c>
      <c r="G145" s="82">
        <f t="shared" si="83"/>
        <v>7790.4911589800004</v>
      </c>
      <c r="H145" s="82">
        <f t="shared" si="83"/>
        <v>11869.648285859999</v>
      </c>
      <c r="I145" s="82">
        <f t="shared" si="83"/>
        <v>14710.049912670002</v>
      </c>
      <c r="J145" s="82">
        <f t="shared" si="83"/>
        <v>22676.296132900003</v>
      </c>
      <c r="K145" s="82">
        <f t="shared" si="83"/>
        <v>26955.579642486409</v>
      </c>
      <c r="L145" s="82">
        <f t="shared" si="83"/>
        <v>30242.637070479203</v>
      </c>
      <c r="M145" s="82">
        <f t="shared" si="83"/>
        <v>33905.565598120265</v>
      </c>
      <c r="N145" s="82"/>
      <c r="O145" s="82">
        <f>SUM(O134+O139+O142+O143+O144)</f>
        <v>3730.6431000000002</v>
      </c>
      <c r="P145" s="82">
        <f>+F145</f>
        <v>4361.2864222400003</v>
      </c>
      <c r="Q145" s="82">
        <f>SUM(Q134+Q139+Q142+Q143+Q144)</f>
        <v>7096.9261021200009</v>
      </c>
      <c r="R145" s="82">
        <f>+G145</f>
        <v>7790.4911589800004</v>
      </c>
      <c r="S145" s="82">
        <f>SUM(S134+S139+S142+S143+S144)</f>
        <v>9647.5299397599993</v>
      </c>
      <c r="T145" s="82">
        <f>+H145</f>
        <v>11869.648285859999</v>
      </c>
      <c r="U145" s="82">
        <f>SUM(U134+U139+U142+U143+U144)</f>
        <v>13515.5481483</v>
      </c>
      <c r="V145" s="82">
        <f>+I145</f>
        <v>14710.049912670002</v>
      </c>
      <c r="W145" s="82">
        <f>SUM(W134+W139+W142+W143+W144)</f>
        <v>18647.327195539998</v>
      </c>
      <c r="X145" s="82">
        <f>+J145</f>
        <v>22676.296132900003</v>
      </c>
      <c r="Y145" s="82">
        <f>SUM(Y134+Y139+Y142+Y143+Y144)</f>
        <v>22915.401434980002</v>
      </c>
    </row>
    <row r="146" spans="1:25" ht="13.5" customHeight="1">
      <c r="A146" s="78"/>
      <c r="B146" s="84" t="s">
        <v>41</v>
      </c>
      <c r="C146" s="70"/>
      <c r="D146" s="70"/>
      <c r="E146" s="70"/>
      <c r="F146" s="70"/>
      <c r="G146" s="70"/>
      <c r="H146" s="70"/>
      <c r="I146" s="1336">
        <f>I145/I163</f>
        <v>2.3261564192344331</v>
      </c>
      <c r="J146" s="1336">
        <f>J145/J163</f>
        <v>2.9496457097895412</v>
      </c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</row>
    <row r="147" spans="1:25" ht="13.5" customHeight="1">
      <c r="A147" s="78"/>
      <c r="B147" s="70" t="s">
        <v>127</v>
      </c>
      <c r="C147" s="86">
        <f>'Raw Data'!C170</f>
        <v>339.79349999999999</v>
      </c>
      <c r="D147" s="86">
        <f>'Raw Data'!D170</f>
        <v>316.89636641000004</v>
      </c>
      <c r="E147" s="86">
        <f>'Raw Data'!E170</f>
        <v>609.48604021000006</v>
      </c>
      <c r="F147" s="86">
        <f>'Raw Data'!F170</f>
        <v>521.59918857999992</v>
      </c>
      <c r="G147" s="86">
        <f>'Raw Data'!G170</f>
        <v>1428.9803038099999</v>
      </c>
      <c r="H147" s="86">
        <f>'Raw Data'!H170</f>
        <v>1799.2834213299998</v>
      </c>
      <c r="I147" s="86">
        <f>'Raw Data'!I170</f>
        <v>2250.59003897</v>
      </c>
      <c r="J147" s="86">
        <f>'Raw Data'!J170</f>
        <v>3148.5920656799999</v>
      </c>
      <c r="K147" s="70">
        <f>-K176*K$18/365</f>
        <v>4165.340162710937</v>
      </c>
      <c r="L147" s="70">
        <f>-L176*L$18/365</f>
        <v>4951.5911211472276</v>
      </c>
      <c r="M147" s="70">
        <f>-M176*M$18/365</f>
        <v>5771.1709512752968</v>
      </c>
      <c r="N147" s="70"/>
      <c r="O147" s="86">
        <f>'Raw Data'!M170</f>
        <v>1108.586</v>
      </c>
      <c r="P147" s="89">
        <f>+F147</f>
        <v>521.59918857999992</v>
      </c>
      <c r="Q147" s="86">
        <f>'Raw Data'!Q170</f>
        <v>1492.0929936399998</v>
      </c>
      <c r="R147" s="89">
        <f>+G147</f>
        <v>1428.9803038099999</v>
      </c>
      <c r="S147" s="86">
        <f>'Raw Data'!U170</f>
        <v>1592.5643951000002</v>
      </c>
      <c r="T147" s="89">
        <f>+H147</f>
        <v>1799.2834213299998</v>
      </c>
      <c r="U147" s="86">
        <f>'Raw Data'!Y170</f>
        <v>2156.34754591</v>
      </c>
      <c r="V147" s="89">
        <f>+I147</f>
        <v>2250.59003897</v>
      </c>
      <c r="W147" s="86">
        <f>'Raw Data'!AC170</f>
        <v>2859.2628932500002</v>
      </c>
      <c r="X147" s="89">
        <f>+J147</f>
        <v>3148.5920656799999</v>
      </c>
      <c r="Y147" s="86">
        <f>'Raw Data'!AG170</f>
        <v>3760.16339341</v>
      </c>
    </row>
    <row r="148" spans="1:25" ht="13.5" customHeight="1">
      <c r="A148" s="78"/>
      <c r="B148" s="70" t="s">
        <v>163</v>
      </c>
      <c r="C148" s="86">
        <f>'Raw Data'!C175</f>
        <v>125</v>
      </c>
      <c r="D148" s="86">
        <f>'Raw Data'!D175</f>
        <v>154.79784472999998</v>
      </c>
      <c r="E148" s="86">
        <f>'Raw Data'!E175</f>
        <v>10</v>
      </c>
      <c r="F148" s="86">
        <f>'Raw Data'!F175</f>
        <v>110</v>
      </c>
      <c r="G148" s="86">
        <f>'Raw Data'!G175</f>
        <v>623.5</v>
      </c>
      <c r="H148" s="86">
        <f>'Raw Data'!H175</f>
        <v>3181.5996330300004</v>
      </c>
      <c r="I148" s="86">
        <f>'Raw Data'!I175</f>
        <v>2995.7055691300002</v>
      </c>
      <c r="J148" s="86">
        <f>'Raw Data'!J175</f>
        <v>6551.3369212799998</v>
      </c>
      <c r="K148" s="70">
        <f>J148+K215</f>
        <v>6551.3369212799998</v>
      </c>
      <c r="L148" s="70">
        <f>K148+L215</f>
        <v>6551.3369212799998</v>
      </c>
      <c r="M148" s="70">
        <f>L148+M215</f>
        <v>6551.3369212799998</v>
      </c>
      <c r="N148" s="70"/>
      <c r="O148" s="86">
        <f>'Raw Data'!M175</f>
        <v>50</v>
      </c>
      <c r="P148" s="89">
        <f>+F148</f>
        <v>110</v>
      </c>
      <c r="Q148" s="86">
        <f>'Raw Data'!Q175</f>
        <v>0</v>
      </c>
      <c r="R148" s="89">
        <f>+G148</f>
        <v>623.5</v>
      </c>
      <c r="S148" s="86">
        <f>'Raw Data'!U175</f>
        <v>2199.7059368099999</v>
      </c>
      <c r="T148" s="89">
        <f>+H148</f>
        <v>3181.5996330300004</v>
      </c>
      <c r="U148" s="86">
        <f>'Raw Data'!Y175</f>
        <v>3912.95869485</v>
      </c>
      <c r="V148" s="89">
        <f>+I148</f>
        <v>2995.7055691300002</v>
      </c>
      <c r="W148" s="86">
        <f>'Raw Data'!AC175</f>
        <v>5690.5186663199993</v>
      </c>
      <c r="X148" s="89">
        <f>+J148</f>
        <v>6551.3369212799998</v>
      </c>
      <c r="Y148" s="86">
        <f>'Raw Data'!AG175</f>
        <v>6128.3984215600003</v>
      </c>
    </row>
    <row r="149" spans="1:25" ht="13.5" customHeight="1">
      <c r="A149" s="78"/>
      <c r="B149" s="70" t="s">
        <v>1336</v>
      </c>
      <c r="C149" s="86"/>
      <c r="D149" s="86"/>
      <c r="E149" s="86">
        <f>'Raw Data'!E181</f>
        <v>0</v>
      </c>
      <c r="F149" s="86">
        <f>'Raw Data'!F181</f>
        <v>950.34291589999998</v>
      </c>
      <c r="G149" s="86">
        <f>'Raw Data'!G181</f>
        <v>1241.3694575100001</v>
      </c>
      <c r="H149" s="86">
        <f>'Raw Data'!H181</f>
        <v>1627.1675837499999</v>
      </c>
      <c r="I149" s="86">
        <f>'Raw Data'!I181</f>
        <v>2607.2214336500001</v>
      </c>
      <c r="J149" s="86">
        <f>'Raw Data'!J181</f>
        <v>4760.5512853800001</v>
      </c>
      <c r="K149" s="70">
        <f>J149</f>
        <v>4760.5512853800001</v>
      </c>
      <c r="L149" s="70">
        <f>K149</f>
        <v>4760.5512853800001</v>
      </c>
      <c r="M149" s="70">
        <f>L149</f>
        <v>4760.5512853800001</v>
      </c>
      <c r="N149" s="70"/>
      <c r="O149" s="86">
        <f>'Raw Data'!M181</f>
        <v>565.92499999999995</v>
      </c>
      <c r="P149" s="89">
        <f>+F149</f>
        <v>950.34291589999998</v>
      </c>
      <c r="Q149" s="86">
        <f>'Raw Data'!Q181</f>
        <v>810.72122394000007</v>
      </c>
      <c r="R149" s="89">
        <f>+G149</f>
        <v>1241.3694575100001</v>
      </c>
      <c r="S149" s="86">
        <f>'Raw Data'!U181</f>
        <v>1268.94391535</v>
      </c>
      <c r="T149" s="89">
        <f>+H149</f>
        <v>1627.1675837499999</v>
      </c>
      <c r="U149" s="86">
        <f>'Raw Data'!Y181</f>
        <v>1851.4305818099999</v>
      </c>
      <c r="V149" s="89">
        <f>+I149</f>
        <v>2607.2214336500001</v>
      </c>
      <c r="W149" s="86">
        <f>'Raw Data'!AC181</f>
        <v>2501.12192456</v>
      </c>
      <c r="X149" s="89">
        <f>+J149</f>
        <v>4760.5512853800001</v>
      </c>
      <c r="Y149" s="86">
        <f>'Raw Data'!AG181</f>
        <v>3667.0879203600002</v>
      </c>
    </row>
    <row r="150" spans="1:25" ht="13.5" customHeight="1">
      <c r="A150" s="78"/>
      <c r="B150" s="70" t="s">
        <v>162</v>
      </c>
      <c r="C150" s="86">
        <f>'Raw Data'!C184</f>
        <v>674.60660000000007</v>
      </c>
      <c r="D150" s="86">
        <f>'Raw Data'!D184-D149</f>
        <v>485.07704509000007</v>
      </c>
      <c r="E150" s="86">
        <f>'Raw Data'!E184-E149</f>
        <v>832.52533096000002</v>
      </c>
      <c r="F150" s="86">
        <f>'Raw Data'!F184-F149</f>
        <v>548.06097827000008</v>
      </c>
      <c r="G150" s="86">
        <f>'Raw Data'!G184-G149</f>
        <v>121.23811037999963</v>
      </c>
      <c r="H150" s="86">
        <f>'Raw Data'!H184-H149</f>
        <v>97.648300820000486</v>
      </c>
      <c r="I150" s="86">
        <f>'Raw Data'!I184-I149</f>
        <v>193.82278785000017</v>
      </c>
      <c r="J150" s="86">
        <f>'Raw Data'!J184-J149</f>
        <v>384.5614928799987</v>
      </c>
      <c r="K150" s="70">
        <f>J150-K67+J67</f>
        <v>2239.2421577400064</v>
      </c>
      <c r="L150" s="70">
        <f>K150-L67+K67</f>
        <v>2994.8994504305247</v>
      </c>
      <c r="M150" s="70">
        <f>L150-M67+L67</f>
        <v>3754.1850254539872</v>
      </c>
      <c r="N150" s="70"/>
      <c r="O150" s="86">
        <f>'Raw Data'!M184-O149</f>
        <v>17.070500000000038</v>
      </c>
      <c r="P150" s="89">
        <f>+F150</f>
        <v>548.06097827000008</v>
      </c>
      <c r="Q150" s="86">
        <f>'Raw Data'!Q184-Q149</f>
        <v>339.62564272999998</v>
      </c>
      <c r="R150" s="89">
        <f>+G150</f>
        <v>121.23811037999963</v>
      </c>
      <c r="S150" s="86">
        <f>'Raw Data'!U184-S149</f>
        <v>75.150023899999496</v>
      </c>
      <c r="T150" s="89">
        <f>+H150</f>
        <v>97.648300820000486</v>
      </c>
      <c r="U150" s="86">
        <f>'Raw Data'!Y184-U149</f>
        <v>38.248214190000226</v>
      </c>
      <c r="V150" s="89">
        <f>+I150</f>
        <v>193.82278785000017</v>
      </c>
      <c r="W150" s="86">
        <f>'Raw Data'!AC184-W149</f>
        <v>107.40864223000108</v>
      </c>
      <c r="X150" s="89">
        <f>+J150</f>
        <v>384.5614928799987</v>
      </c>
      <c r="Y150" s="86">
        <f>'Raw Data'!AG184-Y149</f>
        <v>147.84700939999811</v>
      </c>
    </row>
    <row r="151" spans="1:25" ht="13.5" customHeight="1">
      <c r="A151" s="78"/>
      <c r="B151" s="82" t="s">
        <v>161</v>
      </c>
      <c r="C151" s="82">
        <f>SUM(C147+C148+C150)</f>
        <v>1139.4001000000001</v>
      </c>
      <c r="D151" s="82">
        <f>SUM(D147+D148+D150+D149)</f>
        <v>956.77125623000006</v>
      </c>
      <c r="E151" s="82">
        <f t="shared" ref="E151:U151" si="84">SUM(E147+E148+E150+E149)</f>
        <v>1452.0113711700001</v>
      </c>
      <c r="F151" s="82">
        <f t="shared" si="84"/>
        <v>2130.00308275</v>
      </c>
      <c r="G151" s="82">
        <f t="shared" si="84"/>
        <v>3415.0878716999996</v>
      </c>
      <c r="H151" s="82">
        <f t="shared" si="84"/>
        <v>6705.6989389299997</v>
      </c>
      <c r="I151" s="82">
        <f t="shared" si="84"/>
        <v>8047.3398296000005</v>
      </c>
      <c r="J151" s="82">
        <f>SUM(J147+J148+J150+J149)</f>
        <v>14845.041765219998</v>
      </c>
      <c r="K151" s="82">
        <f t="shared" si="84"/>
        <v>17716.470527110941</v>
      </c>
      <c r="L151" s="82">
        <f t="shared" si="84"/>
        <v>19258.378778237751</v>
      </c>
      <c r="M151" s="82">
        <f>SUM(M147+M148+M150+M149)</f>
        <v>20837.244183389284</v>
      </c>
      <c r="N151" s="82"/>
      <c r="O151" s="82">
        <f t="shared" si="84"/>
        <v>1741.5815</v>
      </c>
      <c r="P151" s="82">
        <f>+F151</f>
        <v>2130.00308275</v>
      </c>
      <c r="Q151" s="82">
        <f t="shared" si="84"/>
        <v>2642.4398603099999</v>
      </c>
      <c r="R151" s="82">
        <f>+G151</f>
        <v>3415.0878716999996</v>
      </c>
      <c r="S151" s="82">
        <f t="shared" si="84"/>
        <v>5136.3642711599996</v>
      </c>
      <c r="T151" s="82">
        <f>+H151</f>
        <v>6705.6989389299997</v>
      </c>
      <c r="U151" s="82">
        <f t="shared" si="84"/>
        <v>7958.9850367600002</v>
      </c>
      <c r="V151" s="82">
        <f>+I151</f>
        <v>8047.3398296000005</v>
      </c>
      <c r="W151" s="82">
        <f>SUM(W147+W148+W150+W149)</f>
        <v>11158.312126360001</v>
      </c>
      <c r="X151" s="82">
        <f>+J151</f>
        <v>14845.041765219998</v>
      </c>
      <c r="Y151" s="82">
        <f>SUM(Y147+Y148+Y150+Y149)</f>
        <v>13703.496744729999</v>
      </c>
    </row>
    <row r="152" spans="1:25" ht="13.5" customHeight="1">
      <c r="A152" s="78"/>
      <c r="B152" s="84" t="s">
        <v>41</v>
      </c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</row>
    <row r="153" spans="1:25" ht="13.5" customHeight="1">
      <c r="A153" s="78"/>
      <c r="B153" s="70" t="s">
        <v>160</v>
      </c>
      <c r="C153" s="86">
        <f>'Raw Data'!C190</f>
        <v>35</v>
      </c>
      <c r="D153" s="86">
        <f>'Raw Data'!D190</f>
        <v>50</v>
      </c>
      <c r="E153" s="86">
        <f>'Raw Data'!E190</f>
        <v>236.875</v>
      </c>
      <c r="F153" s="86">
        <f>'Raw Data'!F190</f>
        <v>301.72664379000003</v>
      </c>
      <c r="G153" s="86">
        <f>'Raw Data'!G190</f>
        <v>25.824999999999999</v>
      </c>
      <c r="H153" s="86">
        <f>'Raw Data'!H190</f>
        <v>0</v>
      </c>
      <c r="I153" s="86">
        <f>'Raw Data'!I190</f>
        <v>220</v>
      </c>
      <c r="J153" s="86">
        <f>'Raw Data'!J190</f>
        <v>0</v>
      </c>
      <c r="K153" s="70">
        <f>J153+K216</f>
        <v>0</v>
      </c>
      <c r="L153" s="70">
        <f>K153+L216</f>
        <v>0</v>
      </c>
      <c r="M153" s="70">
        <f>L153+M216</f>
        <v>0</v>
      </c>
      <c r="N153" s="70"/>
      <c r="O153" s="86">
        <f>'Raw Data'!M190</f>
        <v>254.7</v>
      </c>
      <c r="P153" s="89">
        <f>+F153</f>
        <v>301.72664379000003</v>
      </c>
      <c r="Q153" s="86">
        <f>'Raw Data'!Q190</f>
        <v>41</v>
      </c>
      <c r="R153" s="89">
        <f>+G153</f>
        <v>25.824999999999999</v>
      </c>
      <c r="S153" s="86">
        <f>'Raw Data'!U190</f>
        <v>10.65</v>
      </c>
      <c r="T153" s="89">
        <f>+H153</f>
        <v>0</v>
      </c>
      <c r="U153" s="86">
        <f>'Raw Data'!Y190</f>
        <v>20.01277777</v>
      </c>
      <c r="V153" s="89">
        <f>+I153</f>
        <v>220</v>
      </c>
      <c r="W153" s="86">
        <f>'Raw Data'!AC190</f>
        <v>300</v>
      </c>
      <c r="X153" s="89">
        <f>+J153</f>
        <v>0</v>
      </c>
      <c r="Y153" s="86">
        <f>'Raw Data'!AG190</f>
        <v>0</v>
      </c>
    </row>
    <row r="154" spans="1:25" ht="13.5" customHeight="1">
      <c r="A154" s="78"/>
      <c r="B154" s="70" t="s">
        <v>159</v>
      </c>
      <c r="C154" s="86">
        <f>'Raw Data'!C195</f>
        <v>5.5013000000000005</v>
      </c>
      <c r="D154" s="86">
        <f>'Raw Data'!D195</f>
        <v>13.810463119999994</v>
      </c>
      <c r="E154" s="86">
        <f>'Raw Data'!E195</f>
        <v>16.633072529999993</v>
      </c>
      <c r="F154" s="86">
        <f>'Raw Data'!F195</f>
        <v>16.303346309999995</v>
      </c>
      <c r="G154" s="86">
        <f>'Raw Data'!G195</f>
        <v>111.45274658000001</v>
      </c>
      <c r="H154" s="86">
        <f>'Raw Data'!H195</f>
        <v>99.658335969999996</v>
      </c>
      <c r="I154" s="86">
        <f>'Raw Data'!I195</f>
        <v>118.95223469999996</v>
      </c>
      <c r="J154" s="86">
        <f>'Raw Data'!J195</f>
        <v>139.67439768</v>
      </c>
      <c r="K154" s="1141">
        <f>J154</f>
        <v>139.67439768</v>
      </c>
      <c r="L154" s="1141">
        <f>K154</f>
        <v>139.67439768</v>
      </c>
      <c r="M154" s="1141">
        <f>L154</f>
        <v>139.67439768</v>
      </c>
      <c r="N154" s="69"/>
      <c r="O154" s="86">
        <f>'Raw Data'!M195</f>
        <v>17.570699999999988</v>
      </c>
      <c r="P154" s="89">
        <f>+F154</f>
        <v>16.303346309999995</v>
      </c>
      <c r="Q154" s="86">
        <f>'Raw Data'!Q195</f>
        <v>92.479978259999996</v>
      </c>
      <c r="R154" s="89">
        <f>+G154</f>
        <v>111.45274658000001</v>
      </c>
      <c r="S154" s="86">
        <f>'Raw Data'!U195</f>
        <v>107.77535098</v>
      </c>
      <c r="T154" s="89">
        <f>+H154</f>
        <v>99.658335969999996</v>
      </c>
      <c r="U154" s="86">
        <f>'Raw Data'!Y195</f>
        <v>104.63650187</v>
      </c>
      <c r="V154" s="89">
        <f>+I154</f>
        <v>118.95223469999996</v>
      </c>
      <c r="W154" s="86">
        <f>'Raw Data'!AC195</f>
        <v>124.13783916</v>
      </c>
      <c r="X154" s="89">
        <f>+J154</f>
        <v>139.67439768</v>
      </c>
      <c r="Y154" s="86">
        <f>'Raw Data'!AG195</f>
        <v>472.78032200999996</v>
      </c>
    </row>
    <row r="155" spans="1:25" ht="13.5" customHeight="1">
      <c r="A155" s="83"/>
      <c r="B155" s="82" t="s">
        <v>158</v>
      </c>
      <c r="C155" s="82">
        <f t="shared" ref="C155:M155" si="85">SUM(C153+C154)</f>
        <v>40.501300000000001</v>
      </c>
      <c r="D155" s="82">
        <f t="shared" si="85"/>
        <v>63.810463119999994</v>
      </c>
      <c r="E155" s="82">
        <f t="shared" si="85"/>
        <v>253.50807252999999</v>
      </c>
      <c r="F155" s="82">
        <f t="shared" si="85"/>
        <v>318.02999010000002</v>
      </c>
      <c r="G155" s="82">
        <f t="shared" si="85"/>
        <v>137.27774658000001</v>
      </c>
      <c r="H155" s="82">
        <f t="shared" si="85"/>
        <v>99.658335969999996</v>
      </c>
      <c r="I155" s="82">
        <f t="shared" si="85"/>
        <v>338.95223469999996</v>
      </c>
      <c r="J155" s="82">
        <f t="shared" si="85"/>
        <v>139.67439768</v>
      </c>
      <c r="K155" s="82">
        <f t="shared" si="85"/>
        <v>139.67439768</v>
      </c>
      <c r="L155" s="82">
        <f t="shared" si="85"/>
        <v>139.67439768</v>
      </c>
      <c r="M155" s="82">
        <f t="shared" si="85"/>
        <v>139.67439768</v>
      </c>
      <c r="N155" s="82"/>
      <c r="O155" s="82">
        <f>SUM(O153+O154)</f>
        <v>272.27069999999998</v>
      </c>
      <c r="P155" s="82">
        <f>+F155</f>
        <v>318.02999010000002</v>
      </c>
      <c r="Q155" s="82">
        <f>SUM(Q153+Q154)</f>
        <v>133.47997826</v>
      </c>
      <c r="R155" s="82">
        <f>+G155</f>
        <v>137.27774658000001</v>
      </c>
      <c r="S155" s="82">
        <f>SUM(S153+S154)</f>
        <v>118.42535098</v>
      </c>
      <c r="T155" s="82">
        <f>+H155</f>
        <v>99.658335969999996</v>
      </c>
      <c r="U155" s="82">
        <f>SUM(U153+U154)</f>
        <v>124.64927964</v>
      </c>
      <c r="V155" s="82">
        <f>+I155</f>
        <v>338.95223469999996</v>
      </c>
      <c r="W155" s="82">
        <f>SUM(W153+W154)</f>
        <v>424.13783916</v>
      </c>
      <c r="X155" s="82">
        <f>+J155</f>
        <v>139.67439768</v>
      </c>
      <c r="Y155" s="82">
        <f>SUM(Y153+Y154)</f>
        <v>472.78032200999996</v>
      </c>
    </row>
    <row r="156" spans="1:25" ht="13.5" customHeight="1">
      <c r="A156" s="83"/>
      <c r="B156" s="82" t="s">
        <v>157</v>
      </c>
      <c r="C156" s="82">
        <f t="shared" ref="C156:I156" si="86">IF(ISNUMBER(C155),C155+C151," ")</f>
        <v>1179.9014</v>
      </c>
      <c r="D156" s="82">
        <f t="shared" si="86"/>
        <v>1020.5817193500001</v>
      </c>
      <c r="E156" s="82">
        <f t="shared" si="86"/>
        <v>1705.5194437</v>
      </c>
      <c r="F156" s="82">
        <f t="shared" si="86"/>
        <v>2448.0330728499998</v>
      </c>
      <c r="G156" s="82">
        <f t="shared" si="86"/>
        <v>3552.3656182799996</v>
      </c>
      <c r="H156" s="82">
        <f t="shared" si="86"/>
        <v>6805.3572748999995</v>
      </c>
      <c r="I156" s="82">
        <f t="shared" si="86"/>
        <v>8386.2920642999998</v>
      </c>
      <c r="J156" s="82">
        <f>IF(ISNUMBER(J155),J155+J151," ")</f>
        <v>14984.716162899998</v>
      </c>
      <c r="K156" s="82">
        <f>+K155+K151</f>
        <v>17856.14492479094</v>
      </c>
      <c r="L156" s="82">
        <f>+L155+L151</f>
        <v>19398.05317591775</v>
      </c>
      <c r="M156" s="82">
        <f>+M155+M151</f>
        <v>20976.918581069283</v>
      </c>
      <c r="N156" s="82"/>
      <c r="O156" s="82">
        <f>IF(ISNUMBER(O155),O155+O151," ")</f>
        <v>2013.8522</v>
      </c>
      <c r="P156" s="82">
        <f>+F156</f>
        <v>2448.0330728499998</v>
      </c>
      <c r="Q156" s="82">
        <f>IF(ISNUMBER(Q155),Q155+Q151," ")</f>
        <v>2775.9198385699997</v>
      </c>
      <c r="R156" s="82">
        <f>+G156</f>
        <v>3552.3656182799996</v>
      </c>
      <c r="S156" s="82">
        <f>IF(ISNUMBER(S155),S155+S151," ")</f>
        <v>5254.7896221399997</v>
      </c>
      <c r="T156" s="82">
        <f>+H156</f>
        <v>6805.3572748999995</v>
      </c>
      <c r="U156" s="82">
        <f>IF(ISNUMBER(U155),U155+U151," ")</f>
        <v>8083.6343164</v>
      </c>
      <c r="V156" s="82">
        <f>+I156</f>
        <v>8386.2920642999998</v>
      </c>
      <c r="W156" s="82">
        <f>IF(ISNUMBER(W155),W155+W151," ")</f>
        <v>11582.44996552</v>
      </c>
      <c r="X156" s="82">
        <f>+J156</f>
        <v>14984.716162899998</v>
      </c>
      <c r="Y156" s="82">
        <f>IF(ISNUMBER(Y155),Y155+Y151," ")</f>
        <v>14176.277066739998</v>
      </c>
    </row>
    <row r="157" spans="1:25" ht="13.5" customHeight="1">
      <c r="A157" s="83"/>
      <c r="B157" s="87" t="s">
        <v>41</v>
      </c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</row>
    <row r="158" spans="1:25" ht="13.5" customHeight="1">
      <c r="A158" s="78"/>
      <c r="B158" s="70" t="s">
        <v>156</v>
      </c>
      <c r="C158" s="86">
        <f>'Raw Data'!C202</f>
        <v>0</v>
      </c>
      <c r="D158" s="86">
        <f>'Raw Data'!D202</f>
        <v>0</v>
      </c>
      <c r="E158" s="86">
        <f>'Raw Data'!E202</f>
        <v>0</v>
      </c>
      <c r="F158" s="86">
        <f>'Raw Data'!F202</f>
        <v>0</v>
      </c>
      <c r="G158" s="86">
        <f>'Raw Data'!G202</f>
        <v>0</v>
      </c>
      <c r="H158" s="86">
        <f>'Raw Data'!H202</f>
        <v>0</v>
      </c>
      <c r="I158" s="86">
        <f>'Raw Data'!I202</f>
        <v>0</v>
      </c>
      <c r="J158" s="86">
        <f>'Raw Data'!J202</f>
        <v>0</v>
      </c>
      <c r="K158" s="70">
        <f>J158+K217</f>
        <v>0</v>
      </c>
      <c r="L158" s="70">
        <f>K158+L217</f>
        <v>0</v>
      </c>
      <c r="M158" s="70">
        <f>L158+M217</f>
        <v>0</v>
      </c>
      <c r="N158" s="70"/>
      <c r="O158" s="86">
        <f>'Raw Data'!M202</f>
        <v>0</v>
      </c>
      <c r="P158" s="89">
        <f>+F158</f>
        <v>0</v>
      </c>
      <c r="Q158" s="86">
        <f>'Raw Data'!Q202</f>
        <v>0</v>
      </c>
      <c r="R158" s="89">
        <f>+G158</f>
        <v>0</v>
      </c>
      <c r="S158" s="86">
        <f>'Raw Data'!U202</f>
        <v>0</v>
      </c>
      <c r="T158" s="89">
        <f>+H158</f>
        <v>0</v>
      </c>
      <c r="U158" s="86">
        <f>'Raw Data'!Y202</f>
        <v>0</v>
      </c>
      <c r="V158" s="89">
        <f>+I158</f>
        <v>0</v>
      </c>
      <c r="W158" s="86">
        <f>'Raw Data'!AC202</f>
        <v>0</v>
      </c>
      <c r="X158" s="89">
        <f>+J158</f>
        <v>0</v>
      </c>
      <c r="Y158" s="86">
        <f>'Raw Data'!AG202</f>
        <v>0</v>
      </c>
    </row>
    <row r="159" spans="1:25" ht="13.5" customHeight="1">
      <c r="A159" s="78"/>
      <c r="B159" s="70" t="s">
        <v>155</v>
      </c>
      <c r="C159" s="86">
        <f>'Raw Data'!C198</f>
        <v>150.81970000000001</v>
      </c>
      <c r="D159" s="86">
        <f>'Raw Data'!D198</f>
        <v>350</v>
      </c>
      <c r="E159" s="86">
        <f>'Raw Data'!E198</f>
        <v>360</v>
      </c>
      <c r="F159" s="86">
        <f>'Raw Data'!F198</f>
        <v>360</v>
      </c>
      <c r="G159" s="86">
        <f>'Raw Data'!G198</f>
        <v>400.01</v>
      </c>
      <c r="H159" s="86">
        <f>'Raw Data'!H198</f>
        <v>400.01</v>
      </c>
      <c r="I159" s="86">
        <f>'Raw Data'!I198</f>
        <v>400.01</v>
      </c>
      <c r="J159" s="86">
        <f>'Raw Data'!J198</f>
        <v>520.01300000000003</v>
      </c>
      <c r="K159" s="70">
        <f>J159+K214</f>
        <v>520.01300000000003</v>
      </c>
      <c r="L159" s="70">
        <f>K159+L214</f>
        <v>520.01300000000003</v>
      </c>
      <c r="M159" s="70">
        <f>L159+M214</f>
        <v>520.01300000000003</v>
      </c>
      <c r="N159" s="70"/>
      <c r="O159" s="86">
        <f>'Raw Data'!M198</f>
        <v>360</v>
      </c>
      <c r="P159" s="89">
        <f>+F159</f>
        <v>360</v>
      </c>
      <c r="Q159" s="86">
        <f>'Raw Data'!Q198</f>
        <v>400.01</v>
      </c>
      <c r="R159" s="89">
        <f>+G159</f>
        <v>400.01</v>
      </c>
      <c r="S159" s="86">
        <f>'Raw Data'!U198</f>
        <v>400.01</v>
      </c>
      <c r="T159" s="89">
        <f>+H159</f>
        <v>400.01</v>
      </c>
      <c r="U159" s="86">
        <f>'Raw Data'!Y198</f>
        <v>400.01</v>
      </c>
      <c r="V159" s="89">
        <f>+I159</f>
        <v>400.01</v>
      </c>
      <c r="W159" s="86">
        <f>'Raw Data'!AC198</f>
        <v>400.01</v>
      </c>
      <c r="X159" s="89">
        <f>+J159</f>
        <v>520.01300000000003</v>
      </c>
      <c r="Y159" s="86">
        <f>'Raw Data'!AG198</f>
        <v>520.01300000000003</v>
      </c>
    </row>
    <row r="160" spans="1:25" ht="13.5" customHeight="1">
      <c r="A160" s="78"/>
      <c r="B160" s="70" t="s">
        <v>154</v>
      </c>
      <c r="C160" s="86">
        <f>'Raw Data'!C203</f>
        <v>0</v>
      </c>
      <c r="D160" s="86">
        <f>'Raw Data'!D203</f>
        <v>0</v>
      </c>
      <c r="E160" s="86">
        <f>'Raw Data'!E203</f>
        <v>0</v>
      </c>
      <c r="F160" s="86">
        <f>'Raw Data'!F203</f>
        <v>0</v>
      </c>
      <c r="G160" s="86">
        <f>'Raw Data'!G203</f>
        <v>0</v>
      </c>
      <c r="H160" s="86">
        <f>'Raw Data'!H203</f>
        <v>0</v>
      </c>
      <c r="I160" s="86">
        <f>'Raw Data'!I203</f>
        <v>0</v>
      </c>
      <c r="J160" s="86">
        <f>'Raw Data'!J203</f>
        <v>0</v>
      </c>
      <c r="K160" s="91">
        <v>0</v>
      </c>
      <c r="L160" s="91">
        <v>0</v>
      </c>
      <c r="M160" s="91">
        <v>0</v>
      </c>
      <c r="N160" s="91"/>
      <c r="O160" s="86">
        <f>'Raw Data'!M203</f>
        <v>0</v>
      </c>
      <c r="P160" s="89">
        <f>+F160</f>
        <v>0</v>
      </c>
      <c r="Q160" s="86">
        <f>'Raw Data'!Q203</f>
        <v>0</v>
      </c>
      <c r="R160" s="89">
        <f>+G160</f>
        <v>0</v>
      </c>
      <c r="S160" s="86">
        <f>'Raw Data'!U203</f>
        <v>0</v>
      </c>
      <c r="T160" s="89">
        <f>+H160</f>
        <v>0</v>
      </c>
      <c r="U160" s="86">
        <f>'Raw Data'!Y203</f>
        <v>0</v>
      </c>
      <c r="V160" s="89">
        <f>+I160</f>
        <v>0</v>
      </c>
      <c r="W160" s="86">
        <f>'Raw Data'!AC203</f>
        <v>0</v>
      </c>
      <c r="X160" s="89">
        <f>+J160</f>
        <v>0</v>
      </c>
      <c r="Y160" s="86">
        <f>'Raw Data'!AG203</f>
        <v>0</v>
      </c>
    </row>
    <row r="161" spans="1:25" ht="13.5" customHeight="1">
      <c r="A161" s="78"/>
      <c r="B161" s="70" t="s">
        <v>153</v>
      </c>
      <c r="C161" s="86">
        <f>'Raw Data'!C201</f>
        <v>435.613</v>
      </c>
      <c r="D161" s="86">
        <f>'Raw Data'!D201</f>
        <v>462.13633170999998</v>
      </c>
      <c r="E161" s="86">
        <f>'Raw Data'!E201</f>
        <v>892.71022730000004</v>
      </c>
      <c r="F161" s="86">
        <f>'Raw Data'!F201</f>
        <v>1164.7737382800001</v>
      </c>
      <c r="G161" s="86">
        <f>'Raw Data'!G201</f>
        <v>1757.7191458699999</v>
      </c>
      <c r="H161" s="86">
        <f>'Raw Data'!H201</f>
        <v>2598.2247172300004</v>
      </c>
      <c r="I161" s="86">
        <f>'Raw Data'!I201</f>
        <v>3838.2863147900002</v>
      </c>
      <c r="J161" s="86">
        <f>'Raw Data'!J201</f>
        <v>5164.9451672300002</v>
      </c>
      <c r="K161" s="70">
        <f>J161+K57+K68</f>
        <v>6573.0797626754647</v>
      </c>
      <c r="L161" s="70">
        <f>K161+L57+L68</f>
        <v>8318.5087872914482</v>
      </c>
      <c r="M161" s="70">
        <f>L161+M57+M68</f>
        <v>10402.851757530974</v>
      </c>
      <c r="N161" s="70"/>
      <c r="O161" s="86">
        <f>'Raw Data'!M201</f>
        <v>974.01739999999995</v>
      </c>
      <c r="P161" s="89">
        <f>+F161</f>
        <v>1164.7737382800001</v>
      </c>
      <c r="Q161" s="86">
        <f>'Raw Data'!Q201</f>
        <v>1840.5998687200001</v>
      </c>
      <c r="R161" s="89">
        <f>+G161</f>
        <v>1757.7191458699999</v>
      </c>
      <c r="S161" s="86">
        <f>'Raw Data'!U201</f>
        <v>1912.3339227900001</v>
      </c>
      <c r="T161" s="89">
        <f>+H161</f>
        <v>2598.2247172300004</v>
      </c>
      <c r="U161" s="86">
        <f>'Raw Data'!Y201</f>
        <v>2906.6337599899998</v>
      </c>
      <c r="V161" s="89">
        <f>+I161</f>
        <v>3838.2863147900002</v>
      </c>
      <c r="W161" s="86">
        <f>'Raw Data'!AC201</f>
        <v>4568.8528135799997</v>
      </c>
      <c r="X161" s="89">
        <f>+J161</f>
        <v>5164.9451672300002</v>
      </c>
      <c r="Y161" s="86">
        <f>'Raw Data'!AG201</f>
        <v>6239.6634526700009</v>
      </c>
    </row>
    <row r="162" spans="1:25" ht="13.5" customHeight="1">
      <c r="A162" s="78"/>
      <c r="B162" s="70" t="s">
        <v>152</v>
      </c>
      <c r="C162" s="86">
        <f>'Raw Data'!C204</f>
        <v>284.68030000000005</v>
      </c>
      <c r="D162" s="86">
        <f>'Raw Data'!D204</f>
        <v>274.80763627999994</v>
      </c>
      <c r="E162" s="86">
        <f>'Raw Data'!E204</f>
        <v>382.47063627999978</v>
      </c>
      <c r="F162" s="86">
        <f>'Raw Data'!F204</f>
        <v>388.4796362799998</v>
      </c>
      <c r="G162" s="86">
        <f>'Raw Data'!G204</f>
        <v>2080.3963948299997</v>
      </c>
      <c r="H162" s="86">
        <f>'Raw Data'!H204</f>
        <v>2066.0562937299992</v>
      </c>
      <c r="I162" s="86">
        <f>'Raw Data'!I204</f>
        <v>2085.4615335799995</v>
      </c>
      <c r="J162" s="86">
        <f>'Raw Data'!J204</f>
        <v>2002.8451705199998</v>
      </c>
      <c r="K162" s="1141">
        <f>+J162+(K214-K187)</f>
        <v>2002.8451705199998</v>
      </c>
      <c r="L162" s="1141">
        <f>+K162+(L214-L187)</f>
        <v>2002.8451705199998</v>
      </c>
      <c r="M162" s="1141">
        <f>+L162+(M214-M187)</f>
        <v>2002.8451705199998</v>
      </c>
      <c r="N162" s="69"/>
      <c r="O162" s="86">
        <f>'Raw Data'!M204</f>
        <v>382.76860000000011</v>
      </c>
      <c r="P162" s="89">
        <f>+F162</f>
        <v>388.4796362799998</v>
      </c>
      <c r="Q162" s="86">
        <f>'Raw Data'!Q204</f>
        <v>2080.3963948299997</v>
      </c>
      <c r="R162" s="89">
        <f>+G162</f>
        <v>2080.3963948299997</v>
      </c>
      <c r="S162" s="86">
        <f>'Raw Data'!U204</f>
        <v>2080.3963948299993</v>
      </c>
      <c r="T162" s="89">
        <f>+H162</f>
        <v>2066.0562937299992</v>
      </c>
      <c r="U162" s="86">
        <f>'Raw Data'!Y204</f>
        <v>2128.02686429</v>
      </c>
      <c r="V162" s="89">
        <f>+I162</f>
        <v>2085.4615335799995</v>
      </c>
      <c r="W162" s="86">
        <f>'Raw Data'!AC204</f>
        <v>2096.0144164400008</v>
      </c>
      <c r="X162" s="89">
        <f>+J162</f>
        <v>2002.8451705199998</v>
      </c>
      <c r="Y162" s="86">
        <f>'Raw Data'!AG204</f>
        <v>1975.9075049599983</v>
      </c>
    </row>
    <row r="163" spans="1:25" ht="13.5" customHeight="1">
      <c r="A163" s="78"/>
      <c r="B163" s="82" t="s">
        <v>151</v>
      </c>
      <c r="C163" s="82">
        <f t="shared" ref="C163:M163" si="87">C159+C161+C162+C160</f>
        <v>871.11300000000006</v>
      </c>
      <c r="D163" s="82">
        <f t="shared" si="87"/>
        <v>1086.9439679899999</v>
      </c>
      <c r="E163" s="82">
        <f t="shared" si="87"/>
        <v>1635.1808635799998</v>
      </c>
      <c r="F163" s="82">
        <f t="shared" si="87"/>
        <v>1913.2533745599999</v>
      </c>
      <c r="G163" s="82">
        <f t="shared" si="87"/>
        <v>4238.1255406999999</v>
      </c>
      <c r="H163" s="82">
        <f t="shared" si="87"/>
        <v>5064.2910109599998</v>
      </c>
      <c r="I163" s="82">
        <f t="shared" si="87"/>
        <v>6323.7578483699999</v>
      </c>
      <c r="J163" s="82">
        <f t="shared" si="87"/>
        <v>7687.8033377499996</v>
      </c>
      <c r="K163" s="82">
        <f t="shared" si="87"/>
        <v>9095.9379331954642</v>
      </c>
      <c r="L163" s="82">
        <f t="shared" si="87"/>
        <v>10841.36695781145</v>
      </c>
      <c r="M163" s="82">
        <f t="shared" si="87"/>
        <v>12925.709928050976</v>
      </c>
      <c r="N163" s="82"/>
      <c r="O163" s="82">
        <f>O159+O161+O162+O160</f>
        <v>1716.7860000000001</v>
      </c>
      <c r="P163" s="82">
        <f>+F163</f>
        <v>1913.2533745599999</v>
      </c>
      <c r="Q163" s="82">
        <f>Q159+Q161+Q162+Q160</f>
        <v>4321.0062635499999</v>
      </c>
      <c r="R163" s="82">
        <f>+G163</f>
        <v>4238.1255406999999</v>
      </c>
      <c r="S163" s="82">
        <f>S159+S161+S162+S160</f>
        <v>4392.7403176199987</v>
      </c>
      <c r="T163" s="82">
        <f>+H163</f>
        <v>5064.2910109599998</v>
      </c>
      <c r="U163" s="82">
        <f>U159+U161+U162+U160</f>
        <v>5434.6706242800001</v>
      </c>
      <c r="V163" s="82">
        <f>+I163</f>
        <v>6323.7578483699999</v>
      </c>
      <c r="W163" s="82">
        <f>W159+W161+W162+W160</f>
        <v>7064.8772300200008</v>
      </c>
      <c r="X163" s="82">
        <f>+J163</f>
        <v>7687.8033377499996</v>
      </c>
      <c r="Y163" s="82">
        <f>Y159+Y161+Y162+Y160</f>
        <v>8735.5839576299986</v>
      </c>
    </row>
    <row r="164" spans="1:25" ht="13.5" customHeight="1">
      <c r="A164" s="78"/>
      <c r="B164" s="70" t="s">
        <v>150</v>
      </c>
      <c r="C164" s="86">
        <f>'Raw Data'!C205</f>
        <v>0</v>
      </c>
      <c r="D164" s="86">
        <f>'Raw Data'!D205</f>
        <v>0</v>
      </c>
      <c r="E164" s="86">
        <f>'Raw Data'!E205</f>
        <v>0</v>
      </c>
      <c r="F164" s="86">
        <f>'Raw Data'!F205</f>
        <v>0</v>
      </c>
      <c r="G164" s="86">
        <f>'Raw Data'!G205</f>
        <v>0</v>
      </c>
      <c r="H164" s="86">
        <f>'Raw Data'!H205</f>
        <v>0</v>
      </c>
      <c r="I164" s="86">
        <f>'Raw Data'!I205</f>
        <v>0</v>
      </c>
      <c r="J164" s="86">
        <f>'Raw Data'!J205</f>
        <v>3.77663225</v>
      </c>
      <c r="K164" s="70">
        <f>J164-K54+K218</f>
        <v>3.4967845</v>
      </c>
      <c r="L164" s="70">
        <f>K164-L54+L218</f>
        <v>3.2169367499999999</v>
      </c>
      <c r="M164" s="70">
        <f>L164-M54+M218</f>
        <v>2.9370889999999998</v>
      </c>
      <c r="N164" s="70"/>
      <c r="O164" s="86">
        <f>'Raw Data'!M205</f>
        <v>0</v>
      </c>
      <c r="P164" s="89">
        <f>+F164</f>
        <v>0</v>
      </c>
      <c r="Q164" s="86">
        <f>'Raw Data'!Q205</f>
        <v>0</v>
      </c>
      <c r="R164" s="89">
        <f>+G164</f>
        <v>0</v>
      </c>
      <c r="S164" s="86">
        <f>'Raw Data'!U205</f>
        <v>0</v>
      </c>
      <c r="T164" s="89">
        <f>+H164</f>
        <v>0</v>
      </c>
      <c r="U164" s="86">
        <f>'Raw Data'!Y205</f>
        <v>0</v>
      </c>
      <c r="V164" s="89">
        <f>+I164</f>
        <v>0</v>
      </c>
      <c r="W164" s="86">
        <f>'Raw Data'!AC205</f>
        <v>0</v>
      </c>
      <c r="X164" s="89">
        <f>+J164</f>
        <v>3.77663225</v>
      </c>
      <c r="Y164" s="86">
        <f>'Raw Data'!AG205</f>
        <v>3.5404106099999999</v>
      </c>
    </row>
    <row r="165" spans="1:25" ht="13.5" customHeight="1">
      <c r="A165" s="78"/>
      <c r="B165" s="82" t="s">
        <v>149</v>
      </c>
      <c r="C165" s="82">
        <f t="shared" ref="C165:M165" si="88">C163+C158+C164</f>
        <v>871.11300000000006</v>
      </c>
      <c r="D165" s="82">
        <f t="shared" si="88"/>
        <v>1086.9439679899999</v>
      </c>
      <c r="E165" s="82">
        <f t="shared" si="88"/>
        <v>1635.1808635799998</v>
      </c>
      <c r="F165" s="82">
        <f t="shared" si="88"/>
        <v>1913.2533745599999</v>
      </c>
      <c r="G165" s="82">
        <f t="shared" si="88"/>
        <v>4238.1255406999999</v>
      </c>
      <c r="H165" s="82">
        <f t="shared" si="88"/>
        <v>5064.2910109599998</v>
      </c>
      <c r="I165" s="82">
        <f t="shared" si="88"/>
        <v>6323.7578483699999</v>
      </c>
      <c r="J165" s="82">
        <f t="shared" si="88"/>
        <v>7691.5799699999998</v>
      </c>
      <c r="K165" s="82">
        <f t="shared" si="88"/>
        <v>9099.4347176954634</v>
      </c>
      <c r="L165" s="82">
        <f t="shared" si="88"/>
        <v>10844.583894561449</v>
      </c>
      <c r="M165" s="82">
        <f t="shared" si="88"/>
        <v>12928.647017050975</v>
      </c>
      <c r="N165" s="82"/>
      <c r="O165" s="82">
        <f>O163+O158+O164</f>
        <v>1716.7860000000001</v>
      </c>
      <c r="P165" s="82">
        <f>+F165</f>
        <v>1913.2533745599999</v>
      </c>
      <c r="Q165" s="82">
        <f>Q163+Q158+Q164</f>
        <v>4321.0062635499999</v>
      </c>
      <c r="R165" s="82">
        <f>+G165</f>
        <v>4238.1255406999999</v>
      </c>
      <c r="S165" s="82">
        <f>S163+S158+S164</f>
        <v>4392.7403176199987</v>
      </c>
      <c r="T165" s="82">
        <f>+H165</f>
        <v>5064.2910109599998</v>
      </c>
      <c r="U165" s="82">
        <f>U163+U158+U164</f>
        <v>5434.6706242800001</v>
      </c>
      <c r="V165" s="82">
        <f>+I165</f>
        <v>6323.7578483699999</v>
      </c>
      <c r="W165" s="82">
        <f>W163+W158+W164</f>
        <v>7064.8772300200008</v>
      </c>
      <c r="X165" s="82">
        <f>+J165</f>
        <v>7691.5799699999998</v>
      </c>
      <c r="Y165" s="82">
        <f>Y163+Y158+Y164</f>
        <v>8739.1243682399981</v>
      </c>
    </row>
    <row r="166" spans="1:25" ht="13.5" customHeight="1">
      <c r="A166" s="78"/>
      <c r="B166" s="82" t="s">
        <v>148</v>
      </c>
      <c r="C166" s="82">
        <f t="shared" ref="C166:M166" si="89">C165+C156</f>
        <v>2051.0144</v>
      </c>
      <c r="D166" s="82">
        <f t="shared" si="89"/>
        <v>2107.5256873399999</v>
      </c>
      <c r="E166" s="82">
        <f t="shared" si="89"/>
        <v>3340.7003072799998</v>
      </c>
      <c r="F166" s="82">
        <f t="shared" si="89"/>
        <v>4361.2864474099997</v>
      </c>
      <c r="G166" s="82">
        <f t="shared" si="89"/>
        <v>7790.4911589799995</v>
      </c>
      <c r="H166" s="82">
        <f t="shared" si="89"/>
        <v>11869.648285859999</v>
      </c>
      <c r="I166" s="82">
        <f t="shared" si="89"/>
        <v>14710.04991267</v>
      </c>
      <c r="J166" s="82">
        <f t="shared" si="89"/>
        <v>22676.296132899999</v>
      </c>
      <c r="K166" s="82">
        <f t="shared" si="89"/>
        <v>26955.579642486402</v>
      </c>
      <c r="L166" s="82">
        <f t="shared" si="89"/>
        <v>30242.637070479199</v>
      </c>
      <c r="M166" s="82">
        <f t="shared" si="89"/>
        <v>33905.565598120258</v>
      </c>
      <c r="N166" s="82"/>
      <c r="O166" s="82">
        <f>O165+O156</f>
        <v>3730.6382000000003</v>
      </c>
      <c r="P166" s="82">
        <f>+F166</f>
        <v>4361.2864474099997</v>
      </c>
      <c r="Q166" s="82">
        <f>Q165+Q156</f>
        <v>7096.92610212</v>
      </c>
      <c r="R166" s="82">
        <f>+G166</f>
        <v>7790.4911589799995</v>
      </c>
      <c r="S166" s="82">
        <f>S165+S156</f>
        <v>9647.5299397599993</v>
      </c>
      <c r="T166" s="82">
        <f>+H166</f>
        <v>11869.648285859999</v>
      </c>
      <c r="U166" s="82">
        <f>U165+U156</f>
        <v>13518.30494068</v>
      </c>
      <c r="V166" s="82">
        <f>+I166</f>
        <v>14710.04991267</v>
      </c>
      <c r="W166" s="82">
        <f>W165+W156</f>
        <v>18647.327195540001</v>
      </c>
      <c r="X166" s="82">
        <f>+J166</f>
        <v>22676.296132899999</v>
      </c>
      <c r="Y166" s="82">
        <f>Y165+Y156</f>
        <v>22915.401434979998</v>
      </c>
    </row>
    <row r="167" spans="1:25" ht="13.5" hidden="1" customHeight="1" outlineLevel="1">
      <c r="A167" s="78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</row>
    <row r="168" spans="1:25" s="85" customFormat="1" ht="13.5" hidden="1" customHeight="1" outlineLevel="1">
      <c r="A168" s="88"/>
      <c r="B168" s="89" t="s">
        <v>1704</v>
      </c>
      <c r="C168" s="89"/>
      <c r="D168" s="89">
        <f>D130-D148-D153</f>
        <v>134.49718389</v>
      </c>
      <c r="E168" s="89">
        <f t="shared" ref="E168:M168" si="90">E130-E148-E153</f>
        <v>698.22070113999996</v>
      </c>
      <c r="F168" s="89">
        <f t="shared" si="90"/>
        <v>813.12705243000005</v>
      </c>
      <c r="G168" s="89">
        <f t="shared" si="90"/>
        <v>369.77904220000011</v>
      </c>
      <c r="H168" s="89">
        <f t="shared" si="90"/>
        <v>-1024.0391694200002</v>
      </c>
      <c r="I168" s="89">
        <f t="shared" si="90"/>
        <v>2841.98637254</v>
      </c>
      <c r="J168" s="89">
        <f>J130-J148-J153</f>
        <v>-898.78779811999993</v>
      </c>
      <c r="K168" s="89">
        <f t="shared" si="90"/>
        <v>832.05252754930734</v>
      </c>
      <c r="L168" s="89">
        <f t="shared" si="90"/>
        <v>1249.2195431068003</v>
      </c>
      <c r="M168" s="89">
        <f t="shared" si="90"/>
        <v>1776.2152100069097</v>
      </c>
      <c r="N168" s="89"/>
      <c r="O168" s="89"/>
      <c r="P168" s="89"/>
      <c r="Q168" s="89"/>
      <c r="R168" s="89"/>
    </row>
    <row r="169" spans="1:25" ht="13.5" hidden="1" customHeight="1" outlineLevel="1">
      <c r="A169" s="78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</row>
    <row r="170" spans="1:25" s="1119" customFormat="1" ht="13.5" hidden="1" customHeight="1" outlineLevel="1">
      <c r="A170" s="1117"/>
      <c r="B170" s="1118" t="s">
        <v>147</v>
      </c>
      <c r="C170" s="1117">
        <f t="shared" ref="C170:L170" si="91">ROUND(C166-C145,5)</f>
        <v>4.1999999999999997E-3</v>
      </c>
      <c r="D170" s="1117">
        <f t="shared" si="91"/>
        <v>-4.0000000000000003E-5</v>
      </c>
      <c r="E170" s="1117">
        <f t="shared" si="91"/>
        <v>3.0000000000000001E-5</v>
      </c>
      <c r="F170" s="1117">
        <f t="shared" si="91"/>
        <v>3.0000000000000001E-5</v>
      </c>
      <c r="G170" s="1117">
        <f t="shared" si="91"/>
        <v>0</v>
      </c>
      <c r="H170" s="1117">
        <f t="shared" si="91"/>
        <v>0</v>
      </c>
      <c r="I170" s="1117">
        <f t="shared" si="91"/>
        <v>0</v>
      </c>
      <c r="J170" s="1117">
        <f>ROUND(J166-J145,5)</f>
        <v>0</v>
      </c>
      <c r="K170" s="1117">
        <f t="shared" si="91"/>
        <v>0</v>
      </c>
      <c r="L170" s="1117">
        <f t="shared" si="91"/>
        <v>0</v>
      </c>
      <c r="M170" s="1117">
        <f>ROUND(M166-M145,5)</f>
        <v>0</v>
      </c>
      <c r="N170" s="1117"/>
      <c r="O170" s="1117">
        <f t="shared" ref="O170:Y170" si="92">ROUND(O166-O145,5)</f>
        <v>-4.8999999999999998E-3</v>
      </c>
      <c r="P170" s="1117">
        <f t="shared" si="92"/>
        <v>3.0000000000000001E-5</v>
      </c>
      <c r="Q170" s="1117">
        <f t="shared" si="92"/>
        <v>0</v>
      </c>
      <c r="R170" s="1117">
        <f t="shared" si="92"/>
        <v>0</v>
      </c>
      <c r="S170" s="1117">
        <f t="shared" si="92"/>
        <v>0</v>
      </c>
      <c r="T170" s="1117">
        <f t="shared" si="92"/>
        <v>0</v>
      </c>
      <c r="U170" s="1117">
        <f t="shared" si="92"/>
        <v>2.7567900000000001</v>
      </c>
      <c r="V170" s="1117">
        <f t="shared" si="92"/>
        <v>0</v>
      </c>
      <c r="W170" s="1117">
        <f t="shared" si="92"/>
        <v>0</v>
      </c>
      <c r="X170" s="1117">
        <f t="shared" si="92"/>
        <v>0</v>
      </c>
      <c r="Y170" s="1117">
        <f t="shared" si="92"/>
        <v>0</v>
      </c>
    </row>
    <row r="171" spans="1:25" ht="13.5" hidden="1" customHeight="1" outlineLevel="1">
      <c r="A171" s="73"/>
      <c r="B171" s="105"/>
      <c r="C171" s="386"/>
      <c r="D171" s="386"/>
      <c r="E171" s="386"/>
      <c r="F171" s="386"/>
      <c r="G171" s="386"/>
      <c r="H171" s="654"/>
      <c r="I171" s="654"/>
      <c r="J171" s="654"/>
      <c r="K171" s="654"/>
      <c r="L171" s="654"/>
      <c r="M171" s="654"/>
      <c r="N171" s="654"/>
      <c r="O171" s="386"/>
      <c r="P171" s="386"/>
      <c r="Q171" s="386"/>
      <c r="R171" s="386"/>
    </row>
    <row r="172" spans="1:25" ht="15.75" hidden="1" outlineLevel="1">
      <c r="A172" s="73"/>
      <c r="B172" s="1143" t="s">
        <v>146</v>
      </c>
      <c r="C172" s="883"/>
      <c r="D172" s="883"/>
      <c r="E172" s="883"/>
      <c r="F172" s="883"/>
      <c r="G172" s="883"/>
      <c r="H172" s="883"/>
      <c r="I172" s="883"/>
      <c r="J172" s="883"/>
      <c r="K172" s="883"/>
      <c r="L172" s="883"/>
      <c r="M172" s="883"/>
      <c r="N172" s="883"/>
      <c r="O172" s="883"/>
      <c r="P172" s="883"/>
      <c r="Q172" s="883"/>
      <c r="R172" s="883"/>
      <c r="S172" s="883"/>
      <c r="T172" s="883"/>
      <c r="U172" s="883"/>
      <c r="V172" s="883"/>
      <c r="W172" s="883"/>
      <c r="X172" s="883"/>
      <c r="Y172" s="883"/>
    </row>
    <row r="173" spans="1:25" ht="13.5" hidden="1" customHeight="1" outlineLevel="2">
      <c r="A173" s="73"/>
      <c r="B173" s="71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</row>
    <row r="174" spans="1:25" ht="13.5" hidden="1" customHeight="1" outlineLevel="2">
      <c r="A174" s="78"/>
      <c r="B174" s="104" t="s">
        <v>145</v>
      </c>
      <c r="C174" s="70">
        <f t="shared" ref="C174:I174" si="93">IF(ISERROR(C131/C13*365)," ",C131/C13*365)</f>
        <v>4.8290046063594447</v>
      </c>
      <c r="D174" s="70">
        <f t="shared" si="93"/>
        <v>8.2781520451101471</v>
      </c>
      <c r="E174" s="70">
        <f t="shared" si="93"/>
        <v>3.7319553494276079</v>
      </c>
      <c r="F174" s="70">
        <f t="shared" si="93"/>
        <v>2.0517670733439575</v>
      </c>
      <c r="G174" s="70">
        <f t="shared" si="93"/>
        <v>2.2522680317370551</v>
      </c>
      <c r="H174" s="70">
        <f t="shared" si="93"/>
        <v>1.7497566799123176</v>
      </c>
      <c r="I174" s="70">
        <f t="shared" si="93"/>
        <v>2.8723068874886244</v>
      </c>
      <c r="J174" s="70">
        <f>IF(ISERROR(J131/J13*365)," ",J131/J13*365)</f>
        <v>2.5289312570755356</v>
      </c>
      <c r="K174" s="1141">
        <f t="shared" ref="K174:L176" si="94">J174</f>
        <v>2.5289312570755356</v>
      </c>
      <c r="L174" s="1141">
        <f t="shared" si="94"/>
        <v>2.5289312570755356</v>
      </c>
      <c r="M174" s="1141">
        <f t="shared" ref="M174:M176" si="95">L174</f>
        <v>2.5289312570755356</v>
      </c>
      <c r="N174" s="103"/>
      <c r="O174" s="70"/>
      <c r="P174" s="70"/>
      <c r="Q174" s="70"/>
      <c r="R174" s="70"/>
    </row>
    <row r="175" spans="1:25" ht="13.5" hidden="1" customHeight="1" outlineLevel="2">
      <c r="A175" s="78"/>
      <c r="B175" s="104" t="s">
        <v>60</v>
      </c>
      <c r="C175" s="70">
        <f t="shared" ref="C175:I175" si="96">-IF(ISERROR(C132/C18*365),"0",C132/C18*365)</f>
        <v>33.210064275715219</v>
      </c>
      <c r="D175" s="70">
        <f t="shared" si="96"/>
        <v>26.604515504413868</v>
      </c>
      <c r="E175" s="70">
        <f t="shared" si="96"/>
        <v>34.880938496284507</v>
      </c>
      <c r="F175" s="70">
        <f t="shared" si="96"/>
        <v>37.591277881893973</v>
      </c>
      <c r="G175" s="70">
        <f t="shared" si="96"/>
        <v>31.975030972695468</v>
      </c>
      <c r="H175" s="70">
        <f t="shared" si="96"/>
        <v>29.332665298658565</v>
      </c>
      <c r="I175" s="70">
        <f t="shared" si="96"/>
        <v>32.369096626825552</v>
      </c>
      <c r="J175" s="70">
        <f>-IF(ISERROR(J132/J18*365),"0",J132/J18*365)</f>
        <v>44.59736114807378</v>
      </c>
      <c r="K175" s="1141">
        <f t="shared" si="94"/>
        <v>44.59736114807378</v>
      </c>
      <c r="L175" s="1141">
        <f t="shared" si="94"/>
        <v>44.59736114807378</v>
      </c>
      <c r="M175" s="1141">
        <f t="shared" si="95"/>
        <v>44.59736114807378</v>
      </c>
      <c r="N175" s="70"/>
      <c r="O175" s="70"/>
      <c r="P175" s="70"/>
      <c r="Q175" s="70"/>
      <c r="R175" s="70"/>
    </row>
    <row r="176" spans="1:25" ht="13.5" hidden="1" customHeight="1" outlineLevel="2">
      <c r="A176" s="78"/>
      <c r="B176" s="104" t="s">
        <v>144</v>
      </c>
      <c r="C176" s="70">
        <f t="shared" ref="C176:I176" si="97">-IF(ISERROR(C147/C18*365)," ",C147/C18*365)</f>
        <v>83.744134348074681</v>
      </c>
      <c r="D176" s="70">
        <f t="shared" si="97"/>
        <v>70.475389796693861</v>
      </c>
      <c r="E176" s="70">
        <f t="shared" si="97"/>
        <v>99.237406168918241</v>
      </c>
      <c r="F176" s="70">
        <f t="shared" si="97"/>
        <v>71.901309800134314</v>
      </c>
      <c r="G176" s="70">
        <f t="shared" si="97"/>
        <v>134.37307858136026</v>
      </c>
      <c r="H176" s="70">
        <f t="shared" si="97"/>
        <v>133.87903904962113</v>
      </c>
      <c r="I176" s="70">
        <f t="shared" si="97"/>
        <v>128.12066823302024</v>
      </c>
      <c r="J176" s="70">
        <f>-IF(ISERROR(J147/J18*365)," ",J147/J18*365)</f>
        <v>131.46806429936365</v>
      </c>
      <c r="K176" s="1141">
        <f t="shared" si="94"/>
        <v>131.46806429936365</v>
      </c>
      <c r="L176" s="1141">
        <f t="shared" si="94"/>
        <v>131.46806429936365</v>
      </c>
      <c r="M176" s="1141">
        <f t="shared" si="95"/>
        <v>131.46806429936365</v>
      </c>
      <c r="N176" s="103"/>
      <c r="O176" s="70"/>
      <c r="P176" s="70"/>
      <c r="Q176" s="70"/>
      <c r="R176" s="70"/>
    </row>
    <row r="177" spans="1:25" ht="13.5" hidden="1" customHeight="1" outlineLevel="2">
      <c r="A177" s="73"/>
      <c r="B177" s="79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</row>
    <row r="178" spans="1:25" ht="13.5" hidden="1" customHeight="1" outlineLevel="2">
      <c r="A178" s="73"/>
      <c r="B178" s="79" t="s">
        <v>143</v>
      </c>
      <c r="C178" s="70">
        <f t="shared" ref="C178:M178" si="98">IF(ISERROR(C163/C72)," ",C163/C72)</f>
        <v>5.7758568675047091</v>
      </c>
      <c r="D178" s="70">
        <f t="shared" si="98"/>
        <v>2.3888878417362633</v>
      </c>
      <c r="E178" s="70">
        <f t="shared" si="98"/>
        <v>3.4939762042307687</v>
      </c>
      <c r="F178" s="70">
        <f t="shared" si="98"/>
        <v>4.0881482362393156</v>
      </c>
      <c r="G178" s="70">
        <f t="shared" si="98"/>
        <v>8.1500376734812399</v>
      </c>
      <c r="H178" s="70">
        <f t="shared" si="98"/>
        <v>9.7387777054804392</v>
      </c>
      <c r="I178" s="70">
        <f t="shared" si="98"/>
        <v>12.16076876610777</v>
      </c>
      <c r="J178" s="70">
        <f t="shared" si="98"/>
        <v>14.783867591290985</v>
      </c>
      <c r="K178" s="70">
        <f t="shared" si="98"/>
        <v>17.491751039292218</v>
      </c>
      <c r="L178" s="70">
        <f t="shared" si="98"/>
        <v>20.848261404640748</v>
      </c>
      <c r="M178" s="70">
        <f t="shared" si="98"/>
        <v>24.856513064194502</v>
      </c>
      <c r="N178" s="70"/>
      <c r="O178" s="70"/>
      <c r="P178" s="70"/>
      <c r="Q178" s="70"/>
      <c r="R178" s="70"/>
    </row>
    <row r="179" spans="1:25" ht="13.5" hidden="1" customHeight="1" outlineLevel="2">
      <c r="A179" s="73"/>
      <c r="B179" s="79" t="s">
        <v>142</v>
      </c>
      <c r="C179" s="70">
        <f t="shared" ref="C179:M179" si="99">C134-C151</f>
        <v>-134.22990000000004</v>
      </c>
      <c r="D179" s="70">
        <f t="shared" si="99"/>
        <v>-274.28455897000015</v>
      </c>
      <c r="E179" s="70">
        <f t="shared" si="99"/>
        <v>-0.47141553999995267</v>
      </c>
      <c r="F179" s="70">
        <f t="shared" si="99"/>
        <v>-171.02591200999973</v>
      </c>
      <c r="G179" s="70">
        <f t="shared" si="99"/>
        <v>-563.56107908999911</v>
      </c>
      <c r="H179" s="70">
        <f t="shared" si="99"/>
        <v>540.49215494000055</v>
      </c>
      <c r="I179" s="70">
        <f t="shared" si="99"/>
        <v>721.22193050000078</v>
      </c>
      <c r="J179" s="70">
        <f t="shared" si="99"/>
        <v>-2139.4183074499961</v>
      </c>
      <c r="K179" s="70">
        <f t="shared" si="99"/>
        <v>-2899.396169636022</v>
      </c>
      <c r="L179" s="70">
        <f t="shared" si="99"/>
        <v>-3726.8546796513547</v>
      </c>
      <c r="M179" s="70">
        <f t="shared" si="99"/>
        <v>-4470.2958662976325</v>
      </c>
      <c r="N179" s="70"/>
      <c r="O179" s="70"/>
      <c r="P179" s="70"/>
      <c r="Q179" s="70"/>
      <c r="R179" s="70"/>
    </row>
    <row r="180" spans="1:25" ht="13.5" hidden="1" customHeight="1" outlineLevel="2">
      <c r="A180" s="73"/>
      <c r="B180" s="79" t="s">
        <v>141</v>
      </c>
      <c r="C180" s="70">
        <f t="shared" ref="C180:M180" si="100">+C153+C148-C130</f>
        <v>-33.570699999999988</v>
      </c>
      <c r="D180" s="70">
        <f t="shared" si="100"/>
        <v>-134.49718389</v>
      </c>
      <c r="E180" s="70">
        <f t="shared" si="100"/>
        <v>-698.22070113999996</v>
      </c>
      <c r="F180" s="70">
        <f t="shared" si="100"/>
        <v>-813.12705243000005</v>
      </c>
      <c r="G180" s="70">
        <f t="shared" si="100"/>
        <v>-369.77904220000005</v>
      </c>
      <c r="H180" s="70">
        <f t="shared" si="100"/>
        <v>1024.0391694200002</v>
      </c>
      <c r="I180" s="70">
        <f t="shared" si="100"/>
        <v>-2841.98637254</v>
      </c>
      <c r="J180" s="70">
        <f>+J153+J148-J130</f>
        <v>898.78779811999993</v>
      </c>
      <c r="K180" s="70">
        <f t="shared" si="100"/>
        <v>-832.05252754930734</v>
      </c>
      <c r="L180" s="70">
        <f t="shared" si="100"/>
        <v>-1249.2195431068003</v>
      </c>
      <c r="M180" s="70">
        <f t="shared" si="100"/>
        <v>-1776.2152100069097</v>
      </c>
      <c r="N180" s="70"/>
      <c r="O180" s="70"/>
      <c r="P180" s="70"/>
      <c r="Q180" s="70"/>
      <c r="R180" s="70"/>
    </row>
    <row r="181" spans="1:25" ht="13.5" hidden="1" customHeight="1" outlineLevel="2">
      <c r="A181" s="73"/>
      <c r="B181" s="79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</row>
    <row r="182" spans="1:25" ht="13.5" hidden="1" customHeight="1" outlineLevel="2">
      <c r="A182" s="73"/>
      <c r="B182" s="102" t="s">
        <v>140</v>
      </c>
      <c r="C182" s="97"/>
      <c r="D182" s="97"/>
      <c r="E182" s="97"/>
      <c r="F182" s="97"/>
      <c r="G182" s="97"/>
      <c r="H182" s="97"/>
      <c r="I182" s="97"/>
      <c r="J182" s="97"/>
      <c r="K182" s="414" t="e">
        <f>J182/J181</f>
        <v>#DIV/0!</v>
      </c>
      <c r="L182" s="97"/>
      <c r="M182" s="97"/>
      <c r="N182" s="97"/>
      <c r="O182" s="97"/>
      <c r="P182" s="97"/>
      <c r="Q182" s="97"/>
      <c r="R182" s="97"/>
    </row>
    <row r="183" spans="1:25" ht="13.5" hidden="1" customHeight="1" outlineLevel="2">
      <c r="A183" s="73"/>
      <c r="B183" s="98" t="s">
        <v>16</v>
      </c>
      <c r="C183" s="70">
        <f t="shared" ref="C183:M183" si="101">C57</f>
        <v>296.16580000000005</v>
      </c>
      <c r="D183" s="70">
        <f t="shared" si="101"/>
        <v>215.83094046000005</v>
      </c>
      <c r="E183" s="70">
        <f t="shared" si="101"/>
        <v>570.57390981999993</v>
      </c>
      <c r="F183" s="70">
        <f t="shared" si="101"/>
        <v>812.06351582000036</v>
      </c>
      <c r="G183" s="70">
        <f t="shared" si="101"/>
        <v>1192.9604075899997</v>
      </c>
      <c r="H183" s="70">
        <f t="shared" si="101"/>
        <v>1440.5205713599994</v>
      </c>
      <c r="I183" s="70">
        <f t="shared" si="101"/>
        <v>2039.772803920001</v>
      </c>
      <c r="J183" s="70">
        <f t="shared" si="101"/>
        <v>3326.7088524400024</v>
      </c>
      <c r="K183" s="70">
        <f t="shared" si="101"/>
        <v>4562.8477603054725</v>
      </c>
      <c r="L183" s="70">
        <f t="shared" si="101"/>
        <v>5655.7994821665097</v>
      </c>
      <c r="M183" s="70">
        <f t="shared" si="101"/>
        <v>6753.9990028135153</v>
      </c>
      <c r="N183" s="70"/>
      <c r="O183" s="70"/>
      <c r="P183" s="70"/>
      <c r="Q183" s="70">
        <f>Q57</f>
        <v>667.23320934000026</v>
      </c>
      <c r="R183" s="70"/>
      <c r="W183" s="70">
        <f>W57</f>
        <v>1521.8423841200001</v>
      </c>
      <c r="X183" s="70"/>
      <c r="Y183" s="70"/>
    </row>
    <row r="184" spans="1:25" s="74" customFormat="1" ht="13.5" hidden="1" customHeight="1" outlineLevel="2">
      <c r="A184" s="73"/>
      <c r="B184" s="98" t="s">
        <v>139</v>
      </c>
      <c r="C184" s="101">
        <f t="shared" ref="C184:I184" si="102">IF(ISERROR(-C68/C57),"0 ",-C68/C57)</f>
        <v>0</v>
      </c>
      <c r="D184" s="101">
        <f t="shared" si="102"/>
        <v>0</v>
      </c>
      <c r="E184" s="101">
        <f t="shared" si="102"/>
        <v>0</v>
      </c>
      <c r="F184" s="101">
        <f t="shared" si="102"/>
        <v>0</v>
      </c>
      <c r="G184" s="101">
        <f t="shared" si="102"/>
        <v>1.0059260913983576</v>
      </c>
      <c r="H184" s="101">
        <f t="shared" si="102"/>
        <v>0.55536867428744796</v>
      </c>
      <c r="I184" s="101">
        <f t="shared" si="102"/>
        <v>0.49026293422393358</v>
      </c>
      <c r="J184" s="101">
        <f>IF(ISERROR(-J68/J57),"0 ",-J68/J57)</f>
        <v>0.69139128250222548</v>
      </c>
      <c r="K184" s="1140">
        <f>+J184</f>
        <v>0.69139128250222548</v>
      </c>
      <c r="L184" s="1140">
        <f>+K184</f>
        <v>0.69139128250222548</v>
      </c>
      <c r="M184" s="1140">
        <f>+L184</f>
        <v>0.69139128250222548</v>
      </c>
      <c r="N184" s="100"/>
      <c r="O184" s="101"/>
      <c r="P184" s="101"/>
      <c r="Q184" s="101">
        <f>-G65/Q57</f>
        <v>0.89925829770000543</v>
      </c>
      <c r="R184" s="101"/>
      <c r="W184" s="101">
        <f>-J65/W57</f>
        <v>0.65711469889062191</v>
      </c>
    </row>
    <row r="185" spans="1:25" s="74" customFormat="1" ht="13.5" hidden="1" customHeight="1" outlineLevel="2">
      <c r="A185" s="73"/>
      <c r="B185" s="98" t="s">
        <v>138</v>
      </c>
      <c r="C185" s="99">
        <v>0</v>
      </c>
      <c r="D185" s="99">
        <v>0</v>
      </c>
      <c r="E185" s="99">
        <v>0</v>
      </c>
      <c r="F185" s="99">
        <v>0</v>
      </c>
      <c r="G185" s="99">
        <v>0</v>
      </c>
      <c r="H185" s="99">
        <v>0</v>
      </c>
      <c r="I185" s="99">
        <v>0</v>
      </c>
      <c r="J185" s="99">
        <v>0</v>
      </c>
      <c r="K185" s="1140">
        <v>0</v>
      </c>
      <c r="L185" s="1140">
        <v>0</v>
      </c>
      <c r="M185" s="1140">
        <v>0</v>
      </c>
      <c r="N185" s="99"/>
      <c r="O185" s="99"/>
      <c r="P185" s="99"/>
      <c r="Q185" s="99"/>
      <c r="R185" s="99"/>
    </row>
    <row r="186" spans="1:25" ht="13.5" hidden="1" customHeight="1" outlineLevel="2">
      <c r="A186" s="73"/>
      <c r="B186" s="98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</row>
    <row r="187" spans="1:25" ht="13.5" hidden="1" customHeight="1" outlineLevel="2">
      <c r="A187" s="73"/>
      <c r="B187" s="738" t="s">
        <v>137</v>
      </c>
      <c r="C187" s="737">
        <v>0</v>
      </c>
      <c r="D187" s="737">
        <v>0</v>
      </c>
      <c r="E187" s="737">
        <v>0</v>
      </c>
      <c r="F187" s="737">
        <v>0</v>
      </c>
      <c r="G187" s="737">
        <v>0</v>
      </c>
      <c r="H187" s="737">
        <v>0</v>
      </c>
      <c r="I187" s="737">
        <v>0</v>
      </c>
      <c r="J187" s="737">
        <v>0</v>
      </c>
      <c r="K187" s="737">
        <v>0</v>
      </c>
      <c r="L187" s="737">
        <v>0</v>
      </c>
      <c r="M187" s="737">
        <v>0</v>
      </c>
      <c r="N187" s="737"/>
      <c r="O187" s="737"/>
      <c r="P187" s="737"/>
      <c r="Q187" s="737"/>
      <c r="R187" s="737"/>
    </row>
    <row r="188" spans="1:25" ht="13.5" hidden="1" customHeight="1" outlineLevel="2">
      <c r="A188" s="73"/>
      <c r="B188" s="739" t="s">
        <v>899</v>
      </c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</row>
    <row r="189" spans="1:25" ht="13.5" hidden="1" customHeight="1" outlineLevel="2">
      <c r="A189" s="73"/>
      <c r="B189" s="79" t="s">
        <v>1350</v>
      </c>
      <c r="C189" s="70"/>
      <c r="D189" s="70"/>
      <c r="E189" s="70"/>
      <c r="F189" s="70">
        <f>'Raw Data'!F181</f>
        <v>950.34291589999998</v>
      </c>
      <c r="G189" s="70">
        <f>'Raw Data'!G181</f>
        <v>1241.3694575100001</v>
      </c>
      <c r="H189" s="70">
        <f>'Raw Data'!H181</f>
        <v>1627.1675837499999</v>
      </c>
      <c r="I189" s="70">
        <f>'Raw Data'!I181</f>
        <v>2607.2214336500001</v>
      </c>
      <c r="J189" s="70">
        <f>'Raw Data'!J181</f>
        <v>4760.5512853800001</v>
      </c>
      <c r="K189" s="70"/>
      <c r="L189" s="70"/>
      <c r="M189" s="70"/>
      <c r="N189" s="70"/>
      <c r="O189" s="70"/>
      <c r="P189" s="70"/>
      <c r="Q189" s="70"/>
      <c r="R189" s="70"/>
    </row>
    <row r="190" spans="1:25" ht="13.5" hidden="1" customHeight="1" outlineLevel="1">
      <c r="A190" s="73"/>
      <c r="B190" s="79" t="s">
        <v>59</v>
      </c>
      <c r="C190" s="70"/>
      <c r="D190" s="70"/>
      <c r="E190" s="70"/>
      <c r="F190" s="1326">
        <f>F189/F13</f>
        <v>0.1916592546125159</v>
      </c>
      <c r="G190" s="1326">
        <f>G189/G13</f>
        <v>0.17790212663943739</v>
      </c>
      <c r="H190" s="1326">
        <f>H189/H13</f>
        <v>0.19131017334985131</v>
      </c>
      <c r="I190" s="1326">
        <f>I189/I13</f>
        <v>0.23148975417371731</v>
      </c>
      <c r="J190" s="1326">
        <f>J189/J13</f>
        <v>0.30056164026252979</v>
      </c>
      <c r="K190" s="70"/>
      <c r="L190" s="70"/>
      <c r="M190" s="70"/>
      <c r="N190" s="70"/>
      <c r="O190" s="70"/>
      <c r="P190" s="70"/>
      <c r="Q190" s="70"/>
      <c r="R190" s="70"/>
    </row>
    <row r="191" spans="1:25" ht="13.5" customHeight="1" collapsed="1">
      <c r="A191" s="73"/>
      <c r="B191" s="96"/>
      <c r="C191" s="70"/>
      <c r="D191" s="70"/>
      <c r="E191" s="70"/>
      <c r="F191" s="70"/>
      <c r="G191" s="70"/>
      <c r="H191" s="70"/>
      <c r="I191" s="1284"/>
      <c r="J191" s="1284"/>
      <c r="K191" s="70"/>
      <c r="L191" s="70"/>
      <c r="M191" s="70"/>
      <c r="N191" s="70"/>
      <c r="O191" s="70"/>
      <c r="P191" s="70"/>
      <c r="Q191" s="70"/>
      <c r="R191" s="70"/>
    </row>
    <row r="192" spans="1:25" s="67" customFormat="1" ht="15.75" customHeight="1">
      <c r="A192" s="72"/>
      <c r="B192" s="881" t="s">
        <v>135</v>
      </c>
      <c r="C192" s="882" t="str">
        <f t="shared" ref="C192:L192" si="103">C4</f>
        <v>2017</v>
      </c>
      <c r="D192" s="882" t="str">
        <f t="shared" si="103"/>
        <v>2018</v>
      </c>
      <c r="E192" s="882" t="str">
        <f t="shared" si="103"/>
        <v>2019</v>
      </c>
      <c r="F192" s="882" t="str">
        <f t="shared" si="103"/>
        <v>2020</v>
      </c>
      <c r="G192" s="882">
        <f t="shared" si="103"/>
        <v>2021</v>
      </c>
      <c r="H192" s="882">
        <f t="shared" si="103"/>
        <v>2022</v>
      </c>
      <c r="I192" s="882">
        <f t="shared" si="103"/>
        <v>2023</v>
      </c>
      <c r="J192" s="882">
        <f>J4</f>
        <v>2024</v>
      </c>
      <c r="K192" s="882" t="str">
        <f t="shared" si="103"/>
        <v>2025E</v>
      </c>
      <c r="L192" s="882" t="str">
        <f t="shared" si="103"/>
        <v>2026E</v>
      </c>
      <c r="M192" s="882" t="str">
        <f>M4</f>
        <v>2027E</v>
      </c>
      <c r="N192" s="882"/>
      <c r="O192" s="884"/>
      <c r="P192" s="884"/>
      <c r="Q192" s="884"/>
      <c r="R192" s="884"/>
      <c r="S192" s="884"/>
      <c r="T192" s="884"/>
      <c r="U192" s="884"/>
      <c r="V192" s="884"/>
      <c r="W192" s="884"/>
      <c r="X192" s="884"/>
      <c r="Y192" s="884"/>
    </row>
    <row r="193" spans="1:18" ht="13.5" customHeight="1">
      <c r="A193" s="73"/>
      <c r="B193" s="79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</row>
    <row r="194" spans="1:18" ht="13.5" customHeight="1">
      <c r="A194" s="83"/>
      <c r="B194" s="89" t="s">
        <v>134</v>
      </c>
      <c r="C194" s="89">
        <f t="shared" ref="C194:M194" si="104">+C57-C55</f>
        <v>296.16580000000005</v>
      </c>
      <c r="D194" s="89">
        <f t="shared" si="104"/>
        <v>215.83094046000005</v>
      </c>
      <c r="E194" s="89">
        <f t="shared" si="104"/>
        <v>570.57390981999993</v>
      </c>
      <c r="F194" s="89">
        <f t="shared" si="104"/>
        <v>812.06351582000036</v>
      </c>
      <c r="G194" s="89">
        <f t="shared" si="104"/>
        <v>1192.9604075899997</v>
      </c>
      <c r="H194" s="89">
        <f t="shared" si="104"/>
        <v>1440.5205713599994</v>
      </c>
      <c r="I194" s="89">
        <f t="shared" si="104"/>
        <v>2039.772803920001</v>
      </c>
      <c r="J194" s="89">
        <f t="shared" si="104"/>
        <v>3326.7088524400024</v>
      </c>
      <c r="K194" s="89">
        <f t="shared" si="104"/>
        <v>4562.8477603054725</v>
      </c>
      <c r="L194" s="89">
        <f t="shared" si="104"/>
        <v>5655.7994821665097</v>
      </c>
      <c r="M194" s="89">
        <f t="shared" si="104"/>
        <v>6753.9990028135153</v>
      </c>
      <c r="N194" s="89"/>
      <c r="O194" s="89"/>
      <c r="P194" s="89"/>
      <c r="Q194" s="89"/>
      <c r="R194" s="89"/>
    </row>
    <row r="195" spans="1:18" ht="13.5" customHeight="1">
      <c r="A195" s="83"/>
      <c r="B195" s="70" t="s">
        <v>133</v>
      </c>
      <c r="C195" s="70">
        <f t="shared" ref="C195:M195" si="105">-C54</f>
        <v>0</v>
      </c>
      <c r="D195" s="70">
        <f t="shared" si="105"/>
        <v>0</v>
      </c>
      <c r="E195" s="70">
        <f t="shared" si="105"/>
        <v>0</v>
      </c>
      <c r="F195" s="70">
        <f t="shared" si="105"/>
        <v>0</v>
      </c>
      <c r="G195" s="70">
        <f t="shared" si="105"/>
        <v>0</v>
      </c>
      <c r="H195" s="70">
        <f t="shared" si="105"/>
        <v>0</v>
      </c>
      <c r="I195" s="70">
        <f t="shared" si="105"/>
        <v>0</v>
      </c>
      <c r="J195" s="70">
        <f t="shared" si="105"/>
        <v>-0.27984775000000001</v>
      </c>
      <c r="K195" s="70">
        <f t="shared" si="105"/>
        <v>-0.27984775000000001</v>
      </c>
      <c r="L195" s="70">
        <f t="shared" si="105"/>
        <v>-0.27984775000000001</v>
      </c>
      <c r="M195" s="70">
        <f t="shared" si="105"/>
        <v>-0.27984775000000001</v>
      </c>
      <c r="N195" s="70"/>
      <c r="O195" s="70"/>
      <c r="P195" s="70"/>
      <c r="Q195" s="70"/>
      <c r="R195" s="70"/>
    </row>
    <row r="196" spans="1:18" ht="13.5" customHeight="1">
      <c r="A196" s="78"/>
      <c r="B196" s="70" t="s">
        <v>132</v>
      </c>
      <c r="C196" s="70">
        <f t="shared" ref="C196:M196" si="106">-C33-C34</f>
        <v>0</v>
      </c>
      <c r="D196" s="70">
        <f t="shared" si="106"/>
        <v>84.971488059999999</v>
      </c>
      <c r="E196" s="70">
        <f t="shared" si="106"/>
        <v>109.72446508000002</v>
      </c>
      <c r="F196" s="70">
        <f t="shared" si="106"/>
        <v>134.44274942000001</v>
      </c>
      <c r="G196" s="70">
        <f t="shared" si="106"/>
        <v>185.11280393000001</v>
      </c>
      <c r="H196" s="70">
        <f t="shared" si="106"/>
        <v>223.94137139</v>
      </c>
      <c r="I196" s="70">
        <f t="shared" si="106"/>
        <v>254.03912602</v>
      </c>
      <c r="J196" s="70">
        <f t="shared" si="106"/>
        <v>343.05168647999994</v>
      </c>
      <c r="K196" s="70">
        <f t="shared" si="106"/>
        <v>416.21586006555287</v>
      </c>
      <c r="L196" s="70">
        <f t="shared" si="106"/>
        <v>505.97599968019</v>
      </c>
      <c r="M196" s="70">
        <f t="shared" si="106"/>
        <v>734.11279827510248</v>
      </c>
      <c r="N196" s="70"/>
      <c r="O196" s="70"/>
      <c r="P196" s="70"/>
      <c r="Q196" s="70"/>
      <c r="R196" s="70"/>
    </row>
    <row r="197" spans="1:18" ht="13.5" customHeight="1">
      <c r="A197" s="78"/>
      <c r="B197" s="70" t="s">
        <v>131</v>
      </c>
      <c r="C197" s="70">
        <f t="shared" ref="C197:M197" si="107">-C44</f>
        <v>0</v>
      </c>
      <c r="D197" s="70">
        <f t="shared" si="107"/>
        <v>0</v>
      </c>
      <c r="E197" s="70">
        <f t="shared" si="107"/>
        <v>0</v>
      </c>
      <c r="F197" s="70">
        <f t="shared" si="107"/>
        <v>0</v>
      </c>
      <c r="G197" s="70">
        <f t="shared" si="107"/>
        <v>0</v>
      </c>
      <c r="H197" s="70">
        <f t="shared" si="107"/>
        <v>0</v>
      </c>
      <c r="I197" s="70">
        <f t="shared" si="107"/>
        <v>0</v>
      </c>
      <c r="J197" s="70">
        <f t="shared" si="107"/>
        <v>0</v>
      </c>
      <c r="K197" s="70">
        <f t="shared" si="107"/>
        <v>0</v>
      </c>
      <c r="L197" s="70">
        <f t="shared" si="107"/>
        <v>0</v>
      </c>
      <c r="M197" s="70">
        <f t="shared" si="107"/>
        <v>0</v>
      </c>
      <c r="N197" s="70"/>
      <c r="O197" s="70"/>
      <c r="P197" s="70"/>
      <c r="Q197" s="70"/>
      <c r="R197" s="70"/>
    </row>
    <row r="198" spans="1:18" ht="13.5" customHeight="1">
      <c r="A198" s="78"/>
      <c r="B198" s="70" t="s">
        <v>130</v>
      </c>
      <c r="C198" s="77">
        <f>'Raw Data'!C239</f>
        <v>0</v>
      </c>
      <c r="D198" s="77">
        <f>'Raw Data'!D239</f>
        <v>-13.060715949999999</v>
      </c>
      <c r="E198" s="77">
        <f>'Raw Data'!E239</f>
        <v>-7.1893000999999996</v>
      </c>
      <c r="F198" s="77">
        <f>'Raw Data'!F239</f>
        <v>-9.8371245799999993</v>
      </c>
      <c r="G198" s="77">
        <f>'Raw Data'!G239</f>
        <v>-15.797479169999999</v>
      </c>
      <c r="H198" s="77">
        <f>'Raw Data'!H239</f>
        <v>-67.181008349999999</v>
      </c>
      <c r="I198" s="77">
        <f>'Raw Data'!I239</f>
        <v>-141.14863718999999</v>
      </c>
      <c r="J198" s="77">
        <f>'Raw Data'!J239</f>
        <v>-94.500269180000004</v>
      </c>
      <c r="K198" s="70">
        <v>0</v>
      </c>
      <c r="L198" s="70">
        <v>0</v>
      </c>
      <c r="M198" s="70">
        <v>0</v>
      </c>
      <c r="N198" s="70"/>
      <c r="O198" s="77"/>
      <c r="P198" s="77"/>
      <c r="Q198" s="77"/>
      <c r="R198" s="77"/>
    </row>
    <row r="199" spans="1:18" ht="13.5" customHeight="1">
      <c r="A199" s="78"/>
      <c r="B199" s="89" t="s">
        <v>129</v>
      </c>
      <c r="C199" s="90">
        <f t="shared" ref="C199:I199" si="108">+C200+C201+C202</f>
        <v>0</v>
      </c>
      <c r="D199" s="90">
        <f t="shared" si="108"/>
        <v>-127.01673963999998</v>
      </c>
      <c r="E199" s="90">
        <f t="shared" si="108"/>
        <v>502.14020312999997</v>
      </c>
      <c r="F199" s="90">
        <f t="shared" si="108"/>
        <v>436.82209419000003</v>
      </c>
      <c r="G199" s="90">
        <f t="shared" si="108"/>
        <v>846.89247410999997</v>
      </c>
      <c r="H199" s="90">
        <f t="shared" si="108"/>
        <v>521.07324502000006</v>
      </c>
      <c r="I199" s="90">
        <f t="shared" si="108"/>
        <v>1114.53539905</v>
      </c>
      <c r="J199" s="90">
        <f>+J200+J201+J202</f>
        <v>2455.2016369199996</v>
      </c>
      <c r="K199" s="70">
        <f>K200+K201+K202</f>
        <v>636.13752299532587</v>
      </c>
      <c r="L199" s="70">
        <f>L200+L201+L202</f>
        <v>488.96823288230655</v>
      </c>
      <c r="M199" s="70">
        <f>M200+M201+M202</f>
        <v>511.15127852292426</v>
      </c>
      <c r="N199" s="70"/>
      <c r="O199" s="70"/>
      <c r="P199" s="70"/>
      <c r="Q199" s="70"/>
      <c r="R199" s="70"/>
    </row>
    <row r="200" spans="1:18" ht="13.5" customHeight="1">
      <c r="A200" s="78"/>
      <c r="B200" s="95" t="s">
        <v>128</v>
      </c>
      <c r="C200" s="77">
        <f>'Raw Data'!C268</f>
        <v>0</v>
      </c>
      <c r="D200" s="77">
        <f>'Raw Data'!D268</f>
        <v>29.155433629999997</v>
      </c>
      <c r="E200" s="77">
        <f>'Raw Data'!E268</f>
        <v>-51.529387659999998</v>
      </c>
      <c r="F200" s="77">
        <f>'Raw Data'!F268</f>
        <v>-5.7621598600000006</v>
      </c>
      <c r="G200" s="77">
        <f>'Raw Data'!G268</f>
        <v>106.76323897</v>
      </c>
      <c r="H200" s="77">
        <f>'Raw Data'!H268</f>
        <v>-55.926652149999995</v>
      </c>
      <c r="I200" s="77">
        <f>'Raw Data'!I268</f>
        <v>-88.376155760000003</v>
      </c>
      <c r="J200" s="77">
        <f>'Raw Data'!J268</f>
        <v>-91.608529110000006</v>
      </c>
      <c r="K200" s="94">
        <f t="shared" ref="K200:M201" si="109">J131-K131</f>
        <v>-35.703373024019669</v>
      </c>
      <c r="L200" s="94">
        <f t="shared" si="109"/>
        <v>-30.566104043857052</v>
      </c>
      <c r="M200" s="94">
        <f t="shared" si="109"/>
        <v>-30.405916460319503</v>
      </c>
      <c r="N200" s="70"/>
      <c r="O200" s="77"/>
      <c r="P200" s="77"/>
      <c r="Q200" s="77"/>
      <c r="R200" s="77"/>
    </row>
    <row r="201" spans="1:18" ht="13.5" customHeight="1">
      <c r="A201" s="78"/>
      <c r="B201" s="93" t="s">
        <v>61</v>
      </c>
      <c r="C201" s="77">
        <f>'Raw Data'!C260</f>
        <v>0</v>
      </c>
      <c r="D201" s="77">
        <f>'Raw Data'!D260</f>
        <v>14.281262369999999</v>
      </c>
      <c r="E201" s="77">
        <f>'Raw Data'!E260</f>
        <v>-95.428729260000011</v>
      </c>
      <c r="F201" s="77">
        <f>'Raw Data'!F260</f>
        <v>-58.473150049999994</v>
      </c>
      <c r="G201" s="77">
        <f>'Raw Data'!G260</f>
        <v>-67.33474815999999</v>
      </c>
      <c r="H201" s="77">
        <f>'Raw Data'!H260</f>
        <v>-54.183837880000006</v>
      </c>
      <c r="I201" s="77">
        <f>'Raw Data'!I260</f>
        <v>-176.07688181999998</v>
      </c>
      <c r="J201" s="77">
        <f>'Raw Data'!J260</f>
        <v>-499.48250118999999</v>
      </c>
      <c r="K201" s="70">
        <f t="shared" si="109"/>
        <v>-344.9072010115915</v>
      </c>
      <c r="L201" s="70">
        <f t="shared" si="109"/>
        <v>-266.71662151012697</v>
      </c>
      <c r="M201" s="70">
        <f t="shared" si="109"/>
        <v>-278.02263514482547</v>
      </c>
      <c r="N201" s="70"/>
      <c r="O201" s="77"/>
      <c r="P201" s="77"/>
      <c r="Q201" s="77"/>
      <c r="R201" s="77"/>
    </row>
    <row r="202" spans="1:18" ht="13.5" customHeight="1">
      <c r="A202" s="78"/>
      <c r="B202" s="92" t="s">
        <v>127</v>
      </c>
      <c r="C202" s="77">
        <f>'Raw Data'!C274</f>
        <v>0</v>
      </c>
      <c r="D202" s="77">
        <f>'Raw Data'!D274</f>
        <v>-170.45343563999998</v>
      </c>
      <c r="E202" s="77">
        <f>'Raw Data'!E274</f>
        <v>649.09832004999998</v>
      </c>
      <c r="F202" s="77">
        <f>'Raw Data'!F274</f>
        <v>501.05740410000004</v>
      </c>
      <c r="G202" s="77">
        <f>'Raw Data'!G274</f>
        <v>807.4639833</v>
      </c>
      <c r="H202" s="77">
        <f>'Raw Data'!H274</f>
        <v>631.18373505</v>
      </c>
      <c r="I202" s="77">
        <f>'Raw Data'!I274</f>
        <v>1378.98843663</v>
      </c>
      <c r="J202" s="77">
        <f>'Raw Data'!J274</f>
        <v>3046.2926672199997</v>
      </c>
      <c r="K202" s="70">
        <f>K147-J147</f>
        <v>1016.7480970309371</v>
      </c>
      <c r="L202" s="70">
        <f>L147-K147</f>
        <v>786.2509584362906</v>
      </c>
      <c r="M202" s="70">
        <f>M147-L147</f>
        <v>819.57983012806926</v>
      </c>
      <c r="N202" s="70"/>
      <c r="O202" s="77"/>
      <c r="P202" s="77"/>
      <c r="Q202" s="77"/>
      <c r="R202" s="77"/>
    </row>
    <row r="203" spans="1:18" ht="13.5" customHeight="1">
      <c r="A203" s="78"/>
      <c r="B203" s="70" t="s">
        <v>126</v>
      </c>
      <c r="C203" s="90">
        <f t="shared" ref="C203:I203" si="110">C204-SUM(C194:C199)</f>
        <v>-106.45770000000005</v>
      </c>
      <c r="D203" s="90">
        <f t="shared" si="110"/>
        <v>34.214702359999905</v>
      </c>
      <c r="E203" s="90">
        <f t="shared" si="110"/>
        <v>35.732157209999968</v>
      </c>
      <c r="F203" s="90">
        <f t="shared" si="110"/>
        <v>-33.128081880000309</v>
      </c>
      <c r="G203" s="90">
        <f t="shared" si="110"/>
        <v>-132.32416878999948</v>
      </c>
      <c r="H203" s="90">
        <f t="shared" si="110"/>
        <v>-92.249038689999679</v>
      </c>
      <c r="I203" s="90">
        <f t="shared" si="110"/>
        <v>14.07096084999921</v>
      </c>
      <c r="J203" s="90">
        <f>J204-SUM(J194:J199)</f>
        <v>-240.77355037000234</v>
      </c>
      <c r="K203" s="70">
        <f>+J133-K133+K154-J154</f>
        <v>0</v>
      </c>
      <c r="L203" s="70">
        <f>+K133-L133+L154-K154</f>
        <v>0</v>
      </c>
      <c r="M203" s="70">
        <f>+L133-M133+M154-L154</f>
        <v>0</v>
      </c>
      <c r="N203" s="70"/>
      <c r="O203" s="70"/>
      <c r="P203" s="70"/>
      <c r="Q203" s="70"/>
      <c r="R203" s="70"/>
    </row>
    <row r="204" spans="1:18" ht="13.5" customHeight="1">
      <c r="A204" s="83"/>
      <c r="B204" s="82" t="s">
        <v>125</v>
      </c>
      <c r="C204" s="86">
        <f>'Raw Data'!C285</f>
        <v>189.7081</v>
      </c>
      <c r="D204" s="86">
        <f>'Raw Data'!D285</f>
        <v>194.93967529</v>
      </c>
      <c r="E204" s="86">
        <f>'Raw Data'!E285</f>
        <v>1210.98143514</v>
      </c>
      <c r="F204" s="86">
        <f>'Raw Data'!F285</f>
        <v>1340.3631529700001</v>
      </c>
      <c r="G204" s="86">
        <f>'Raw Data'!G285</f>
        <v>2076.84403767</v>
      </c>
      <c r="H204" s="86">
        <f>'Raw Data'!H285</f>
        <v>2026.1051407299999</v>
      </c>
      <c r="I204" s="86">
        <f>'Raw Data'!I285</f>
        <v>3281.2696526500004</v>
      </c>
      <c r="J204" s="86">
        <f>'Raw Data'!J285</f>
        <v>5789.4085085400002</v>
      </c>
      <c r="K204" s="82">
        <f>SUM(K194:K199)+K203</f>
        <v>5614.921295616351</v>
      </c>
      <c r="L204" s="82">
        <f>SUM(L194:L199)+L203</f>
        <v>6650.4638669790065</v>
      </c>
      <c r="M204" s="82">
        <f>SUM(M194:M199)+M203</f>
        <v>7998.9832318615418</v>
      </c>
      <c r="N204" s="89"/>
      <c r="O204" s="86"/>
      <c r="P204" s="86"/>
      <c r="Q204" s="86"/>
      <c r="R204" s="86"/>
    </row>
    <row r="205" spans="1:18" s="1850" customFormat="1" ht="13.5" customHeight="1">
      <c r="A205" s="1845"/>
      <c r="B205" s="1846" t="s">
        <v>1703</v>
      </c>
      <c r="C205" s="1847"/>
      <c r="D205" s="1848">
        <f>D204/D13</f>
        <v>6.4176910270162132E-2</v>
      </c>
      <c r="E205" s="1848">
        <f t="shared" ref="E205:M205" si="111">E204/E13</f>
        <v>0.28773094798219045</v>
      </c>
      <c r="F205" s="1848">
        <f t="shared" si="111"/>
        <v>0.27031611275286604</v>
      </c>
      <c r="G205" s="1848">
        <f t="shared" si="111"/>
        <v>0.29763497785827586</v>
      </c>
      <c r="H205" s="1848">
        <f t="shared" si="111"/>
        <v>0.23821426235936785</v>
      </c>
      <c r="I205" s="1848">
        <f t="shared" si="111"/>
        <v>0.29133708992498081</v>
      </c>
      <c r="J205" s="1848">
        <f>J204/J13</f>
        <v>0.36551945629081301</v>
      </c>
      <c r="K205" s="1848">
        <f t="shared" si="111"/>
        <v>0.2674802417166503</v>
      </c>
      <c r="L205" s="1848">
        <f t="shared" si="111"/>
        <v>0.26179312500687113</v>
      </c>
      <c r="M205" s="1848">
        <f t="shared" si="111"/>
        <v>0.26849445595719901</v>
      </c>
      <c r="N205" s="1849"/>
      <c r="O205" s="1847"/>
      <c r="P205" s="1847"/>
      <c r="Q205" s="1847"/>
      <c r="R205" s="1847"/>
    </row>
    <row r="206" spans="1:18" ht="13.5" customHeight="1">
      <c r="A206" s="78"/>
      <c r="B206" s="84" t="s">
        <v>41</v>
      </c>
      <c r="C206" s="399"/>
      <c r="D206" s="399"/>
      <c r="E206" s="399"/>
      <c r="F206" s="399"/>
      <c r="G206" s="399"/>
      <c r="H206" s="399"/>
      <c r="I206" s="399"/>
      <c r="J206" s="399"/>
      <c r="K206" s="70"/>
      <c r="L206" s="70"/>
      <c r="M206" s="70"/>
      <c r="N206" s="70"/>
      <c r="O206" s="399"/>
      <c r="P206" s="399"/>
      <c r="Q206" s="399"/>
      <c r="R206" s="399"/>
    </row>
    <row r="207" spans="1:18" ht="13.5" customHeight="1">
      <c r="A207" s="78"/>
      <c r="B207" s="70" t="s">
        <v>124</v>
      </c>
      <c r="C207" s="77">
        <f>'Raw Data'!C292</f>
        <v>-335.43150000000003</v>
      </c>
      <c r="D207" s="77">
        <f>'Raw Data'!D292</f>
        <v>-391.88838167</v>
      </c>
      <c r="E207" s="77">
        <f>'Raw Data'!E292</f>
        <v>-508.26795851999998</v>
      </c>
      <c r="F207" s="77">
        <f>'Raw Data'!F292</f>
        <v>-645.36882228000002</v>
      </c>
      <c r="G207" s="77">
        <f>'Raw Data'!G292</f>
        <v>-609.48399145000008</v>
      </c>
      <c r="H207" s="77">
        <f>'Raw Data'!H292</f>
        <v>-792.69247187999997</v>
      </c>
      <c r="I207" s="77">
        <f>'Raw Data'!I292</f>
        <v>-917.72362809000003</v>
      </c>
      <c r="J207" s="77">
        <f>'Raw Data'!J292</f>
        <v>-1687.4807100099999</v>
      </c>
      <c r="K207" s="1137">
        <f>-Capex!L3</f>
        <v>-2474.0484699470439</v>
      </c>
      <c r="L207" s="1137">
        <f>-Capex!M3</f>
        <v>-2968.5836865615061</v>
      </c>
      <c r="M207" s="1137">
        <f>-Capex!N3</f>
        <v>-3451.6171074109066</v>
      </c>
      <c r="N207" s="70"/>
      <c r="O207" s="77"/>
      <c r="P207" s="77"/>
      <c r="Q207" s="77"/>
      <c r="R207" s="77"/>
    </row>
    <row r="208" spans="1:18" ht="13.5" customHeight="1">
      <c r="A208" s="78"/>
      <c r="B208" s="70" t="s">
        <v>123</v>
      </c>
      <c r="C208" s="77">
        <f>'Raw Data'!C300</f>
        <v>0.27900000000000003</v>
      </c>
      <c r="D208" s="77">
        <f>'Raw Data'!D300</f>
        <v>0.33450456000000001</v>
      </c>
      <c r="E208" s="77">
        <f>'Raw Data'!E300</f>
        <v>6.822555000000001E-2</v>
      </c>
      <c r="F208" s="77">
        <f>'Raw Data'!F300</f>
        <v>0.84871743999999993</v>
      </c>
      <c r="G208" s="77">
        <f>'Raw Data'!G300</f>
        <v>3.20214607</v>
      </c>
      <c r="H208" s="77">
        <f>'Raw Data'!H300</f>
        <v>1.7920981999999999</v>
      </c>
      <c r="I208" s="77">
        <f>'Raw Data'!I300</f>
        <v>-3.4419806499999996</v>
      </c>
      <c r="J208" s="77">
        <f>'Raw Data'!J300</f>
        <v>3.2052460299999996</v>
      </c>
      <c r="K208" s="91">
        <v>0</v>
      </c>
      <c r="L208" s="91">
        <v>0</v>
      </c>
      <c r="M208" s="91">
        <v>0</v>
      </c>
      <c r="N208" s="91"/>
      <c r="O208" s="77"/>
      <c r="P208" s="77"/>
      <c r="Q208" s="77"/>
      <c r="R208" s="77"/>
    </row>
    <row r="209" spans="1:18" ht="13.5" customHeight="1">
      <c r="A209" s="78"/>
      <c r="B209" s="70" t="s">
        <v>122</v>
      </c>
      <c r="C209" s="77">
        <f>'Raw Data'!C313</f>
        <v>-221.78000000000065</v>
      </c>
      <c r="D209" s="77">
        <f>'Raw Data'!D313</f>
        <v>391.82999999999993</v>
      </c>
      <c r="E209" s="77">
        <f>'Raw Data'!E313</f>
        <v>-30</v>
      </c>
      <c r="F209" s="77">
        <f>'Raw Data'!F313</f>
        <v>-140</v>
      </c>
      <c r="G209" s="77">
        <f>'Raw Data'!G313</f>
        <v>-2977</v>
      </c>
      <c r="H209" s="77">
        <f>'Raw Data'!H313</f>
        <v>-2609.5606804999998</v>
      </c>
      <c r="I209" s="77">
        <f>'Raw Data'!I313</f>
        <v>-46.452368530000712</v>
      </c>
      <c r="J209" s="77">
        <f>'Raw Data'!J313</f>
        <v>-5383.1044376099962</v>
      </c>
      <c r="K209" s="91">
        <f>-K45</f>
        <v>-110</v>
      </c>
      <c r="L209" s="91">
        <f>-L45</f>
        <v>-110</v>
      </c>
      <c r="M209" s="91">
        <f>-M45</f>
        <v>-110</v>
      </c>
      <c r="N209" s="91"/>
      <c r="O209" s="77"/>
      <c r="P209" s="77"/>
      <c r="Q209" s="77"/>
      <c r="R209" s="77"/>
    </row>
    <row r="210" spans="1:18" ht="13.5" customHeight="1">
      <c r="A210" s="78"/>
      <c r="B210" s="70" t="s">
        <v>121</v>
      </c>
      <c r="C210" s="90">
        <f t="shared" ref="C210:I210" si="112">C211-SUM(C207:C209)</f>
        <v>15.769200000000637</v>
      </c>
      <c r="D210" s="90">
        <f t="shared" si="112"/>
        <v>2.9476914500000406</v>
      </c>
      <c r="E210" s="90">
        <f t="shared" si="112"/>
        <v>-9.5787359500000093</v>
      </c>
      <c r="F210" s="90">
        <f t="shared" si="112"/>
        <v>57.94862020000005</v>
      </c>
      <c r="G210" s="90">
        <f t="shared" si="112"/>
        <v>-6.0894546299996364</v>
      </c>
      <c r="H210" s="90">
        <f t="shared" si="112"/>
        <v>763.71190382999976</v>
      </c>
      <c r="I210" s="90">
        <f t="shared" si="112"/>
        <v>209.31125175000079</v>
      </c>
      <c r="J210" s="90">
        <f>J211-SUM(J207:J209)</f>
        <v>191.88948266999614</v>
      </c>
      <c r="K210" s="70">
        <f>+K104</f>
        <v>0</v>
      </c>
      <c r="L210" s="70">
        <f>+L104</f>
        <v>0</v>
      </c>
      <c r="M210" s="70">
        <f>+M104</f>
        <v>0</v>
      </c>
      <c r="N210" s="70"/>
      <c r="O210" s="70"/>
      <c r="P210" s="70"/>
      <c r="Q210" s="70"/>
      <c r="R210" s="70"/>
    </row>
    <row r="211" spans="1:18" ht="13.5" customHeight="1">
      <c r="A211" s="78"/>
      <c r="B211" s="82" t="s">
        <v>120</v>
      </c>
      <c r="C211" s="86">
        <f>'Raw Data'!C323</f>
        <v>-541.16330000000005</v>
      </c>
      <c r="D211" s="86">
        <f>'Raw Data'!D323-7.52218679000003</f>
        <v>3.2238143399999943</v>
      </c>
      <c r="E211" s="86">
        <f>'Raw Data'!E323-15.4219538</f>
        <v>-547.77846892000002</v>
      </c>
      <c r="F211" s="86">
        <f>'Raw Data'!F323+46.07886587</f>
        <v>-726.57148463999999</v>
      </c>
      <c r="G211" s="86">
        <f>'Raw Data'!G323-26.1096782099996</f>
        <v>-3589.3713000099997</v>
      </c>
      <c r="H211" s="86">
        <f>'Raw Data'!H323+699.01944013</f>
        <v>-2636.74915035</v>
      </c>
      <c r="I211" s="86">
        <f>'Raw Data'!I323</f>
        <v>-758.30672551999999</v>
      </c>
      <c r="J211" s="86">
        <f>'Raw Data'!J323</f>
        <v>-6875.4904189200006</v>
      </c>
      <c r="K211" s="82">
        <f>SUM(K207:K210)</f>
        <v>-2584.0484699470439</v>
      </c>
      <c r="L211" s="82">
        <f>SUM(L207:L210)</f>
        <v>-3078.5836865615061</v>
      </c>
      <c r="M211" s="82">
        <f>SUM(M207:M210)</f>
        <v>-3561.6171074109066</v>
      </c>
      <c r="N211" s="89"/>
      <c r="O211" s="86"/>
      <c r="P211" s="86"/>
      <c r="Q211" s="86"/>
      <c r="R211" s="86"/>
    </row>
    <row r="212" spans="1:18" ht="13.5" customHeight="1">
      <c r="A212" s="78"/>
      <c r="B212" s="84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</row>
    <row r="213" spans="1:18" ht="13.5" customHeight="1">
      <c r="A213" s="83"/>
      <c r="B213" s="70" t="s">
        <v>119</v>
      </c>
      <c r="C213" s="70"/>
      <c r="D213" s="1451">
        <f>'Raw Data'!D332</f>
        <v>-67.877543870000011</v>
      </c>
      <c r="E213" s="1451">
        <f>'Raw Data'!E332</f>
        <v>-150.92364184000002</v>
      </c>
      <c r="F213" s="1451">
        <f>'Raw Data'!F332</f>
        <v>-556.38190385999997</v>
      </c>
      <c r="G213" s="1451">
        <f>'Raw Data'!G332</f>
        <v>-626.66607980999993</v>
      </c>
      <c r="H213" s="1451">
        <f>'Raw Data'!H332</f>
        <v>-603.45240447000003</v>
      </c>
      <c r="I213" s="1451">
        <f>'Raw Data'!I332</f>
        <v>-811.02757458000008</v>
      </c>
      <c r="J213" s="1451">
        <f>'Raw Data'!J332</f>
        <v>-2051.2479089799999</v>
      </c>
      <c r="K213" s="70">
        <f>K66</f>
        <v>-1300.0325</v>
      </c>
      <c r="L213" s="70">
        <f>L66</f>
        <v>-3154.713164860008</v>
      </c>
      <c r="M213" s="70">
        <f>M66</f>
        <v>-3910.3704575505258</v>
      </c>
      <c r="N213" s="70"/>
      <c r="O213" s="70"/>
      <c r="P213" s="70"/>
      <c r="Q213" s="70"/>
      <c r="R213" s="70"/>
    </row>
    <row r="214" spans="1:18" ht="13.5" customHeight="1">
      <c r="A214" s="78"/>
      <c r="B214" s="70" t="s">
        <v>118</v>
      </c>
      <c r="C214" s="77">
        <f>'Raw Data'!C330</f>
        <v>297.5</v>
      </c>
      <c r="D214" s="77">
        <f>'Raw Data'!D330</f>
        <v>0</v>
      </c>
      <c r="E214" s="77">
        <f>'Raw Data'!E330</f>
        <v>57.143000000000001</v>
      </c>
      <c r="F214" s="77">
        <f>'Raw Data'!F330</f>
        <v>0</v>
      </c>
      <c r="G214" s="77">
        <f>'Raw Data'!G330</f>
        <v>1851.2627</v>
      </c>
      <c r="H214" s="77">
        <f>'Raw Data'!H330</f>
        <v>0</v>
      </c>
      <c r="I214" s="77">
        <f>'Raw Data'!I330</f>
        <v>0</v>
      </c>
      <c r="J214" s="77">
        <f>'Raw Data'!J330</f>
        <v>4.0564799999999996</v>
      </c>
      <c r="K214" s="91">
        <v>0</v>
      </c>
      <c r="L214" s="91">
        <v>0</v>
      </c>
      <c r="M214" s="91">
        <v>0</v>
      </c>
      <c r="N214" s="91"/>
      <c r="O214" s="77"/>
      <c r="P214" s="77"/>
      <c r="Q214" s="77"/>
      <c r="R214" s="77"/>
    </row>
    <row r="215" spans="1:18" ht="13.5" customHeight="1">
      <c r="A215" s="78"/>
      <c r="B215" s="70" t="s">
        <v>117</v>
      </c>
      <c r="C215" s="77">
        <f>'Raw Data'!C337</f>
        <v>0</v>
      </c>
      <c r="D215" s="77">
        <f>'Raw Data'!D337</f>
        <v>0</v>
      </c>
      <c r="E215" s="77">
        <f>'Raw Data'!E337</f>
        <v>0</v>
      </c>
      <c r="F215" s="77">
        <f>'Raw Data'!F337</f>
        <v>0</v>
      </c>
      <c r="G215" s="77">
        <f>'Raw Data'!G337</f>
        <v>0</v>
      </c>
      <c r="H215" s="77">
        <f>'Raw Data'!H337</f>
        <v>0</v>
      </c>
      <c r="I215" s="77">
        <f>'Raw Data'!I337</f>
        <v>112.34556845</v>
      </c>
      <c r="J215" s="77">
        <f>'Raw Data'!J337</f>
        <v>305.80200000000002</v>
      </c>
      <c r="K215" s="91">
        <v>0</v>
      </c>
      <c r="L215" s="91">
        <v>0</v>
      </c>
      <c r="M215" s="91">
        <v>0</v>
      </c>
      <c r="N215" s="91"/>
      <c r="O215" s="77"/>
      <c r="P215" s="77"/>
      <c r="Q215" s="77"/>
      <c r="R215" s="77"/>
    </row>
    <row r="216" spans="1:18" ht="13.5" customHeight="1">
      <c r="A216" s="78"/>
      <c r="B216" s="70" t="s">
        <v>116</v>
      </c>
      <c r="C216" s="77">
        <f>'Raw Data'!C343</f>
        <v>-38</v>
      </c>
      <c r="D216" s="77">
        <f>'Raw Data'!D343</f>
        <v>32.79784472999998</v>
      </c>
      <c r="E216" s="77">
        <f>'Raw Data'!E343</f>
        <v>42.077155270000048</v>
      </c>
      <c r="F216" s="77">
        <f>'Raw Data'!F343</f>
        <v>226.82500000000005</v>
      </c>
      <c r="G216" s="77">
        <f>'Raw Data'!G343</f>
        <v>205.97500000000002</v>
      </c>
      <c r="H216" s="77">
        <f>'Raw Data'!H343</f>
        <v>2495.87092484</v>
      </c>
      <c r="I216" s="77">
        <f>'Raw Data'!I343</f>
        <v>-35.323141750000104</v>
      </c>
      <c r="J216" s="77">
        <f>'Raw Data'!J343</f>
        <v>3268.7333191599992</v>
      </c>
      <c r="K216" s="91">
        <v>0</v>
      </c>
      <c r="L216" s="91">
        <v>0</v>
      </c>
      <c r="M216" s="91">
        <v>0</v>
      </c>
      <c r="N216" s="91"/>
      <c r="O216" s="77"/>
      <c r="P216" s="77"/>
      <c r="Q216" s="77"/>
      <c r="R216" s="77"/>
    </row>
    <row r="217" spans="1:18" ht="13.5" customHeight="1">
      <c r="A217" s="78"/>
      <c r="B217" s="70" t="s">
        <v>115</v>
      </c>
      <c r="C217" s="77">
        <f>'Raw Data'!C347</f>
        <v>0</v>
      </c>
      <c r="D217" s="77">
        <f>'Raw Data'!D347</f>
        <v>0</v>
      </c>
      <c r="E217" s="77">
        <f>'Raw Data'!E347</f>
        <v>0</v>
      </c>
      <c r="F217" s="77">
        <f>'Raw Data'!F347</f>
        <v>0</v>
      </c>
      <c r="G217" s="77">
        <f>'Raw Data'!G347</f>
        <v>0</v>
      </c>
      <c r="H217" s="77">
        <f>'Raw Data'!H347</f>
        <v>0</v>
      </c>
      <c r="I217" s="77">
        <f>'Raw Data'!I347</f>
        <v>0</v>
      </c>
      <c r="J217" s="77">
        <f>'Raw Data'!J347</f>
        <v>0</v>
      </c>
      <c r="K217" s="91">
        <v>0</v>
      </c>
      <c r="L217" s="91">
        <v>0</v>
      </c>
      <c r="M217" s="91">
        <v>0</v>
      </c>
      <c r="N217" s="91"/>
      <c r="O217" s="77"/>
      <c r="P217" s="77"/>
      <c r="Q217" s="77"/>
      <c r="R217" s="77"/>
    </row>
    <row r="218" spans="1:18" ht="13.5" customHeight="1">
      <c r="A218" s="78"/>
      <c r="B218" s="70" t="s">
        <v>114</v>
      </c>
      <c r="C218" s="77">
        <f>'Raw Data'!C351</f>
        <v>0</v>
      </c>
      <c r="D218" s="77">
        <f>'Raw Data'!D351</f>
        <v>0</v>
      </c>
      <c r="E218" s="77">
        <f>'Raw Data'!E351</f>
        <v>0</v>
      </c>
      <c r="F218" s="77">
        <f>'Raw Data'!F351</f>
        <v>0</v>
      </c>
      <c r="G218" s="77">
        <f>'Raw Data'!G351</f>
        <v>0</v>
      </c>
      <c r="H218" s="77">
        <f>'Raw Data'!H351</f>
        <v>0</v>
      </c>
      <c r="I218" s="77">
        <f>'Raw Data'!I351</f>
        <v>0</v>
      </c>
      <c r="J218" s="77">
        <f>'Raw Data'!J351</f>
        <v>0</v>
      </c>
      <c r="K218" s="91">
        <v>0</v>
      </c>
      <c r="L218" s="91">
        <v>0</v>
      </c>
      <c r="M218" s="91">
        <v>0</v>
      </c>
      <c r="N218" s="79"/>
      <c r="O218" s="77"/>
      <c r="P218" s="77"/>
      <c r="Q218" s="77"/>
      <c r="R218" s="77"/>
    </row>
    <row r="219" spans="1:18" ht="13.5" customHeight="1">
      <c r="A219" s="78"/>
      <c r="B219" s="70" t="s">
        <v>113</v>
      </c>
      <c r="C219" s="90">
        <f t="shared" ref="C219:I219" si="113">C220-SUM(C213:C218)</f>
        <v>-16.163299999999992</v>
      </c>
      <c r="D219" s="90">
        <f t="shared" si="113"/>
        <v>-17.359461869999969</v>
      </c>
      <c r="E219" s="90">
        <f t="shared" si="113"/>
        <v>-5.6988071300000342</v>
      </c>
      <c r="F219" s="90">
        <f t="shared" si="113"/>
        <v>-4.4767693900000722</v>
      </c>
      <c r="G219" s="90">
        <f t="shared" si="113"/>
        <v>-123.79401187000008</v>
      </c>
      <c r="H219" s="90">
        <f t="shared" si="113"/>
        <v>-128.19505681999999</v>
      </c>
      <c r="I219" s="90">
        <f t="shared" si="113"/>
        <v>-323.89949748999982</v>
      </c>
      <c r="J219" s="90">
        <f>J220-SUM(J213:J218)</f>
        <v>-19.894124339999507</v>
      </c>
      <c r="K219" s="70">
        <f>K160-J160</f>
        <v>0</v>
      </c>
      <c r="L219" s="70">
        <f>L160-K160</f>
        <v>0</v>
      </c>
      <c r="M219" s="70">
        <f>M160-L160</f>
        <v>0</v>
      </c>
      <c r="N219" s="70"/>
      <c r="O219" s="70"/>
      <c r="P219" s="70"/>
      <c r="Q219" s="70"/>
      <c r="R219" s="70"/>
    </row>
    <row r="220" spans="1:18" ht="13.5" customHeight="1">
      <c r="A220" s="78"/>
      <c r="B220" s="82" t="s">
        <v>112</v>
      </c>
      <c r="C220" s="86">
        <f>'Raw Data'!C356</f>
        <v>243.33670000000001</v>
      </c>
      <c r="D220" s="86">
        <f>'Raw Data'!D356</f>
        <v>-52.439161009999999</v>
      </c>
      <c r="E220" s="86">
        <f>'Raw Data'!E356</f>
        <v>-57.402293700000001</v>
      </c>
      <c r="F220" s="86">
        <f>'Raw Data'!F356</f>
        <v>-334.03367324999999</v>
      </c>
      <c r="G220" s="86">
        <f>'Raw Data'!G356</f>
        <v>1306.7776083199999</v>
      </c>
      <c r="H220" s="86">
        <f>'Raw Data'!H356</f>
        <v>1764.2234635499999</v>
      </c>
      <c r="I220" s="86">
        <f>'Raw Data'!I356</f>
        <v>-1057.90464537</v>
      </c>
      <c r="J220" s="86">
        <f>'Raw Data'!J356</f>
        <v>1507.4497658399996</v>
      </c>
      <c r="K220" s="82">
        <f>SUM(K213:K219)</f>
        <v>-1300.0325</v>
      </c>
      <c r="L220" s="82">
        <f>SUM(L213:L219)</f>
        <v>-3154.713164860008</v>
      </c>
      <c r="M220" s="82">
        <f>SUM(M213:M219)</f>
        <v>-3910.3704575505258</v>
      </c>
      <c r="N220" s="89"/>
      <c r="O220" s="86"/>
      <c r="P220" s="86"/>
      <c r="Q220" s="86"/>
      <c r="R220" s="86"/>
    </row>
    <row r="221" spans="1:18" ht="13.5" customHeight="1">
      <c r="A221" s="78"/>
      <c r="B221" s="84" t="s">
        <v>41</v>
      </c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</row>
    <row r="222" spans="1:18" s="85" customFormat="1" ht="13.5" customHeight="1">
      <c r="A222" s="88"/>
      <c r="B222" s="87" t="s">
        <v>111</v>
      </c>
      <c r="C222" s="86">
        <f>'Raw Data'!C359</f>
        <v>0</v>
      </c>
      <c r="D222" s="86">
        <f>'Raw Data'!D359</f>
        <v>0</v>
      </c>
      <c r="E222" s="86">
        <f>'Raw Data'!E359</f>
        <v>0</v>
      </c>
      <c r="F222" s="86">
        <f>'Raw Data'!F359</f>
        <v>0</v>
      </c>
      <c r="G222" s="86">
        <f>'Raw Data'!G359</f>
        <v>0</v>
      </c>
      <c r="H222" s="86">
        <f>'Raw Data'!H359</f>
        <v>-15.123032519999999</v>
      </c>
      <c r="I222" s="86">
        <f>'Raw Data'!I359</f>
        <v>-28.557118629999998</v>
      </c>
      <c r="J222" s="86">
        <f>'Raw Data'!J359</f>
        <v>31.721563280000002</v>
      </c>
      <c r="K222" s="334">
        <v>0</v>
      </c>
      <c r="L222" s="334">
        <v>0</v>
      </c>
      <c r="M222" s="334">
        <v>0</v>
      </c>
      <c r="N222" s="334"/>
      <c r="O222" s="86"/>
      <c r="P222" s="86"/>
      <c r="Q222" s="86"/>
      <c r="R222" s="86"/>
    </row>
    <row r="223" spans="1:18" ht="13.5" customHeight="1">
      <c r="A223" s="78"/>
      <c r="B223" s="84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</row>
    <row r="224" spans="1:18" ht="13.5" customHeight="1">
      <c r="A224" s="83"/>
      <c r="B224" s="82" t="s">
        <v>110</v>
      </c>
      <c r="C224" s="82">
        <f t="shared" ref="C224:I224" si="114">IF(ISNUMBER(C204),C204+C211+C220+C222," ")</f>
        <v>-108.11850000000004</v>
      </c>
      <c r="D224" s="82">
        <f t="shared" si="114"/>
        <v>145.72432861999999</v>
      </c>
      <c r="E224" s="82">
        <f t="shared" si="114"/>
        <v>605.80067252000003</v>
      </c>
      <c r="F224" s="82">
        <f t="shared" si="114"/>
        <v>279.75799508000011</v>
      </c>
      <c r="G224" s="82">
        <f t="shared" si="114"/>
        <v>-205.74965401999975</v>
      </c>
      <c r="H224" s="82">
        <f t="shared" si="114"/>
        <v>1138.4564214099998</v>
      </c>
      <c r="I224" s="82">
        <f t="shared" si="114"/>
        <v>1436.5011631300004</v>
      </c>
      <c r="J224" s="82">
        <f>IF(ISNUMBER(J204),J204+J211+J220+J222," ")</f>
        <v>453.08941873999919</v>
      </c>
      <c r="K224" s="82">
        <f>K204+K211+K220+K222</f>
        <v>1730.840325669307</v>
      </c>
      <c r="L224" s="82">
        <f>L204+L211+L220+L222</f>
        <v>417.1670155574925</v>
      </c>
      <c r="M224" s="82">
        <f>M204+M211+M220+M222</f>
        <v>526.99566690010897</v>
      </c>
      <c r="N224" s="82"/>
      <c r="O224" s="89"/>
      <c r="P224" s="89"/>
      <c r="Q224" s="89"/>
      <c r="R224" s="89"/>
    </row>
    <row r="225" spans="1:18" ht="13.5" customHeight="1">
      <c r="A225" s="78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</row>
    <row r="226" spans="1:18" s="1857" customFormat="1" ht="13.5" hidden="1" customHeight="1" outlineLevel="1">
      <c r="A226" s="1855"/>
      <c r="B226" s="1856" t="s">
        <v>506</v>
      </c>
      <c r="C226" s="1857">
        <f t="shared" ref="C226:M226" si="115">+C204+C207</f>
        <v>-145.72340000000003</v>
      </c>
      <c r="D226" s="1857">
        <f t="shared" si="115"/>
        <v>-196.94870638</v>
      </c>
      <c r="E226" s="1857">
        <f t="shared" si="115"/>
        <v>702.71347662000005</v>
      </c>
      <c r="F226" s="1857">
        <f t="shared" si="115"/>
        <v>694.99433069000008</v>
      </c>
      <c r="G226" s="1857">
        <f t="shared" si="115"/>
        <v>1467.36004622</v>
      </c>
      <c r="H226" s="1857">
        <f t="shared" si="115"/>
        <v>1233.41266885</v>
      </c>
      <c r="I226" s="1857">
        <f t="shared" si="115"/>
        <v>2363.5460245600002</v>
      </c>
      <c r="J226" s="1857">
        <f>+J204+J207</f>
        <v>4101.9277985300005</v>
      </c>
      <c r="K226" s="1857">
        <f t="shared" si="115"/>
        <v>3140.8728256693071</v>
      </c>
      <c r="L226" s="1857">
        <f t="shared" si="115"/>
        <v>3681.8801804175005</v>
      </c>
      <c r="M226" s="1857">
        <f t="shared" si="115"/>
        <v>4547.3661244506347</v>
      </c>
    </row>
    <row r="227" spans="1:18" s="1853" customFormat="1" ht="13.5" hidden="1" customHeight="1" outlineLevel="1">
      <c r="A227" s="1851"/>
      <c r="B227" s="1852" t="s">
        <v>1703</v>
      </c>
      <c r="D227" s="1854">
        <f>D226/D13</f>
        <v>-6.4838311843757102E-2</v>
      </c>
      <c r="E227" s="1854">
        <f t="shared" ref="E227:M227" si="116">E226/E13</f>
        <v>0.16696574276083617</v>
      </c>
      <c r="F227" s="1854">
        <f t="shared" si="116"/>
        <v>0.1401621384780081</v>
      </c>
      <c r="G227" s="1854">
        <f t="shared" si="116"/>
        <v>0.21028910546252763</v>
      </c>
      <c r="H227" s="1854">
        <f t="shared" si="116"/>
        <v>0.14501542056644739</v>
      </c>
      <c r="I227" s="1854">
        <f t="shared" si="116"/>
        <v>0.20985432274453689</v>
      </c>
      <c r="J227" s="1854">
        <f>J226/J13</f>
        <v>0.25897886052628311</v>
      </c>
      <c r="K227" s="1854">
        <f t="shared" si="116"/>
        <v>0.14962300954550858</v>
      </c>
      <c r="L227" s="1854">
        <f t="shared" si="116"/>
        <v>0.14493589283572941</v>
      </c>
      <c r="M227" s="1854">
        <f t="shared" si="116"/>
        <v>0.15263722378605726</v>
      </c>
    </row>
    <row r="228" spans="1:18" s="1853" customFormat="1" ht="13.5" hidden="1" customHeight="1" outlineLevel="1">
      <c r="A228" s="1851"/>
      <c r="B228" s="1852"/>
      <c r="D228" s="1854"/>
      <c r="E228" s="1854"/>
      <c r="F228" s="1854"/>
      <c r="G228" s="1854"/>
      <c r="H228" s="1854"/>
      <c r="I228" s="1854"/>
      <c r="J228" s="1854"/>
      <c r="K228" s="1854"/>
      <c r="L228" s="1854"/>
      <c r="M228" s="1854"/>
    </row>
    <row r="229" spans="1:18" s="1853" customFormat="1" ht="13.5" hidden="1" customHeight="1" outlineLevel="1">
      <c r="A229" s="1851"/>
      <c r="B229" s="1856" t="s">
        <v>1655</v>
      </c>
      <c r="C229" s="1858"/>
      <c r="D229" s="1858">
        <f t="shared" ref="D229:M229" si="117">D252</f>
        <v>0.19856675855989089</v>
      </c>
      <c r="E229" s="1858">
        <f t="shared" si="117"/>
        <v>0.3489362690869609</v>
      </c>
      <c r="F229" s="1858">
        <f t="shared" si="117"/>
        <v>0.4244411778480488</v>
      </c>
      <c r="G229" s="1858">
        <f t="shared" si="117"/>
        <v>0.28148302737463543</v>
      </c>
      <c r="H229" s="1858">
        <f t="shared" si="117"/>
        <v>0.28444664183840623</v>
      </c>
      <c r="I229" s="1858">
        <f t="shared" si="117"/>
        <v>0.32255707015185114</v>
      </c>
      <c r="J229" s="1858">
        <f>J252</f>
        <v>0.43272554022091242</v>
      </c>
      <c r="K229" s="1858">
        <f t="shared" si="117"/>
        <v>0.50163576244880048</v>
      </c>
      <c r="L229" s="1858">
        <f t="shared" si="117"/>
        <v>0.52168693340754213</v>
      </c>
      <c r="M229" s="1858">
        <f t="shared" si="117"/>
        <v>0.52252441377755166</v>
      </c>
    </row>
    <row r="230" spans="1:18" ht="13.5" hidden="1" customHeight="1" outlineLevel="1">
      <c r="B230" s="1856" t="s">
        <v>1656</v>
      </c>
      <c r="C230" s="1858"/>
      <c r="D230" s="1858">
        <f t="shared" ref="D230:M230" si="118">D257</f>
        <v>0.14754422848870424</v>
      </c>
      <c r="E230" s="1858">
        <f t="shared" si="118"/>
        <v>0.28949435651074573</v>
      </c>
      <c r="F230" s="1858">
        <f t="shared" si="118"/>
        <v>0.33963577313752435</v>
      </c>
      <c r="G230" s="1858">
        <f t="shared" si="118"/>
        <v>0.23747263265359053</v>
      </c>
      <c r="H230" s="1858">
        <f t="shared" si="118"/>
        <v>0.16852543227617636</v>
      </c>
      <c r="I230" s="1858">
        <f t="shared" si="118"/>
        <v>0.19723467078633355</v>
      </c>
      <c r="J230" s="1858">
        <f>J257</f>
        <v>0.21613741207332551</v>
      </c>
      <c r="K230" s="1858">
        <f t="shared" si="118"/>
        <v>0.27617165624545054</v>
      </c>
      <c r="L230" s="1858">
        <f t="shared" si="118"/>
        <v>0.30931235903374105</v>
      </c>
      <c r="M230" s="1858">
        <f t="shared" si="118"/>
        <v>0.33222118199240097</v>
      </c>
    </row>
    <row r="231" spans="1:18" ht="13.5" hidden="1" customHeight="1" outlineLevel="1">
      <c r="C231" s="1858"/>
      <c r="D231" s="1858"/>
      <c r="E231" s="1858"/>
      <c r="F231" s="1858"/>
      <c r="G231" s="1858"/>
      <c r="H231" s="1858"/>
      <c r="I231" s="1858"/>
      <c r="J231" s="1858"/>
      <c r="K231" s="1858"/>
      <c r="L231" s="1858"/>
      <c r="M231" s="1858"/>
    </row>
    <row r="232" spans="1:18" ht="13.5" hidden="1" customHeight="1" outlineLevel="1">
      <c r="A232" s="78"/>
      <c r="B232" s="70" t="s">
        <v>1028</v>
      </c>
      <c r="C232" s="813">
        <f>2.66/100</f>
        <v>2.6600000000000002E-2</v>
      </c>
      <c r="D232" s="813">
        <f>46.03/100</f>
        <v>0.46029999999999999</v>
      </c>
      <c r="E232" s="813">
        <f>21.48/100</f>
        <v>0.21479999999999999</v>
      </c>
      <c r="F232" s="813">
        <f>0.05/100</f>
        <v>5.0000000000000001E-4</v>
      </c>
      <c r="G232" s="813">
        <f>0.05/100</f>
        <v>5.0000000000000001E-4</v>
      </c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</row>
    <row r="233" spans="1:18" ht="13.5" hidden="1" customHeight="1" outlineLevel="1">
      <c r="A233" s="78"/>
      <c r="B233" s="70"/>
      <c r="C233" s="813"/>
      <c r="D233" s="813"/>
      <c r="E233" s="813"/>
      <c r="F233" s="813"/>
      <c r="G233" s="813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</row>
    <row r="234" spans="1:18" ht="13.5" hidden="1" customHeight="1" outlineLevel="1">
      <c r="A234" s="78"/>
      <c r="B234" s="89" t="s">
        <v>1030</v>
      </c>
      <c r="C234" s="814">
        <v>170.6</v>
      </c>
      <c r="D234" s="814">
        <f>32341.28/100</f>
        <v>323.4128</v>
      </c>
      <c r="E234" s="814">
        <f>94488.09/100</f>
        <v>944.8809</v>
      </c>
      <c r="F234" s="814">
        <f>121877.43/100</f>
        <v>1218.7743</v>
      </c>
      <c r="G234" s="814">
        <f>121877.43/100</f>
        <v>1218.7743</v>
      </c>
      <c r="H234" s="70"/>
      <c r="I234" s="70"/>
      <c r="J234" s="70"/>
      <c r="K234" s="70"/>
      <c r="L234" s="70"/>
      <c r="M234" s="70"/>
      <c r="N234" s="70"/>
      <c r="O234" s="89"/>
      <c r="P234" s="89"/>
      <c r="Q234" s="89"/>
      <c r="R234" s="89"/>
    </row>
    <row r="235" spans="1:18" ht="13.5" hidden="1" customHeight="1" outlineLevel="1">
      <c r="A235" s="78"/>
      <c r="B235" s="70" t="s">
        <v>1029</v>
      </c>
      <c r="C235" s="815">
        <f>2294.41/100</f>
        <v>22.944099999999999</v>
      </c>
      <c r="D235" s="815">
        <f>1542.2/100</f>
        <v>15.422000000000001</v>
      </c>
      <c r="E235" s="815">
        <v>0</v>
      </c>
      <c r="F235" s="815">
        <f>607.89/100</f>
        <v>6.0789</v>
      </c>
      <c r="G235" s="815">
        <f>607.89/100</f>
        <v>6.0789</v>
      </c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</row>
    <row r="236" spans="1:18" ht="13.5" hidden="1" customHeight="1" outlineLevel="1">
      <c r="A236" s="78"/>
      <c r="B236" s="70" t="s">
        <v>1031</v>
      </c>
      <c r="C236" s="815">
        <f>+SUM(C232:C235)</f>
        <v>193.57069999999999</v>
      </c>
      <c r="D236" s="815">
        <f>+SUM(D232:D235)</f>
        <v>339.29510000000005</v>
      </c>
      <c r="E236" s="815">
        <f>+SUM(E232:E235)</f>
        <v>945.09569999999997</v>
      </c>
      <c r="F236" s="815">
        <f>+SUM(F232:F235)</f>
        <v>1224.8537000000001</v>
      </c>
      <c r="G236" s="815">
        <f>+SUM(G232:G235)</f>
        <v>1224.8537000000001</v>
      </c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</row>
    <row r="237" spans="1:18" ht="13.5" hidden="1" customHeight="1" outlineLevel="1">
      <c r="A237" s="78"/>
      <c r="B237" s="70" t="s">
        <v>1032</v>
      </c>
      <c r="C237" s="70">
        <f>+C130-C236</f>
        <v>0</v>
      </c>
      <c r="D237" s="70">
        <f>+D130-D236</f>
        <v>-7.1380000065346394E-5</v>
      </c>
      <c r="E237" s="70">
        <f>+E130-E236</f>
        <v>1.1399999948480399E-6</v>
      </c>
      <c r="F237" s="70">
        <f>+F130-F236</f>
        <v>-3.7800000427523628E-6</v>
      </c>
      <c r="G237" s="70">
        <f>+G130-G236</f>
        <v>-205.74965780000002</v>
      </c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</row>
    <row r="238" spans="1:18" ht="13.5" hidden="1" customHeight="1" outlineLevel="1">
      <c r="A238" s="78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</row>
    <row r="239" spans="1:18" ht="13.5" hidden="1" customHeight="1" outlineLevel="1">
      <c r="A239" s="73"/>
      <c r="B239" s="81" t="s">
        <v>109</v>
      </c>
      <c r="C239" s="70"/>
      <c r="D239" s="70">
        <f t="shared" ref="D239:L239" si="119">(D130-C130)-D224</f>
        <v>0</v>
      </c>
      <c r="E239" s="1141">
        <f t="shared" si="119"/>
        <v>0</v>
      </c>
      <c r="F239" s="1141">
        <f t="shared" si="119"/>
        <v>0</v>
      </c>
      <c r="G239" s="1141">
        <f t="shared" si="119"/>
        <v>-2.2737367544323206E-13</v>
      </c>
      <c r="H239" s="1141">
        <f t="shared" si="119"/>
        <v>0</v>
      </c>
      <c r="I239" s="1141">
        <f t="shared" si="119"/>
        <v>2463.6303149299997</v>
      </c>
      <c r="J239" s="1141">
        <f t="shared" si="119"/>
        <v>-858.23223724999957</v>
      </c>
      <c r="K239" s="1141">
        <f t="shared" si="119"/>
        <v>0</v>
      </c>
      <c r="L239" s="1141">
        <f t="shared" si="119"/>
        <v>4.5474735088646412E-13</v>
      </c>
      <c r="M239" s="1141">
        <f>(M130-L130)-M224</f>
        <v>0</v>
      </c>
      <c r="N239" s="70"/>
      <c r="O239" s="70"/>
      <c r="P239" s="70"/>
      <c r="Q239" s="70"/>
      <c r="R239" s="70"/>
    </row>
    <row r="240" spans="1:18" ht="13.5" hidden="1" customHeight="1" outlineLevel="1">
      <c r="A240" s="73"/>
      <c r="B240" s="79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</row>
    <row r="241" spans="1:25" ht="46.5" hidden="1" customHeight="1" outlineLevel="1">
      <c r="A241" s="73"/>
      <c r="B241" s="79"/>
      <c r="C241" s="80" t="str">
        <f>IF(C130&lt;0,"Cash is negative change your forecast","Cash forecast is ok")</f>
        <v>Cash forecast is ok</v>
      </c>
      <c r="D241" s="80" t="str">
        <f>IF(D130&lt;0,"Cash is negative change your forecast","Cash forecast is ok")</f>
        <v>Cash forecast is ok</v>
      </c>
      <c r="E241" s="80" t="str">
        <f>IF(E130&lt;0,"Cash is negative change your forecast","Cash forecast is ok")</f>
        <v>Cash forecast is ok</v>
      </c>
      <c r="F241" s="80" t="str">
        <f t="shared" ref="F241:K241" si="120">IF(F130&lt;0,"Cash is negative change your forecast","Cash forecast is ok")</f>
        <v>Cash forecast is ok</v>
      </c>
      <c r="G241" s="80" t="str">
        <f>IF(G130&lt;0,"Cash is negative change your forecast","Cash forecast is ok")</f>
        <v>Cash forecast is ok</v>
      </c>
      <c r="H241" s="80" t="str">
        <f>IF(H130&lt;0,"Cash is negative change your forecast","Cash forecast is ok")</f>
        <v>Cash forecast is ok</v>
      </c>
      <c r="I241" s="80" t="str">
        <f t="shared" si="120"/>
        <v>Cash forecast is ok</v>
      </c>
      <c r="J241" s="80" t="str">
        <f>IF(J130&lt;0,"Cash is negative change your forecast","Cash forecast is ok")</f>
        <v>Cash forecast is ok</v>
      </c>
      <c r="K241" s="80" t="str">
        <f t="shared" si="120"/>
        <v>Cash forecast is ok</v>
      </c>
      <c r="L241" s="80" t="str">
        <f>IF(L130&lt;0,"Cash is negative change your forecast","Cash forecast is ok")</f>
        <v>Cash forecast is ok</v>
      </c>
      <c r="M241" s="80" t="str">
        <f>IF(M130&lt;0,"Cash is negative change your forecast","Cash forecast is ok")</f>
        <v>Cash forecast is ok</v>
      </c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</row>
    <row r="242" spans="1:25" ht="13.5" hidden="1" customHeight="1" outlineLevel="1">
      <c r="A242" s="73"/>
      <c r="B242" s="79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</row>
    <row r="243" spans="1:25" ht="13.5" hidden="1" customHeight="1" outlineLevel="1"/>
    <row r="244" spans="1:25" ht="13.5" hidden="1" customHeight="1" outlineLevel="1"/>
    <row r="245" spans="1:25" ht="13.5" hidden="1" customHeight="1" outlineLevel="1"/>
    <row r="246" spans="1:25" ht="13.5" customHeight="1" collapsed="1"/>
    <row r="247" spans="1:25" ht="13.5" customHeight="1">
      <c r="B247" s="1259" t="s">
        <v>1297</v>
      </c>
      <c r="C247" s="1263" t="str">
        <f t="shared" ref="C247:I247" si="121">C4</f>
        <v>2017</v>
      </c>
      <c r="D247" s="1263" t="str">
        <f t="shared" si="121"/>
        <v>2018</v>
      </c>
      <c r="E247" s="1263" t="str">
        <f t="shared" si="121"/>
        <v>2019</v>
      </c>
      <c r="F247" s="1263" t="str">
        <f t="shared" si="121"/>
        <v>2020</v>
      </c>
      <c r="G247" s="1264">
        <f t="shared" si="121"/>
        <v>2021</v>
      </c>
      <c r="H247" s="1259">
        <f t="shared" si="121"/>
        <v>2022</v>
      </c>
      <c r="I247" s="1259">
        <f t="shared" si="121"/>
        <v>2023</v>
      </c>
      <c r="J247" s="1259">
        <f>J4</f>
        <v>2024</v>
      </c>
      <c r="K247" s="1259">
        <v>2025</v>
      </c>
      <c r="L247" s="1259">
        <v>2026</v>
      </c>
      <c r="M247" s="1259">
        <v>2027</v>
      </c>
      <c r="N247" s="1260"/>
      <c r="O247" s="1260"/>
      <c r="P247" s="1260"/>
      <c r="Q247" s="1260"/>
      <c r="R247" s="1260"/>
      <c r="S247" s="1260"/>
      <c r="T247" s="1260"/>
      <c r="U247" s="1260"/>
      <c r="V247" s="1260"/>
      <c r="W247" s="1260"/>
      <c r="X247" s="1260"/>
      <c r="Y247" s="1260"/>
    </row>
    <row r="248" spans="1:25" ht="13.5" customHeight="1">
      <c r="B248" s="1261" t="s">
        <v>1298</v>
      </c>
      <c r="C248" s="1265">
        <f t="shared" ref="C248:M248" si="122">C90</f>
        <v>0.10414410595147156</v>
      </c>
      <c r="D248" s="1265">
        <f t="shared" si="122"/>
        <v>7.1054611529542636E-2</v>
      </c>
      <c r="E248" s="1265">
        <f t="shared" si="122"/>
        <v>0.13556918975180965</v>
      </c>
      <c r="F248" s="1265">
        <f t="shared" si="122"/>
        <v>0.16377192436130864</v>
      </c>
      <c r="G248" s="1265">
        <f t="shared" si="122"/>
        <v>0.17096456838289925</v>
      </c>
      <c r="H248" s="1265">
        <f t="shared" si="122"/>
        <v>0.16936561603924488</v>
      </c>
      <c r="I248" s="1265">
        <f t="shared" si="122"/>
        <v>0.18110717365829335</v>
      </c>
      <c r="J248" s="1265">
        <f>J90</f>
        <v>0.21003472275069338</v>
      </c>
      <c r="K248" s="1265">
        <f t="shared" si="122"/>
        <v>0.21736219576143012</v>
      </c>
      <c r="L248" s="1265">
        <f t="shared" si="122"/>
        <v>0.22263851822432407</v>
      </c>
      <c r="M248" s="1265">
        <f t="shared" si="122"/>
        <v>0.22670522430559689</v>
      </c>
    </row>
    <row r="249" spans="1:25" ht="13.5" customHeight="1">
      <c r="B249" s="1261" t="s">
        <v>1299</v>
      </c>
      <c r="C249" s="1266">
        <f t="shared" ref="C249:M249" si="123">C13/C145</f>
        <v>1.3865399596745056</v>
      </c>
      <c r="D249" s="1266">
        <f t="shared" si="123"/>
        <v>1.4412806241369642</v>
      </c>
      <c r="E249" s="1266">
        <f t="shared" si="123"/>
        <v>1.259834204359513</v>
      </c>
      <c r="F249" s="1266">
        <f t="shared" si="123"/>
        <v>1.1369357888178468</v>
      </c>
      <c r="G249" s="1266">
        <f t="shared" si="123"/>
        <v>0.89568453798535574</v>
      </c>
      <c r="H249" s="1266">
        <f t="shared" si="123"/>
        <v>0.71656628112833354</v>
      </c>
      <c r="I249" s="1266">
        <f t="shared" si="123"/>
        <v>0.76565301614572878</v>
      </c>
      <c r="J249" s="1266">
        <f>J13/J145</f>
        <v>0.69847614158161098</v>
      </c>
      <c r="K249" s="1266">
        <f t="shared" si="123"/>
        <v>0.77875938051003146</v>
      </c>
      <c r="L249" s="1266">
        <f t="shared" si="123"/>
        <v>0.83998985951486194</v>
      </c>
      <c r="M249" s="1266">
        <f t="shared" si="123"/>
        <v>0.87867540524074006</v>
      </c>
    </row>
    <row r="250" spans="1:25" ht="13.5" customHeight="1">
      <c r="B250" s="1261" t="s">
        <v>1300</v>
      </c>
      <c r="C250" s="1266">
        <f t="shared" ref="C250:M250" si="124">C145/C163</f>
        <v>2.3544708895401629</v>
      </c>
      <c r="D250" s="1266">
        <f t="shared" si="124"/>
        <v>1.9389460654234838</v>
      </c>
      <c r="E250" s="1266">
        <f t="shared" si="124"/>
        <v>2.0430157632202248</v>
      </c>
      <c r="F250" s="1266">
        <f t="shared" si="124"/>
        <v>2.2795132522596422</v>
      </c>
      <c r="G250" s="1266">
        <f t="shared" si="124"/>
        <v>1.8381926359107488</v>
      </c>
      <c r="H250" s="1266">
        <f t="shared" si="124"/>
        <v>2.3437926967806613</v>
      </c>
      <c r="I250" s="1266">
        <f t="shared" si="124"/>
        <v>2.3261564192344331</v>
      </c>
      <c r="J250" s="1266">
        <f>J145/J163</f>
        <v>2.9496457097895412</v>
      </c>
      <c r="K250" s="1266">
        <f t="shared" si="124"/>
        <v>2.9634744476556398</v>
      </c>
      <c r="L250" s="1266">
        <f t="shared" si="124"/>
        <v>2.7895593967224492</v>
      </c>
      <c r="M250" s="1266">
        <f t="shared" si="124"/>
        <v>2.6231105128345376</v>
      </c>
    </row>
    <row r="251" spans="1:25" ht="13.5" customHeight="1">
      <c r="B251" s="1262" t="s">
        <v>1301</v>
      </c>
    </row>
    <row r="252" spans="1:25" ht="13.5" customHeight="1">
      <c r="B252" s="1793" t="s">
        <v>1302</v>
      </c>
      <c r="C252" s="1265">
        <f>C249*C248*C250</f>
        <v>0.33998551278651562</v>
      </c>
      <c r="D252" s="1794">
        <f t="shared" ref="D252:K252" si="125">D249*D248*D250</f>
        <v>0.19856675855989089</v>
      </c>
      <c r="E252" s="1794">
        <f t="shared" si="125"/>
        <v>0.3489362690869609</v>
      </c>
      <c r="F252" s="1794">
        <f t="shared" si="125"/>
        <v>0.4244411778480488</v>
      </c>
      <c r="G252" s="1794">
        <f t="shared" si="125"/>
        <v>0.28148302737463543</v>
      </c>
      <c r="H252" s="1794">
        <f t="shared" si="125"/>
        <v>0.28444664183840623</v>
      </c>
      <c r="I252" s="1794">
        <f t="shared" si="125"/>
        <v>0.32255707015185114</v>
      </c>
      <c r="J252" s="1794">
        <f>J249*J248*J250</f>
        <v>0.43272554022091242</v>
      </c>
      <c r="K252" s="1794">
        <f t="shared" si="125"/>
        <v>0.50163576244880048</v>
      </c>
      <c r="L252" s="1794">
        <f>L249*L248*L250</f>
        <v>0.52168693340754213</v>
      </c>
      <c r="M252" s="1794">
        <f>M249*M248*M250</f>
        <v>0.52252441377755166</v>
      </c>
    </row>
    <row r="253" spans="1:25" ht="13.5" customHeight="1">
      <c r="C253" s="1265"/>
    </row>
    <row r="254" spans="1:25" ht="13.5" customHeight="1">
      <c r="C254" s="1265"/>
    </row>
    <row r="255" spans="1:25" ht="13.5" customHeight="1">
      <c r="B255" s="67" t="s">
        <v>1662</v>
      </c>
      <c r="C255" s="1265"/>
      <c r="D255" s="66">
        <f t="shared" ref="D255:M255" si="126">D35*(1-D89)</f>
        <v>190.58904916437268</v>
      </c>
      <c r="E255" s="66">
        <f t="shared" si="126"/>
        <v>544.84455114436787</v>
      </c>
      <c r="F255" s="66">
        <f t="shared" si="126"/>
        <v>789.64638606159781</v>
      </c>
      <c r="G255" s="66">
        <f t="shared" si="126"/>
        <v>1160.6357468642434</v>
      </c>
      <c r="H255" s="66">
        <f t="shared" si="126"/>
        <v>1389.6422852804931</v>
      </c>
      <c r="I255" s="66">
        <f t="shared" si="126"/>
        <v>1881.5129266288848</v>
      </c>
      <c r="J255" s="66">
        <f>J35*(1-J89)</f>
        <v>3077.6109257358457</v>
      </c>
      <c r="K255" s="66">
        <f t="shared" si="126"/>
        <v>4321.3338122882806</v>
      </c>
      <c r="L255" s="66">
        <f t="shared" si="126"/>
        <v>5379.7782668170748</v>
      </c>
      <c r="M255" s="66">
        <f t="shared" si="126"/>
        <v>6470.6875260061061</v>
      </c>
    </row>
    <row r="256" spans="1:25" ht="13.5" customHeight="1">
      <c r="B256" s="67" t="s">
        <v>1663</v>
      </c>
      <c r="C256" s="1265"/>
      <c r="D256" s="66">
        <f t="shared" ref="D256:M256" si="127">D163+D153+D148</f>
        <v>1291.7418127199999</v>
      </c>
      <c r="E256" s="66">
        <f t="shared" si="127"/>
        <v>1882.0558635799998</v>
      </c>
      <c r="F256" s="66">
        <f t="shared" si="127"/>
        <v>2324.9800183500001</v>
      </c>
      <c r="G256" s="66">
        <f t="shared" si="127"/>
        <v>4887.4505406999997</v>
      </c>
      <c r="H256" s="66">
        <f t="shared" si="127"/>
        <v>8245.8906439900002</v>
      </c>
      <c r="I256" s="66">
        <f t="shared" si="127"/>
        <v>9539.4634174999992</v>
      </c>
      <c r="J256" s="66">
        <f>J163+J153+J148</f>
        <v>14239.140259029999</v>
      </c>
      <c r="K256" s="66">
        <f t="shared" si="127"/>
        <v>15647.274854475465</v>
      </c>
      <c r="L256" s="66">
        <f t="shared" si="127"/>
        <v>17392.703879091448</v>
      </c>
      <c r="M256" s="66">
        <f t="shared" si="127"/>
        <v>19477.046849330975</v>
      </c>
    </row>
    <row r="257" spans="2:13" ht="13.5" customHeight="1">
      <c r="B257" s="1262" t="s">
        <v>1656</v>
      </c>
      <c r="C257" s="1265"/>
      <c r="D257" s="1802">
        <f>D255/D256</f>
        <v>0.14754422848870424</v>
      </c>
      <c r="E257" s="1802">
        <f t="shared" ref="E257:M257" si="128">E255/E256</f>
        <v>0.28949435651074573</v>
      </c>
      <c r="F257" s="1802">
        <f t="shared" si="128"/>
        <v>0.33963577313752435</v>
      </c>
      <c r="G257" s="1802">
        <f t="shared" si="128"/>
        <v>0.23747263265359053</v>
      </c>
      <c r="H257" s="1802">
        <f t="shared" si="128"/>
        <v>0.16852543227617636</v>
      </c>
      <c r="I257" s="1802">
        <f t="shared" si="128"/>
        <v>0.19723467078633355</v>
      </c>
      <c r="J257" s="1802">
        <f>J255/J256</f>
        <v>0.21613741207332551</v>
      </c>
      <c r="K257" s="1802">
        <f t="shared" si="128"/>
        <v>0.27617165624545054</v>
      </c>
      <c r="L257" s="1802">
        <f t="shared" si="128"/>
        <v>0.30931235903374105</v>
      </c>
      <c r="M257" s="1802">
        <f t="shared" si="128"/>
        <v>0.33222118199240097</v>
      </c>
    </row>
    <row r="258" spans="2:13" ht="13.5" customHeight="1">
      <c r="B258" s="1262" t="s">
        <v>508</v>
      </c>
      <c r="D258" s="1802">
        <f>CROCI!D55</f>
        <v>0.2101159963478216</v>
      </c>
      <c r="E258" s="1802">
        <f>CROCI!E55</f>
        <v>0.27984259812761891</v>
      </c>
      <c r="F258" s="1802">
        <f>CROCI!F55</f>
        <v>0.25349967302981768</v>
      </c>
      <c r="G258" s="1802">
        <f>CROCI!G55</f>
        <v>0.22020910922365641</v>
      </c>
      <c r="H258" s="1802">
        <f>CROCI!H55</f>
        <v>0.17066402293225452</v>
      </c>
      <c r="I258" s="1802">
        <f>CROCI!I55</f>
        <v>0.1780861217034829</v>
      </c>
      <c r="J258" s="1802">
        <f>CROCI!J55</f>
        <v>0.18563710229031344</v>
      </c>
      <c r="K258" s="1802">
        <f>CROCI!K55</f>
        <v>0.21345807056292673</v>
      </c>
      <c r="L258" s="1802">
        <f>CROCI!L55</f>
        <v>0.22996383584724883</v>
      </c>
      <c r="M258" s="1802">
        <f>CROCI!M55</f>
        <v>0.2489710172527877</v>
      </c>
    </row>
    <row r="259" spans="2:13" ht="13.5" customHeight="1">
      <c r="D259" s="66" t="s">
        <v>1811</v>
      </c>
    </row>
    <row r="261" spans="2:13" ht="13.5" customHeight="1">
      <c r="B261" s="1261"/>
    </row>
    <row r="262" spans="2:13" ht="13.5" customHeight="1">
      <c r="B262" s="1262"/>
    </row>
    <row r="263" spans="2:13" ht="13.5" customHeight="1">
      <c r="B263" s="1261"/>
    </row>
    <row r="264" spans="2:13" ht="13.5" customHeight="1">
      <c r="B264" s="1261"/>
    </row>
    <row r="265" spans="2:13" ht="13.5" customHeight="1">
      <c r="B265" s="1261"/>
    </row>
    <row r="266" spans="2:13" ht="13.5" customHeight="1">
      <c r="B266" s="1261"/>
    </row>
    <row r="267" spans="2:13" ht="13.5" customHeight="1">
      <c r="B267" s="1261"/>
    </row>
    <row r="268" spans="2:13" ht="13.5" customHeight="1">
      <c r="B268" s="1261"/>
    </row>
    <row r="269" spans="2:13" ht="13.5" customHeight="1">
      <c r="B269" s="1261"/>
    </row>
    <row r="270" spans="2:13" ht="13.5" customHeight="1">
      <c r="B270" s="1262"/>
    </row>
    <row r="271" spans="2:13" ht="13.5" customHeight="1">
      <c r="B271" s="1262"/>
    </row>
    <row r="272" spans="2:13" ht="13.5" customHeight="1">
      <c r="B272" s="1261"/>
    </row>
    <row r="273" spans="2:2" ht="13.5" customHeight="1">
      <c r="B273" s="1261"/>
    </row>
    <row r="274" spans="2:2" ht="13.5" customHeight="1">
      <c r="B274" s="1261"/>
    </row>
  </sheetData>
  <conditionalFormatting sqref="C241:Y241">
    <cfRule type="cellIs" dxfId="4" priority="11" stopIfTrue="1" operator="equal">
      <formula>"Cash is negative change your forecast"</formula>
    </cfRule>
  </conditionalFormatting>
  <conditionalFormatting sqref="G171:R171 C239:R239 G170:Y170">
    <cfRule type="cellIs" dxfId="3" priority="12" stopIfTrue="1" operator="notEqual">
      <formula>0</formula>
    </cfRule>
    <cfRule type="cellIs" dxfId="2" priority="13" stopIfTrue="1" operator="equal">
      <formula>0</formula>
    </cfRule>
  </conditionalFormatting>
  <conditionalFormatting sqref="C170:F171">
    <cfRule type="cellIs" dxfId="1" priority="15" stopIfTrue="1" operator="notEqual">
      <formula>0</formula>
    </cfRule>
    <cfRule type="cellIs" dxfId="0" priority="16" stopIfTrue="1" operator="equal">
      <formula>0</formula>
    </cfRule>
  </conditionalFormatting>
  <dataValidations count="1">
    <dataValidation allowBlank="1" sqref="B44 B47 B50:B62 B30:B42 B74:B81 A68:B73 A75:A94 A182:B186 B104:B125 B85:B99 B102 A214:A223 A239:A242 A207:A211 A187:A193 A196:A197 A201 A146:A150 A139:A144 A130:A134 A165:A178 A158:A162 A180:A181 A115:A128 A103:A110 A97:A98 B11:B23 A19 A23:A29 B27 B4:B9 A31:A62 B127:B181 B187:B242 A100:B101 O194:R224 O174:R180 O6:T6 O78:Y90 A1:A17 O23:Y23 U130:U166 S130:S166 O130:O166 Q130:Q166 Q183 O75:Y75 O37:Y37 O35:Y35 O50:Y50 O30:Y30 O57:Y57 O20:Y20 O18:Y18 W130:W166 W183:Y183 W184 O170:Y170 C68:N93 C100:N125 C127:N242 C4:N62 C95:N97" xr:uid="{00000000-0002-0000-0200-000000000000}"/>
  </dataValidations>
  <hyperlinks>
    <hyperlink ref="B127" location="'Cover Sheet'!A1" display="Back to Cover Sheet" xr:uid="{00000000-0004-0000-0200-000000000000}"/>
  </hyperlinks>
  <printOptions horizontalCentered="1" verticalCentered="1"/>
  <pageMargins left="0.1" right="0.1" top="0.1" bottom="0.1" header="0.1" footer="0.1"/>
  <pageSetup scale="10" orientation="portrait" r:id="rId1"/>
  <headerFooter alignWithMargins="0"/>
  <customProperties>
    <customPr name="Qube.Worksheet.ID" r:id="rId2"/>
    <customPr name="Qube.Worksheet.Visibility" r:id="rId3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>
    <tabColor rgb="FFFF0000"/>
    <pageSetUpPr fitToPage="1"/>
  </sheetPr>
  <dimension ref="B1:AS69"/>
  <sheetViews>
    <sheetView showGridLines="0" zoomScale="115" zoomScaleNormal="115" workbookViewId="0"/>
  </sheetViews>
  <sheetFormatPr defaultColWidth="9" defaultRowHeight="11.25" outlineLevelRow="1" outlineLevelCol="1"/>
  <cols>
    <col min="1" max="1" width="9" style="1"/>
    <col min="2" max="2" width="24.5" style="1" customWidth="1"/>
    <col min="3" max="3" width="23" style="1" hidden="1" customWidth="1" outlineLevel="1"/>
    <col min="4" max="4" width="6.5" style="1" hidden="1" customWidth="1" outlineLevel="1" collapsed="1"/>
    <col min="5" max="5" width="6.5" style="1" hidden="1" customWidth="1" outlineLevel="1"/>
    <col min="6" max="6" width="6.5" style="1" hidden="1" customWidth="1" collapsed="1"/>
    <col min="7" max="8" width="6.5" style="1" hidden="1" customWidth="1"/>
    <col min="9" max="9" width="0.5" style="1" customWidth="1"/>
    <col min="10" max="10" width="6.5" style="1" hidden="1" customWidth="1"/>
    <col min="11" max="11" width="6.5" style="1875" hidden="1" customWidth="1" outlineLevel="1"/>
    <col min="12" max="14" width="6.5" style="1" hidden="1" customWidth="1" outlineLevel="1"/>
    <col min="15" max="15" width="6.5" style="1" customWidth="1" collapsed="1"/>
    <col min="16" max="16" width="6.5" style="1" customWidth="1"/>
    <col min="17" max="17" width="6.5" style="1887" customWidth="1"/>
    <col min="18" max="18" width="0.5" style="1" customWidth="1"/>
    <col min="19" max="22" width="6.5" style="1" hidden="1" customWidth="1" outlineLevel="1"/>
    <col min="23" max="23" width="6.5" style="1875" hidden="1" customWidth="1" outlineLevel="1"/>
    <col min="24" max="24" width="6.5" style="1" customWidth="1" collapsed="1"/>
    <col min="25" max="26" width="6.5" style="1" customWidth="1"/>
    <col min="27" max="27" width="0.75" style="1" customWidth="1"/>
    <col min="28" max="30" width="6.5" style="1" hidden="1" customWidth="1" outlineLevel="1"/>
    <col min="31" max="31" width="0.5" style="1" hidden="1" customWidth="1" outlineLevel="1"/>
    <col min="32" max="34" width="6.5" style="1" hidden="1" customWidth="1" outlineLevel="1"/>
    <col min="35" max="35" width="0.5" style="1" hidden="1" customWidth="1" outlineLevel="1"/>
    <col min="36" max="36" width="6.5" style="1" hidden="1" customWidth="1" collapsed="1"/>
    <col min="37" max="39" width="6.5" style="1" hidden="1" customWidth="1"/>
    <col min="40" max="40" width="6.5" style="1875" hidden="1" customWidth="1"/>
    <col min="41" max="43" width="6.5" style="1" customWidth="1"/>
    <col min="44" max="16384" width="9" style="1"/>
  </cols>
  <sheetData>
    <row r="1" spans="2:45">
      <c r="B1" s="2030" t="s">
        <v>1107</v>
      </c>
      <c r="C1" s="2031"/>
      <c r="D1" s="2031"/>
      <c r="E1" s="2031"/>
      <c r="F1" s="2031"/>
      <c r="G1" s="2031"/>
      <c r="H1" s="2031"/>
      <c r="I1" s="2031"/>
      <c r="J1" s="2031"/>
      <c r="K1" s="2032"/>
      <c r="L1" s="2031"/>
      <c r="M1" s="2031"/>
      <c r="N1" s="2031"/>
      <c r="O1" s="2031"/>
      <c r="P1" s="2031"/>
      <c r="Q1" s="2033"/>
      <c r="R1" s="2031"/>
      <c r="S1" s="2031"/>
      <c r="T1" s="2031"/>
      <c r="U1" s="2031"/>
      <c r="V1" s="2031"/>
      <c r="W1" s="2032"/>
      <c r="X1" s="2031"/>
      <c r="Y1" s="2031"/>
      <c r="Z1" s="2031"/>
      <c r="AA1" s="2031"/>
      <c r="AB1" s="2031"/>
      <c r="AC1" s="2031"/>
      <c r="AD1" s="2031"/>
      <c r="AE1" s="2031"/>
      <c r="AF1" s="2031"/>
      <c r="AG1" s="2031"/>
      <c r="AH1" s="2031"/>
      <c r="AI1" s="2031"/>
      <c r="AJ1" s="2031"/>
      <c r="AK1" s="2031"/>
      <c r="AL1" s="2031"/>
      <c r="AM1" s="2031"/>
      <c r="AN1" s="2032"/>
      <c r="AO1" s="2031"/>
      <c r="AP1" s="2031"/>
      <c r="AQ1" s="2031"/>
    </row>
    <row r="2" spans="2:45" ht="13.5" customHeight="1">
      <c r="B2" s="2034" t="s">
        <v>55</v>
      </c>
      <c r="C2" s="2034" t="s">
        <v>54</v>
      </c>
      <c r="D2" s="2034"/>
      <c r="E2" s="2034"/>
      <c r="F2" s="2034"/>
      <c r="G2" s="2034"/>
      <c r="H2" s="2034"/>
      <c r="I2" s="2035"/>
      <c r="J2" s="2304"/>
      <c r="K2" s="2304"/>
      <c r="L2" s="2304"/>
      <c r="M2" s="2304"/>
      <c r="N2" s="2036"/>
      <c r="O2" s="2304" t="s">
        <v>1712</v>
      </c>
      <c r="P2" s="2304"/>
      <c r="Q2" s="2305"/>
      <c r="R2" s="2037"/>
      <c r="S2" s="2304" t="s">
        <v>1054</v>
      </c>
      <c r="T2" s="2304"/>
      <c r="U2" s="2304"/>
      <c r="V2" s="2304"/>
      <c r="W2" s="1876"/>
      <c r="X2" s="2304" t="s">
        <v>1711</v>
      </c>
      <c r="Y2" s="2304"/>
      <c r="Z2" s="2304"/>
      <c r="AB2" s="2306" t="s">
        <v>1051</v>
      </c>
      <c r="AC2" s="2306"/>
      <c r="AD2" s="2306"/>
      <c r="AE2" s="2037"/>
      <c r="AF2" s="2306" t="s">
        <v>1053</v>
      </c>
      <c r="AG2" s="2306"/>
      <c r="AH2" s="2306"/>
      <c r="AI2" s="2037"/>
      <c r="AJ2" s="2304" t="s">
        <v>1052</v>
      </c>
      <c r="AK2" s="2304"/>
      <c r="AL2" s="2304"/>
      <c r="AM2" s="2304"/>
      <c r="AN2" s="1876"/>
      <c r="AO2" s="2304" t="s">
        <v>1713</v>
      </c>
      <c r="AP2" s="2304"/>
      <c r="AQ2" s="2304"/>
    </row>
    <row r="3" spans="2:45">
      <c r="B3" s="2038"/>
      <c r="C3" s="2038"/>
      <c r="D3" s="2038">
        <v>2015</v>
      </c>
      <c r="E3" s="2038">
        <v>2016</v>
      </c>
      <c r="F3" s="2038">
        <v>2017</v>
      </c>
      <c r="G3" s="2038">
        <v>2018</v>
      </c>
      <c r="H3" s="2038">
        <v>2019</v>
      </c>
      <c r="I3" s="502"/>
      <c r="J3" s="2039" t="s">
        <v>66</v>
      </c>
      <c r="K3" s="1889">
        <v>2021</v>
      </c>
      <c r="L3" s="2038">
        <v>2022</v>
      </c>
      <c r="M3" s="2038">
        <v>2023</v>
      </c>
      <c r="N3" s="2040" t="s">
        <v>1748</v>
      </c>
      <c r="O3" s="2041" t="s">
        <v>1071</v>
      </c>
      <c r="P3" s="2041" t="s">
        <v>1096</v>
      </c>
      <c r="Q3" s="2041" t="s">
        <v>1401</v>
      </c>
      <c r="R3" s="5"/>
      <c r="S3" s="2039" t="s">
        <v>66</v>
      </c>
      <c r="T3" s="2041" t="s">
        <v>980</v>
      </c>
      <c r="U3" s="2041" t="s">
        <v>981</v>
      </c>
      <c r="V3" s="2041" t="s">
        <v>982</v>
      </c>
      <c r="W3" s="1997" t="s">
        <v>1748</v>
      </c>
      <c r="X3" s="2041" t="s">
        <v>1071</v>
      </c>
      <c r="Y3" s="2041" t="s">
        <v>1096</v>
      </c>
      <c r="Z3" s="2041" t="s">
        <v>1401</v>
      </c>
      <c r="AB3" s="2039" t="s">
        <v>66</v>
      </c>
      <c r="AC3" s="2039" t="s">
        <v>979</v>
      </c>
      <c r="AD3" s="2039" t="s">
        <v>980</v>
      </c>
      <c r="AE3" s="5"/>
      <c r="AF3" s="2039" t="s">
        <v>66</v>
      </c>
      <c r="AG3" s="2039" t="s">
        <v>979</v>
      </c>
      <c r="AH3" s="2039" t="s">
        <v>980</v>
      </c>
      <c r="AI3" s="502"/>
      <c r="AJ3" s="2039" t="s">
        <v>66</v>
      </c>
      <c r="AK3" s="2041" t="s">
        <v>980</v>
      </c>
      <c r="AL3" s="2041" t="s">
        <v>981</v>
      </c>
      <c r="AM3" s="2041" t="s">
        <v>982</v>
      </c>
      <c r="AN3" s="1997" t="s">
        <v>1748</v>
      </c>
      <c r="AO3" s="2041" t="s">
        <v>1071</v>
      </c>
      <c r="AP3" s="2041" t="s">
        <v>1096</v>
      </c>
      <c r="AQ3" s="2041" t="s">
        <v>1401</v>
      </c>
    </row>
    <row r="4" spans="2:45">
      <c r="B4" s="11" t="s">
        <v>52</v>
      </c>
      <c r="C4" s="11" t="s">
        <v>51</v>
      </c>
      <c r="D4" s="17" t="e">
        <f>Model!#REF!</f>
        <v>#REF!</v>
      </c>
      <c r="E4" s="17" t="e">
        <f>Model!#REF!</f>
        <v>#REF!</v>
      </c>
      <c r="F4" s="17">
        <f>Model!C13</f>
        <v>2843.8076000000001</v>
      </c>
      <c r="G4" s="17">
        <f>Model!D13</f>
        <v>3037.53599962</v>
      </c>
      <c r="H4" s="17">
        <f>Model!E13</f>
        <v>4208.7284792700002</v>
      </c>
      <c r="I4" s="502"/>
      <c r="J4" s="18">
        <f>Model!E13</f>
        <v>4208.7284792700002</v>
      </c>
      <c r="K4" s="693">
        <f>Model!G13</f>
        <v>6977.8224744099998</v>
      </c>
      <c r="L4" s="17">
        <f>Model!H13</f>
        <v>8505.3897304999991</v>
      </c>
      <c r="M4" s="17">
        <f>Model!I13</f>
        <v>11262.79408329</v>
      </c>
      <c r="N4" s="17">
        <f>Model!J13</f>
        <v>15838.851828270001</v>
      </c>
      <c r="O4" s="17">
        <f>Model!K13</f>
        <v>20991.91050367153</v>
      </c>
      <c r="P4" s="17">
        <f>Model!L13</f>
        <v>25403.508464190782</v>
      </c>
      <c r="Q4" s="17">
        <f>Model!M13</f>
        <v>29791.986591844819</v>
      </c>
      <c r="R4" s="502"/>
      <c r="S4" s="17">
        <v>19854.624828429864</v>
      </c>
      <c r="T4" s="693">
        <v>2772.8976538875195</v>
      </c>
      <c r="U4" s="17">
        <v>3479.996532013819</v>
      </c>
      <c r="V4" s="17">
        <v>4291.0260262560532</v>
      </c>
      <c r="W4" s="693">
        <v>16329.345196942963</v>
      </c>
      <c r="X4" s="17">
        <v>21084.337060524736</v>
      </c>
      <c r="Y4" s="17">
        <v>25986.184817731584</v>
      </c>
      <c r="Z4" s="17">
        <v>30624.725234514084</v>
      </c>
      <c r="AB4" s="595">
        <f>+J4/G4-1</f>
        <v>0.38557320136996509</v>
      </c>
      <c r="AC4" s="606" t="e">
        <f>+#REF!/J4-1</f>
        <v>#REF!</v>
      </c>
      <c r="AD4" s="606" t="e">
        <f>+K4/#REF!-1</f>
        <v>#REF!</v>
      </c>
      <c r="AE4" s="502"/>
      <c r="AF4" s="503">
        <f>J4-S4</f>
        <v>-15645.896349159862</v>
      </c>
      <c r="AG4" s="503" t="e">
        <f>#REF!-#REF!</f>
        <v>#REF!</v>
      </c>
      <c r="AH4" s="503">
        <f>K4-T4</f>
        <v>4204.9248205224803</v>
      </c>
      <c r="AI4" s="502"/>
      <c r="AJ4" s="640">
        <f t="shared" ref="AJ4:AQ6" si="0">IF(ISNUMBER(J4/S4-1),J4/S4-1,"n.a.")</f>
        <v>-0.78802276468888421</v>
      </c>
      <c r="AK4" s="685">
        <f t="shared" si="0"/>
        <v>1.5164370796835223</v>
      </c>
      <c r="AL4" s="670">
        <f t="shared" si="0"/>
        <v>1.4440799444067447</v>
      </c>
      <c r="AM4" s="670">
        <f t="shared" si="0"/>
        <v>1.6247321769606833</v>
      </c>
      <c r="AN4" s="685">
        <f t="shared" si="0"/>
        <v>-3.0037540560094667E-2</v>
      </c>
      <c r="AO4" s="670">
        <f t="shared" si="0"/>
        <v>-4.3836596136689332E-3</v>
      </c>
      <c r="AP4" s="670">
        <f t="shared" si="0"/>
        <v>-2.2422543271654716E-2</v>
      </c>
      <c r="AQ4" s="670">
        <f t="shared" si="0"/>
        <v>-2.7191709845310497E-2</v>
      </c>
      <c r="AR4" s="650"/>
      <c r="AS4" s="650">
        <f>(Q4/O4)^0.5-1</f>
        <v>0.19130715138985832</v>
      </c>
    </row>
    <row r="5" spans="2:45" s="29" customFormat="1">
      <c r="B5" s="330" t="s">
        <v>1116</v>
      </c>
      <c r="C5" s="4"/>
      <c r="D5" s="2042"/>
      <c r="E5" s="2042"/>
      <c r="F5" s="2042"/>
      <c r="G5" s="2042"/>
      <c r="H5" s="2042"/>
      <c r="I5" s="2042"/>
      <c r="J5" s="16"/>
      <c r="K5" s="694">
        <f>Segment!J11</f>
        <v>6591.89787918</v>
      </c>
      <c r="L5" s="2042">
        <f>Segment!K11</f>
        <v>8172.3068279999998</v>
      </c>
      <c r="M5" s="2042">
        <f>Segment!L11</f>
        <v>10336.009</v>
      </c>
      <c r="N5" s="2042">
        <f>Segment!M11</f>
        <v>13303.58428814</v>
      </c>
      <c r="O5" s="19">
        <f>Segment!N11</f>
        <v>15936.363618762907</v>
      </c>
      <c r="P5" s="19">
        <f>Segment!O11</f>
        <v>18645.5454339526</v>
      </c>
      <c r="Q5" s="19">
        <f>Segment!P11</f>
        <v>21255.921794705966</v>
      </c>
      <c r="R5" s="19"/>
      <c r="S5" s="19"/>
      <c r="T5" s="19"/>
      <c r="U5" s="19"/>
      <c r="V5" s="19"/>
      <c r="W5" s="19">
        <v>13540.688590450001</v>
      </c>
      <c r="X5" s="19">
        <v>16199.774587668078</v>
      </c>
      <c r="Y5" s="19">
        <v>19439.729505201693</v>
      </c>
      <c r="Z5" s="19">
        <v>22355.688930981945</v>
      </c>
      <c r="AB5" s="12"/>
      <c r="AC5" s="2043"/>
      <c r="AD5" s="2043"/>
      <c r="AE5" s="2042"/>
      <c r="AF5" s="2042"/>
      <c r="AG5" s="2042"/>
      <c r="AH5" s="2042"/>
      <c r="AI5" s="2042"/>
      <c r="AJ5" s="12"/>
      <c r="AK5" s="686"/>
      <c r="AL5" s="671"/>
      <c r="AM5" s="671"/>
      <c r="AN5" s="687">
        <f t="shared" si="0"/>
        <v>-1.7510505520171749E-2</v>
      </c>
      <c r="AO5" s="672">
        <f t="shared" si="0"/>
        <v>-1.6260162601625994E-2</v>
      </c>
      <c r="AP5" s="672">
        <f t="shared" si="0"/>
        <v>-4.0853658536585291E-2</v>
      </c>
      <c r="AQ5" s="672">
        <f t="shared" si="0"/>
        <v>-4.9194061505832276E-2</v>
      </c>
    </row>
    <row r="6" spans="2:45" s="29" customFormat="1">
      <c r="B6" s="330" t="s">
        <v>1117</v>
      </c>
      <c r="C6" s="4"/>
      <c r="D6" s="2042"/>
      <c r="E6" s="2042"/>
      <c r="F6" s="2042"/>
      <c r="G6" s="2042"/>
      <c r="H6" s="2042"/>
      <c r="I6" s="2042"/>
      <c r="J6" s="16"/>
      <c r="K6" s="694">
        <f>Segment!J12</f>
        <v>371.94956093000002</v>
      </c>
      <c r="L6" s="2042">
        <f>Segment!K12</f>
        <v>319.02572300000003</v>
      </c>
      <c r="M6" s="2042">
        <f>Segment!L12</f>
        <v>914.47520785999995</v>
      </c>
      <c r="N6" s="2042">
        <f>Segment!M12</f>
        <v>2518.1798534899999</v>
      </c>
      <c r="O6" s="19">
        <f>Segment!N12</f>
        <v>5031.826983243719</v>
      </c>
      <c r="P6" s="19">
        <f>Segment!O12</f>
        <v>6725.0367631052313</v>
      </c>
      <c r="Q6" s="19">
        <f>Segment!P12</f>
        <v>8490.3589134203539</v>
      </c>
      <c r="R6" s="19"/>
      <c r="S6" s="19"/>
      <c r="T6" s="19"/>
      <c r="U6" s="19"/>
      <c r="V6" s="19"/>
      <c r="W6" s="19">
        <v>2776.3467310629594</v>
      </c>
      <c r="X6" s="19">
        <v>4860.842571191748</v>
      </c>
      <c r="Y6" s="19">
        <v>6513.5290453969419</v>
      </c>
      <c r="Z6" s="19">
        <v>8223.3304198136393</v>
      </c>
      <c r="AB6" s="12"/>
      <c r="AC6" s="2043"/>
      <c r="AD6" s="2043"/>
      <c r="AE6" s="2042"/>
      <c r="AF6" s="2042"/>
      <c r="AG6" s="2042"/>
      <c r="AH6" s="2042"/>
      <c r="AI6" s="2042"/>
      <c r="AJ6" s="12"/>
      <c r="AK6" s="686"/>
      <c r="AL6" s="671"/>
      <c r="AM6" s="671"/>
      <c r="AN6" s="687">
        <f t="shared" si="0"/>
        <v>-9.29879811784593E-2</v>
      </c>
      <c r="AO6" s="672">
        <f t="shared" si="0"/>
        <v>3.5175879396984966E-2</v>
      </c>
      <c r="AP6" s="672">
        <f t="shared" si="0"/>
        <v>3.2472061801545271E-2</v>
      </c>
      <c r="AQ6" s="672">
        <f t="shared" si="0"/>
        <v>3.2472061801545049E-2</v>
      </c>
    </row>
    <row r="7" spans="2:45" s="29" customFormat="1">
      <c r="B7" s="1987" t="s">
        <v>1260</v>
      </c>
      <c r="C7" s="4"/>
      <c r="D7" s="2042"/>
      <c r="E7" s="2042"/>
      <c r="F7" s="2042"/>
      <c r="G7" s="2042"/>
      <c r="H7" s="2042"/>
      <c r="I7" s="2042"/>
      <c r="J7" s="16"/>
      <c r="K7" s="694"/>
      <c r="L7" s="2042"/>
      <c r="M7" s="2042"/>
      <c r="N7" s="2042">
        <f>Segment!M13</f>
        <v>1495.01406929</v>
      </c>
      <c r="O7" s="19">
        <f>Segment!N13</f>
        <v>3303.9810931308998</v>
      </c>
      <c r="P7" s="19">
        <f>Segment!O13</f>
        <v>4493.4142866580232</v>
      </c>
      <c r="Q7" s="19">
        <f>Segment!P13</f>
        <v>5684.1690726223997</v>
      </c>
      <c r="R7" s="19"/>
      <c r="S7" s="19"/>
      <c r="T7" s="19"/>
      <c r="U7" s="19"/>
      <c r="V7" s="19"/>
      <c r="W7" s="19">
        <v>1550</v>
      </c>
      <c r="X7" s="19">
        <v>3139.5295455089999</v>
      </c>
      <c r="Y7" s="19">
        <v>4238.3648864371498</v>
      </c>
      <c r="Z7" s="19">
        <v>5361.5315813429952</v>
      </c>
      <c r="AB7" s="12"/>
      <c r="AC7" s="2043"/>
      <c r="AD7" s="2043"/>
      <c r="AE7" s="2042"/>
      <c r="AF7" s="2042"/>
      <c r="AG7" s="2042"/>
      <c r="AH7" s="2042"/>
      <c r="AI7" s="2042"/>
      <c r="AJ7" s="12"/>
      <c r="AK7" s="686"/>
      <c r="AL7" s="671"/>
      <c r="AM7" s="671"/>
      <c r="AN7" s="687">
        <f t="shared" ref="AN7:AQ8" si="1">IF(ISNUMBER(N7/W7-1),N7/W7-1,"n.a.")</f>
        <v>-3.5474794006451593E-2</v>
      </c>
      <c r="AO7" s="672">
        <f t="shared" si="1"/>
        <v>5.2380952380952417E-2</v>
      </c>
      <c r="AP7" s="672">
        <f t="shared" si="1"/>
        <v>6.0176366843033291E-2</v>
      </c>
      <c r="AQ7" s="672">
        <f t="shared" si="1"/>
        <v>6.0176366843033291E-2</v>
      </c>
    </row>
    <row r="8" spans="2:45" s="29" customFormat="1">
      <c r="B8" s="1987" t="s">
        <v>1749</v>
      </c>
      <c r="C8" s="4"/>
      <c r="D8" s="2042"/>
      <c r="E8" s="2042"/>
      <c r="F8" s="2042"/>
      <c r="G8" s="2042"/>
      <c r="H8" s="2042"/>
      <c r="I8" s="2042"/>
      <c r="J8" s="16"/>
      <c r="K8" s="694"/>
      <c r="L8" s="2042"/>
      <c r="M8" s="2042"/>
      <c r="N8" s="2042">
        <f>Segment!M15</f>
        <v>1023.1657842</v>
      </c>
      <c r="O8" s="19">
        <f>Segment!N15</f>
        <v>1727.8458901128192</v>
      </c>
      <c r="P8" s="19">
        <f>Segment!O15</f>
        <v>2231.6224764472081</v>
      </c>
      <c r="Q8" s="19">
        <f>Segment!P15</f>
        <v>2806.1898407979543</v>
      </c>
      <c r="R8" s="19"/>
      <c r="S8" s="19"/>
      <c r="T8" s="19"/>
      <c r="U8" s="19"/>
      <c r="V8" s="19"/>
      <c r="W8" s="19">
        <f>W6-W7</f>
        <v>1226.3467310629594</v>
      </c>
      <c r="X8" s="19">
        <v>1721.313025682748</v>
      </c>
      <c r="Y8" s="19">
        <v>2275.1641589597921</v>
      </c>
      <c r="Z8" s="19">
        <v>2861.7988384706441</v>
      </c>
      <c r="AB8" s="12"/>
      <c r="AC8" s="2043"/>
      <c r="AD8" s="2043"/>
      <c r="AE8" s="2042"/>
      <c r="AF8" s="2042"/>
      <c r="AG8" s="2042"/>
      <c r="AH8" s="2042"/>
      <c r="AI8" s="2042"/>
      <c r="AJ8" s="12"/>
      <c r="AK8" s="686"/>
      <c r="AL8" s="671"/>
      <c r="AM8" s="671"/>
      <c r="AN8" s="687">
        <f t="shared" si="1"/>
        <v>-0.16567985359805093</v>
      </c>
      <c r="AO8" s="672">
        <f t="shared" si="1"/>
        <v>3.7952797269282801E-3</v>
      </c>
      <c r="AP8" s="672">
        <f t="shared" si="1"/>
        <v>-1.9137820161729047E-2</v>
      </c>
      <c r="AQ8" s="672">
        <f t="shared" si="1"/>
        <v>-1.9431483766485624E-2</v>
      </c>
    </row>
    <row r="9" spans="2:45" s="29" customFormat="1">
      <c r="B9" s="330"/>
      <c r="C9" s="4"/>
      <c r="D9" s="2042"/>
      <c r="E9" s="2042"/>
      <c r="F9" s="2042"/>
      <c r="G9" s="2042"/>
      <c r="H9" s="2042"/>
      <c r="I9" s="2042"/>
      <c r="J9" s="16"/>
      <c r="K9" s="694"/>
      <c r="L9" s="2042"/>
      <c r="M9" s="2042"/>
      <c r="N9" s="2042"/>
      <c r="O9" s="2042"/>
      <c r="P9" s="2042"/>
      <c r="Q9" s="2042"/>
      <c r="R9" s="2042"/>
      <c r="S9" s="2042"/>
      <c r="T9" s="694"/>
      <c r="U9" s="2042"/>
      <c r="V9" s="2042"/>
      <c r="W9" s="694"/>
      <c r="X9" s="2042"/>
      <c r="Y9" s="2042"/>
      <c r="Z9" s="2042"/>
      <c r="AB9" s="12"/>
      <c r="AC9" s="2043"/>
      <c r="AD9" s="2043"/>
      <c r="AE9" s="2042"/>
      <c r="AF9" s="2042"/>
      <c r="AG9" s="2042"/>
      <c r="AH9" s="2042"/>
      <c r="AI9" s="2042"/>
      <c r="AJ9" s="12"/>
      <c r="AK9" s="686"/>
      <c r="AL9" s="671"/>
      <c r="AM9" s="671"/>
      <c r="AN9" s="686"/>
      <c r="AO9" s="671"/>
      <c r="AP9" s="671"/>
      <c r="AQ9" s="671"/>
    </row>
    <row r="10" spans="2:45">
      <c r="B10" s="21" t="s">
        <v>49</v>
      </c>
      <c r="C10" s="21" t="s">
        <v>48</v>
      </c>
      <c r="D10" s="19" t="e">
        <f>-Model!#REF!</f>
        <v>#REF!</v>
      </c>
      <c r="E10" s="19" t="e">
        <f>-Model!#REF!</f>
        <v>#REF!</v>
      </c>
      <c r="F10" s="19">
        <f>-Model!C16</f>
        <v>1480.9947999999999</v>
      </c>
      <c r="G10" s="19">
        <f>-Model!D16</f>
        <v>1641.2420573099998</v>
      </c>
      <c r="H10" s="19">
        <f>-Model!E16</f>
        <v>2241.7192595500001</v>
      </c>
      <c r="I10" s="2044"/>
      <c r="J10" s="20">
        <f>-Model!E16</f>
        <v>2241.7192595500001</v>
      </c>
      <c r="K10" s="695">
        <f>-Model!G16</f>
        <v>3881.56479257</v>
      </c>
      <c r="L10" s="19">
        <f>-Model!H16</f>
        <v>4905.4613287299999</v>
      </c>
      <c r="M10" s="19">
        <f>-Model!I16</f>
        <v>6411.6537601099999</v>
      </c>
      <c r="N10" s="19">
        <f>-Model!J16</f>
        <v>8741.5610026499999</v>
      </c>
      <c r="O10" s="19">
        <f>-Model!K16</f>
        <v>11564.399061414118</v>
      </c>
      <c r="P10" s="19">
        <f>-Model!L16</f>
        <v>13747.298774425524</v>
      </c>
      <c r="Q10" s="19">
        <f>-Model!M16</f>
        <v>16022.730755500135</v>
      </c>
      <c r="R10" s="2044"/>
      <c r="S10" s="19">
        <v>10987.372201415927</v>
      </c>
      <c r="T10" s="695">
        <v>2154.5373104709847</v>
      </c>
      <c r="U10" s="19">
        <v>2662.7578798049021</v>
      </c>
      <c r="V10" s="19">
        <v>3225.9895262686855</v>
      </c>
      <c r="W10" s="695">
        <v>8969.8904589301274</v>
      </c>
      <c r="X10" s="19">
        <v>11553.92083989877</v>
      </c>
      <c r="Y10" s="19">
        <v>14057.965902545444</v>
      </c>
      <c r="Z10" s="19">
        <v>16468.11433617333</v>
      </c>
      <c r="AB10" s="597">
        <f>+J10/G10-1</f>
        <v>0.36586754498857044</v>
      </c>
      <c r="AC10" s="491" t="e">
        <f>+#REF!/J10-1</f>
        <v>#REF!</v>
      </c>
      <c r="AD10" s="491" t="e">
        <f>+K10/#REF!-1</f>
        <v>#REF!</v>
      </c>
      <c r="AE10" s="2044"/>
      <c r="AF10" s="19">
        <f>J10-S10</f>
        <v>-8745.6529418659266</v>
      </c>
      <c r="AG10" s="19" t="e">
        <f>#REF!-#REF!</f>
        <v>#REF!</v>
      </c>
      <c r="AH10" s="19">
        <f>K10-T10</f>
        <v>1727.0274820990153</v>
      </c>
      <c r="AI10" s="2044"/>
      <c r="AJ10" s="641">
        <f t="shared" ref="AJ10:AQ10" si="2">IF(ISNUMBER(J10/S10-1),J10/S10-1,"n.a.")</f>
        <v>-0.79597312091956685</v>
      </c>
      <c r="AK10" s="687">
        <f t="shared" si="2"/>
        <v>0.80157696676020196</v>
      </c>
      <c r="AL10" s="672">
        <f t="shared" si="2"/>
        <v>0.84224835683874444</v>
      </c>
      <c r="AM10" s="672">
        <f t="shared" si="2"/>
        <v>0.98749986876925377</v>
      </c>
      <c r="AN10" s="687">
        <f t="shared" si="2"/>
        <v>-2.5455099739017495E-2</v>
      </c>
      <c r="AO10" s="672">
        <f t="shared" si="2"/>
        <v>9.0689746455274722E-4</v>
      </c>
      <c r="AP10" s="672">
        <f t="shared" si="2"/>
        <v>-2.2099009933127522E-2</v>
      </c>
      <c r="AQ10" s="672">
        <f t="shared" si="2"/>
        <v>-2.7045208187246983E-2</v>
      </c>
    </row>
    <row r="11" spans="2:45">
      <c r="B11" s="11" t="s">
        <v>940</v>
      </c>
      <c r="C11" s="11"/>
      <c r="D11" s="17"/>
      <c r="E11" s="17"/>
      <c r="F11" s="17"/>
      <c r="G11" s="17"/>
      <c r="H11" s="17"/>
      <c r="I11" s="502"/>
      <c r="J11" s="18"/>
      <c r="K11" s="693">
        <f>Model!G20</f>
        <v>3096.2576818399998</v>
      </c>
      <c r="L11" s="17">
        <f>Model!H20</f>
        <v>3599.9284017699993</v>
      </c>
      <c r="M11" s="17">
        <f>Model!I20</f>
        <v>4851.1403231800005</v>
      </c>
      <c r="N11" s="17">
        <f>Model!J20</f>
        <v>7097.2908256200008</v>
      </c>
      <c r="O11" s="17">
        <f>Model!K20</f>
        <v>9427.5114422574115</v>
      </c>
      <c r="P11" s="17">
        <f>Model!L20</f>
        <v>11656.209689765257</v>
      </c>
      <c r="Q11" s="17">
        <f>Model!M20</f>
        <v>13769.255836344684</v>
      </c>
      <c r="R11" s="502"/>
      <c r="S11" s="17"/>
      <c r="T11" s="693"/>
      <c r="U11" s="17"/>
      <c r="V11" s="17"/>
      <c r="W11" s="693">
        <v>7359.4547380128352</v>
      </c>
      <c r="X11" s="17">
        <v>9530.4162206259662</v>
      </c>
      <c r="Y11" s="17">
        <v>11928.21891518614</v>
      </c>
      <c r="Z11" s="17">
        <v>14156.610898340754</v>
      </c>
      <c r="AB11" s="595"/>
      <c r="AC11" s="606"/>
      <c r="AD11" s="606"/>
      <c r="AE11" s="502"/>
      <c r="AF11" s="17"/>
      <c r="AG11" s="17"/>
      <c r="AH11" s="17"/>
      <c r="AI11" s="502"/>
      <c r="AJ11" s="640"/>
      <c r="AK11" s="685"/>
      <c r="AL11" s="670"/>
      <c r="AM11" s="670"/>
      <c r="AN11" s="685">
        <f t="shared" ref="AN11:AQ13" si="3">IF(ISNUMBER(N11/W11-1),N11/W11-1,"n.a.")</f>
        <v>-3.5622735885406431E-2</v>
      </c>
      <c r="AO11" s="670">
        <f t="shared" si="3"/>
        <v>-1.0797511460815867E-2</v>
      </c>
      <c r="AP11" s="670">
        <f t="shared" si="3"/>
        <v>-2.2803842497774784E-2</v>
      </c>
      <c r="AQ11" s="670">
        <f t="shared" si="3"/>
        <v>-2.7362132418393359E-2</v>
      </c>
    </row>
    <row r="12" spans="2:45">
      <c r="B12" s="330" t="s">
        <v>1116</v>
      </c>
      <c r="C12" s="21"/>
      <c r="D12" s="19"/>
      <c r="E12" s="19"/>
      <c r="F12" s="19"/>
      <c r="G12" s="19"/>
      <c r="H12" s="19"/>
      <c r="I12" s="2044"/>
      <c r="J12" s="20"/>
      <c r="K12" s="695">
        <f>Segment!J30</f>
        <v>3038.1215259000001</v>
      </c>
      <c r="L12" s="19">
        <f>Segment!K30</f>
        <v>3535.6389441199999</v>
      </c>
      <c r="M12" s="19">
        <f>Segment!L30</f>
        <v>4684.7677205190002</v>
      </c>
      <c r="N12" s="19">
        <f>Segment!M30</f>
        <v>6413.264823202001</v>
      </c>
      <c r="O12" s="19">
        <f>Segment!N30</f>
        <v>8106.0179576445962</v>
      </c>
      <c r="P12" s="19">
        <f>Segment!O30</f>
        <v>9713.0786210318893</v>
      </c>
      <c r="Q12" s="19">
        <f>Segment!P30</f>
        <v>11072.909627976354</v>
      </c>
      <c r="R12" s="19">
        <f>Segment!P30</f>
        <v>11072.909627976354</v>
      </c>
      <c r="S12" s="19"/>
      <c r="T12" s="695"/>
      <c r="U12" s="19"/>
      <c r="V12" s="19"/>
      <c r="W12" s="695">
        <v>6516.8387529512738</v>
      </c>
      <c r="X12" s="19">
        <v>8256.9374124802471</v>
      </c>
      <c r="Y12" s="19">
        <v>10003.63894107855</v>
      </c>
      <c r="Z12" s="19">
        <v>11493.333278091592</v>
      </c>
      <c r="AB12" s="597"/>
      <c r="AC12" s="491"/>
      <c r="AD12" s="491"/>
      <c r="AE12" s="2044"/>
      <c r="AF12" s="19"/>
      <c r="AG12" s="19"/>
      <c r="AH12" s="19"/>
      <c r="AI12" s="2044"/>
      <c r="AJ12" s="641"/>
      <c r="AK12" s="687"/>
      <c r="AL12" s="672"/>
      <c r="AM12" s="672"/>
      <c r="AN12" s="687">
        <f t="shared" si="3"/>
        <v>-1.5893277964314723E-2</v>
      </c>
      <c r="AO12" s="672">
        <f t="shared" si="3"/>
        <v>-1.8277897396622889E-2</v>
      </c>
      <c r="AP12" s="672">
        <f t="shared" si="3"/>
        <v>-2.9045462531990807E-2</v>
      </c>
      <c r="AQ12" s="672">
        <f t="shared" si="3"/>
        <v>-3.6579784118558667E-2</v>
      </c>
    </row>
    <row r="13" spans="2:45">
      <c r="B13" s="330" t="s">
        <v>1117</v>
      </c>
      <c r="C13" s="21"/>
      <c r="D13" s="19"/>
      <c r="E13" s="19"/>
      <c r="F13" s="19"/>
      <c r="G13" s="19"/>
      <c r="H13" s="19"/>
      <c r="I13" s="2044"/>
      <c r="J13" s="20"/>
      <c r="K13" s="695">
        <f>Segment!J31</f>
        <v>48.353631930000006</v>
      </c>
      <c r="L13" s="19">
        <f>Segment!K31</f>
        <v>54.449432000000002</v>
      </c>
      <c r="M13" s="19">
        <f>Segment!L31</f>
        <v>157.75568985999996</v>
      </c>
      <c r="N13" s="19">
        <f>Segment!M31</f>
        <v>672.0646217699998</v>
      </c>
      <c r="O13" s="19">
        <f>Segment!N31</f>
        <v>1304.8895534473822</v>
      </c>
      <c r="P13" s="19">
        <f>Segment!O31</f>
        <v>1920.082681740304</v>
      </c>
      <c r="Q13" s="19">
        <f>Segment!P31</f>
        <v>2664.3520897653798</v>
      </c>
      <c r="R13" s="19">
        <f>Segment!P31</f>
        <v>2664.3520897653798</v>
      </c>
      <c r="S13" s="19"/>
      <c r="T13" s="695"/>
      <c r="U13" s="19"/>
      <c r="V13" s="19"/>
      <c r="W13" s="695">
        <v>833.99907226055961</v>
      </c>
      <c r="X13" s="19">
        <v>1256.874876980281</v>
      </c>
      <c r="Y13" s="19">
        <v>1901.5315871145267</v>
      </c>
      <c r="Z13" s="19">
        <v>2631.2835016462113</v>
      </c>
      <c r="AB13" s="597"/>
      <c r="AC13" s="491"/>
      <c r="AD13" s="491"/>
      <c r="AE13" s="2044"/>
      <c r="AF13" s="19"/>
      <c r="AG13" s="19"/>
      <c r="AH13" s="19"/>
      <c r="AI13" s="2044"/>
      <c r="AJ13" s="641"/>
      <c r="AK13" s="687"/>
      <c r="AL13" s="672"/>
      <c r="AM13" s="672"/>
      <c r="AN13" s="687">
        <f t="shared" si="3"/>
        <v>-0.19416622377245041</v>
      </c>
      <c r="AO13" s="672">
        <f t="shared" si="3"/>
        <v>3.8201635935678491E-2</v>
      </c>
      <c r="AP13" s="672">
        <f t="shared" si="3"/>
        <v>9.7558698217197204E-3</v>
      </c>
      <c r="AQ13" s="672">
        <f t="shared" si="3"/>
        <v>1.2567474427776393E-2</v>
      </c>
    </row>
    <row r="14" spans="2:45">
      <c r="B14" s="21"/>
      <c r="C14" s="21"/>
      <c r="D14" s="19"/>
      <c r="E14" s="19"/>
      <c r="F14" s="19"/>
      <c r="G14" s="19"/>
      <c r="H14" s="19"/>
      <c r="I14" s="2044"/>
      <c r="J14" s="20"/>
      <c r="K14" s="695"/>
      <c r="L14" s="19"/>
      <c r="M14" s="19"/>
      <c r="N14" s="19"/>
      <c r="O14" s="19"/>
      <c r="P14" s="19"/>
      <c r="Q14" s="19"/>
      <c r="R14" s="2044"/>
      <c r="S14" s="19"/>
      <c r="T14" s="695"/>
      <c r="U14" s="19"/>
      <c r="V14" s="19"/>
      <c r="W14" s="695"/>
      <c r="X14" s="19"/>
      <c r="Y14" s="19"/>
      <c r="Z14" s="19"/>
      <c r="AB14" s="597"/>
      <c r="AC14" s="491"/>
      <c r="AD14" s="491"/>
      <c r="AE14" s="2044"/>
      <c r="AF14" s="19"/>
      <c r="AG14" s="19"/>
      <c r="AH14" s="19"/>
      <c r="AI14" s="2044"/>
      <c r="AJ14" s="641"/>
      <c r="AK14" s="687"/>
      <c r="AL14" s="672"/>
      <c r="AM14" s="672"/>
      <c r="AN14" s="687"/>
      <c r="AO14" s="672"/>
      <c r="AP14" s="672"/>
      <c r="AQ14" s="672"/>
    </row>
    <row r="15" spans="2:45">
      <c r="B15" s="21" t="s">
        <v>47</v>
      </c>
      <c r="C15" s="21" t="s">
        <v>46</v>
      </c>
      <c r="D15" s="19" t="e">
        <f>-Model!#REF!</f>
        <v>#REF!</v>
      </c>
      <c r="E15" s="19" t="e">
        <f>-Model!#REF!</f>
        <v>#REF!</v>
      </c>
      <c r="F15" s="19">
        <f>-Model!C23</f>
        <v>981.98320000000012</v>
      </c>
      <c r="G15" s="19">
        <f>-Model!D23</f>
        <v>1152.6477558700001</v>
      </c>
      <c r="H15" s="19">
        <f>-Model!E23</f>
        <v>1257.1570232700001</v>
      </c>
      <c r="I15" s="2044"/>
      <c r="J15" s="20">
        <f>-Model!E23</f>
        <v>1257.1570232700001</v>
      </c>
      <c r="K15" s="695">
        <f>-Model!G23</f>
        <v>1739.63643527</v>
      </c>
      <c r="L15" s="19">
        <f>-Model!H23</f>
        <v>1841.1950590099998</v>
      </c>
      <c r="M15" s="19">
        <f>-Model!I23</f>
        <v>2499.6673262899999</v>
      </c>
      <c r="N15" s="19">
        <f>-Model!J23</f>
        <v>3329.1976100699994</v>
      </c>
      <c r="O15" s="19">
        <f>-Model!K23</f>
        <v>4191.9134997204546</v>
      </c>
      <c r="P15" s="19">
        <f>-Model!L23</f>
        <v>4938.2350748650369</v>
      </c>
      <c r="Q15" s="19">
        <f>-Model!M23</f>
        <v>5684.0683168041733</v>
      </c>
      <c r="R15" s="2044"/>
      <c r="S15" s="19">
        <v>3147.8154627309323</v>
      </c>
      <c r="T15" s="695">
        <v>366.70009829307605</v>
      </c>
      <c r="U15" s="19">
        <v>476.13636440554336</v>
      </c>
      <c r="V15" s="19">
        <v>613.36717930908389</v>
      </c>
      <c r="W15" s="695">
        <v>3513.9645129961555</v>
      </c>
      <c r="X15" s="19">
        <v>4260.9727390403432</v>
      </c>
      <c r="Y15" s="19">
        <v>5121.6653097491362</v>
      </c>
      <c r="Z15" s="19">
        <v>5928.6972958919077</v>
      </c>
      <c r="AB15" s="597">
        <f>+J15/G15-1</f>
        <v>9.0668868149678561E-2</v>
      </c>
      <c r="AC15" s="491" t="e">
        <f>+#REF!/J15-1</f>
        <v>#REF!</v>
      </c>
      <c r="AD15" s="491" t="e">
        <f>+K15/#REF!-1</f>
        <v>#REF!</v>
      </c>
      <c r="AE15" s="2044"/>
      <c r="AF15" s="19">
        <f>J15-S15</f>
        <v>-1890.6584394609322</v>
      </c>
      <c r="AG15" s="19" t="e">
        <f>#REF!-#REF!</f>
        <v>#REF!</v>
      </c>
      <c r="AH15" s="19">
        <f>K15-T15</f>
        <v>1372.9363369769239</v>
      </c>
      <c r="AI15" s="2044"/>
      <c r="AJ15" s="641">
        <f t="shared" ref="AJ15:AQ17" si="4">IF(ISNUMBER(J15/S15-1),J15/S15-1,"n.a.")</f>
        <v>-0.60062556456872618</v>
      </c>
      <c r="AK15" s="687">
        <f t="shared" si="4"/>
        <v>3.7440304580437775</v>
      </c>
      <c r="AL15" s="672">
        <f t="shared" si="4"/>
        <v>2.8669490437024976</v>
      </c>
      <c r="AM15" s="672">
        <f t="shared" si="4"/>
        <v>3.07531966269487</v>
      </c>
      <c r="AN15" s="687">
        <f t="shared" si="4"/>
        <v>-5.2580753801812263E-2</v>
      </c>
      <c r="AO15" s="672">
        <f t="shared" si="4"/>
        <v>-1.6207388206722517E-2</v>
      </c>
      <c r="AP15" s="672">
        <f t="shared" si="4"/>
        <v>-3.5814568854184659E-2</v>
      </c>
      <c r="AQ15" s="672">
        <f t="shared" si="4"/>
        <v>-4.1261843349169158E-2</v>
      </c>
    </row>
    <row r="16" spans="2:45" s="29" customFormat="1">
      <c r="B16" s="4" t="s">
        <v>44</v>
      </c>
      <c r="C16" s="4" t="s">
        <v>43</v>
      </c>
      <c r="D16" s="2045" t="e">
        <f>-Model!#REF!</f>
        <v>#REF!</v>
      </c>
      <c r="E16" s="2045" t="e">
        <f>-Model!#REF!</f>
        <v>#REF!</v>
      </c>
      <c r="F16" s="2045">
        <f>-Model!C27</f>
        <v>0.53539999999999999</v>
      </c>
      <c r="G16" s="2045">
        <f>-Model!D27</f>
        <v>2.2846108799999998</v>
      </c>
      <c r="H16" s="2045">
        <f>-Model!E27</f>
        <v>6.5609849000000002</v>
      </c>
      <c r="I16" s="2044"/>
      <c r="J16" s="30">
        <f>-Model!E27</f>
        <v>6.5609849000000002</v>
      </c>
      <c r="K16" s="696">
        <f>-Model!G27</f>
        <v>-115.88505549</v>
      </c>
      <c r="L16" s="2045">
        <f>-Model!H27</f>
        <v>-12.42969005</v>
      </c>
      <c r="M16" s="2045">
        <f>-Model!I27</f>
        <v>-27.68001332</v>
      </c>
      <c r="N16" s="2045">
        <f>-Model!J27</f>
        <v>-31.990654590000002</v>
      </c>
      <c r="O16" s="2045">
        <f>-Model!K27</f>
        <v>-200.04207292000001</v>
      </c>
      <c r="P16" s="2045">
        <f>-Model!L27</f>
        <v>-49.042072920000003</v>
      </c>
      <c r="Q16" s="2045">
        <f>-Model!M27</f>
        <v>-54.04207292000001</v>
      </c>
      <c r="R16" s="2044"/>
      <c r="S16" s="2045">
        <v>-157.82</v>
      </c>
      <c r="T16" s="696">
        <v>9.9976239400000004</v>
      </c>
      <c r="U16" s="2045">
        <v>9.9973863339999998</v>
      </c>
      <c r="V16" s="2045">
        <v>9.9971249673999996</v>
      </c>
      <c r="W16" s="696">
        <v>-30.617256610000005</v>
      </c>
      <c r="X16" s="2045">
        <v>-55.054661759000005</v>
      </c>
      <c r="Y16" s="2045">
        <v>-38.580370924000007</v>
      </c>
      <c r="Z16" s="2045">
        <v>-42.534200724400009</v>
      </c>
      <c r="AB16" s="598"/>
      <c r="AC16" s="2046"/>
      <c r="AD16" s="2046"/>
      <c r="AE16" s="2044"/>
      <c r="AF16" s="2045">
        <f>J16-S16</f>
        <v>164.38098489999999</v>
      </c>
      <c r="AG16" s="2045" t="e">
        <f>#REF!-#REF!</f>
        <v>#REF!</v>
      </c>
      <c r="AH16" s="2045">
        <f>K16-T16</f>
        <v>-125.88267943</v>
      </c>
      <c r="AI16" s="2044"/>
      <c r="AJ16" s="642">
        <f t="shared" si="4"/>
        <v>-1.0415725820555062</v>
      </c>
      <c r="AK16" s="688">
        <f t="shared" si="4"/>
        <v>-12.591259701852717</v>
      </c>
      <c r="AL16" s="673">
        <f t="shared" si="4"/>
        <v>-2.2432939605152606</v>
      </c>
      <c r="AM16" s="673">
        <f t="shared" si="4"/>
        <v>-3.7687973702702324</v>
      </c>
      <c r="AN16" s="688">
        <f t="shared" si="4"/>
        <v>4.4856990209613645E-2</v>
      </c>
      <c r="AO16" s="673">
        <f t="shared" si="4"/>
        <v>2.6335174266563963</v>
      </c>
      <c r="AP16" s="673">
        <f t="shared" si="4"/>
        <v>0.2711664441124384</v>
      </c>
      <c r="AQ16" s="673">
        <f t="shared" si="4"/>
        <v>0.2705557410180377</v>
      </c>
    </row>
    <row r="17" spans="2:43">
      <c r="B17" s="11" t="s">
        <v>42</v>
      </c>
      <c r="C17" s="11" t="s">
        <v>42</v>
      </c>
      <c r="D17" s="17" t="e">
        <f>Model!#REF!</f>
        <v>#REF!</v>
      </c>
      <c r="E17" s="17" t="e">
        <f>Model!#REF!</f>
        <v>#REF!</v>
      </c>
      <c r="F17" s="17">
        <f>Model!C30</f>
        <v>380.29420000000005</v>
      </c>
      <c r="G17" s="17">
        <f>Model!D30</f>
        <v>326.33306362000008</v>
      </c>
      <c r="H17" s="17">
        <f>Model!E30</f>
        <v>813.01567663000014</v>
      </c>
      <c r="I17" s="502"/>
      <c r="J17" s="18">
        <f>Model!E30</f>
        <v>813.01567663000014</v>
      </c>
      <c r="K17" s="693">
        <f>Model!G30</f>
        <v>1657.6191059899998</v>
      </c>
      <c r="L17" s="17">
        <f>Model!H30</f>
        <v>1995.1044041999994</v>
      </c>
      <c r="M17" s="17">
        <f>Model!I30</f>
        <v>2633.1921362300009</v>
      </c>
      <c r="N17" s="17">
        <f>Model!J30</f>
        <v>4143.1355566200018</v>
      </c>
      <c r="O17" s="17">
        <f>Model!K30</f>
        <v>5851.8558755225095</v>
      </c>
      <c r="P17" s="17">
        <f>Model!L30</f>
        <v>7272.9926875004094</v>
      </c>
      <c r="Q17" s="17">
        <f>Model!M30</f>
        <v>8873.3423907356137</v>
      </c>
      <c r="R17" s="502"/>
      <c r="S17" s="17">
        <v>6334.7453032480935</v>
      </c>
      <c r="T17" s="693">
        <v>320.56774129761811</v>
      </c>
      <c r="U17" s="17">
        <v>422.94455471273187</v>
      </c>
      <c r="V17" s="17">
        <v>549.08063691608163</v>
      </c>
      <c r="W17" s="693">
        <v>4232.6230342000863</v>
      </c>
      <c r="X17" s="17">
        <v>5740.9976767779654</v>
      </c>
      <c r="Y17" s="17">
        <v>7353.2431152135787</v>
      </c>
      <c r="Z17" s="17">
        <v>9011.3788114533181</v>
      </c>
      <c r="AB17" s="595">
        <f>+J17/G17-1</f>
        <v>1.491367768902264</v>
      </c>
      <c r="AC17" s="606" t="e">
        <f>+#REF!/J17-1</f>
        <v>#REF!</v>
      </c>
      <c r="AD17" s="606" t="e">
        <f>+K17/#REF!-1</f>
        <v>#REF!</v>
      </c>
      <c r="AE17" s="502"/>
      <c r="AF17" s="17">
        <f>J17-S17</f>
        <v>-5521.7296266180929</v>
      </c>
      <c r="AG17" s="17" t="e">
        <f>#REF!-#REF!</f>
        <v>#REF!</v>
      </c>
      <c r="AH17" s="17">
        <f>K17-T17</f>
        <v>1337.0513646923816</v>
      </c>
      <c r="AI17" s="502"/>
      <c r="AJ17" s="640">
        <f t="shared" si="4"/>
        <v>-0.87165771665466452</v>
      </c>
      <c r="AK17" s="685">
        <f t="shared" si="4"/>
        <v>4.170885564717663</v>
      </c>
      <c r="AL17" s="670">
        <f t="shared" si="4"/>
        <v>3.7171771854471425</v>
      </c>
      <c r="AM17" s="670">
        <f t="shared" si="4"/>
        <v>3.7956383073702211</v>
      </c>
      <c r="AN17" s="685">
        <f t="shared" si="4"/>
        <v>-2.1142321642398931E-2</v>
      </c>
      <c r="AO17" s="670">
        <f t="shared" si="4"/>
        <v>1.9309918760803457E-2</v>
      </c>
      <c r="AP17" s="670">
        <f t="shared" si="4"/>
        <v>-1.0913610016121233E-2</v>
      </c>
      <c r="AQ17" s="670">
        <f t="shared" si="4"/>
        <v>-1.5318013325803403E-2</v>
      </c>
    </row>
    <row r="18" spans="2:43">
      <c r="B18" s="4" t="s">
        <v>41</v>
      </c>
      <c r="C18" s="4"/>
      <c r="D18" s="2042"/>
      <c r="E18" s="2042"/>
      <c r="F18" s="2042"/>
      <c r="G18" s="2042"/>
      <c r="H18" s="2042"/>
      <c r="I18" s="2042"/>
      <c r="J18" s="16"/>
      <c r="K18" s="694"/>
      <c r="L18" s="2042"/>
      <c r="M18" s="2042"/>
      <c r="N18" s="2042"/>
      <c r="O18" s="2042"/>
      <c r="P18" s="2042"/>
      <c r="Q18" s="2042"/>
      <c r="R18" s="2042"/>
      <c r="S18" s="2042"/>
      <c r="T18" s="694"/>
      <c r="U18" s="2042"/>
      <c r="V18" s="2042"/>
      <c r="W18" s="694"/>
      <c r="X18" s="2042"/>
      <c r="Y18" s="2042"/>
      <c r="Z18" s="2042"/>
      <c r="AB18" s="599"/>
      <c r="AC18" s="2043"/>
      <c r="AD18" s="2043"/>
      <c r="AE18" s="2042"/>
      <c r="AF18" s="2042"/>
      <c r="AG18" s="2042"/>
      <c r="AH18" s="2042"/>
      <c r="AI18" s="2042"/>
      <c r="AJ18" s="12"/>
      <c r="AK18" s="686"/>
      <c r="AL18" s="671"/>
      <c r="AM18" s="671"/>
      <c r="AN18" s="686"/>
      <c r="AO18" s="671"/>
      <c r="AP18" s="671"/>
      <c r="AQ18" s="671"/>
    </row>
    <row r="19" spans="2:43">
      <c r="B19" s="21" t="s">
        <v>40</v>
      </c>
      <c r="C19" s="21" t="s">
        <v>39</v>
      </c>
      <c r="D19" s="19" t="e">
        <f>-Model!#REF!</f>
        <v>#REF!</v>
      </c>
      <c r="E19" s="19" t="e">
        <f>-Model!#REF!</f>
        <v>#REF!</v>
      </c>
      <c r="F19" s="19">
        <f>-Model!C33</f>
        <v>0</v>
      </c>
      <c r="G19" s="19">
        <f>-Model!D33</f>
        <v>77.859574969999997</v>
      </c>
      <c r="H19" s="19">
        <f>-Model!E33</f>
        <v>102.17591390000001</v>
      </c>
      <c r="I19" s="2044"/>
      <c r="J19" s="20">
        <f>-Model!E33</f>
        <v>102.17591390000001</v>
      </c>
      <c r="K19" s="695">
        <f>-Model!G33</f>
        <v>173.10489672</v>
      </c>
      <c r="L19" s="19">
        <f>-Model!H33</f>
        <v>211.9910213</v>
      </c>
      <c r="M19" s="19">
        <f>-Model!I33</f>
        <v>241.69913559</v>
      </c>
      <c r="N19" s="19">
        <f>-Model!J33</f>
        <v>325.93171645999996</v>
      </c>
      <c r="O19" s="19">
        <f>-Model!K33</f>
        <v>392.57667655844563</v>
      </c>
      <c r="P19" s="19">
        <f>-Model!L33</f>
        <v>473.34602367824692</v>
      </c>
      <c r="Q19" s="19">
        <f>-Model!M33</f>
        <v>691.37348251108654</v>
      </c>
      <c r="R19" s="2044"/>
      <c r="S19" s="19">
        <v>451.4869781960586</v>
      </c>
      <c r="T19" s="695">
        <v>59.131369673543659</v>
      </c>
      <c r="U19" s="19">
        <v>76.445661087041728</v>
      </c>
      <c r="V19" s="19">
        <v>95.812120575991443</v>
      </c>
      <c r="W19" s="695">
        <v>337.90731083933252</v>
      </c>
      <c r="X19" s="19">
        <v>392.84851937271975</v>
      </c>
      <c r="Y19" s="19">
        <v>475.36583806573964</v>
      </c>
      <c r="Z19" s="19">
        <v>697.79390740360805</v>
      </c>
      <c r="AB19" s="597">
        <f>+J19/G19-1</f>
        <v>0.31231019356796286</v>
      </c>
      <c r="AC19" s="491" t="e">
        <f>+#REF!/J19-1</f>
        <v>#REF!</v>
      </c>
      <c r="AD19" s="491" t="e">
        <f>+K19/#REF!-1</f>
        <v>#REF!</v>
      </c>
      <c r="AE19" s="2044"/>
      <c r="AF19" s="19">
        <f>J19-S19</f>
        <v>-349.31106429605859</v>
      </c>
      <c r="AG19" s="19" t="e">
        <f>#REF!-#REF!</f>
        <v>#REF!</v>
      </c>
      <c r="AH19" s="19">
        <f>K19-T19</f>
        <v>113.97352704645634</v>
      </c>
      <c r="AI19" s="2044"/>
      <c r="AJ19" s="641">
        <f t="shared" ref="AJ19:AQ21" si="5">IF(ISNUMBER(J19/S19-1),J19/S19-1,"n.a.")</f>
        <v>-0.77369023065017384</v>
      </c>
      <c r="AK19" s="687">
        <f t="shared" si="5"/>
        <v>1.9274629976557089</v>
      </c>
      <c r="AL19" s="672">
        <f t="shared" si="5"/>
        <v>1.7730942251728989</v>
      </c>
      <c r="AM19" s="672">
        <f t="shared" si="5"/>
        <v>1.5226363234315561</v>
      </c>
      <c r="AN19" s="687">
        <f t="shared" si="5"/>
        <v>-3.5440471381297467E-2</v>
      </c>
      <c r="AO19" s="672">
        <f t="shared" si="5"/>
        <v>-6.9197871665183097E-4</v>
      </c>
      <c r="AP19" s="672">
        <f t="shared" si="5"/>
        <v>-4.2489683224005148E-3</v>
      </c>
      <c r="AQ19" s="672">
        <f t="shared" si="5"/>
        <v>-9.2010331767025111E-3</v>
      </c>
    </row>
    <row r="20" spans="2:43">
      <c r="B20" s="4" t="s">
        <v>38</v>
      </c>
      <c r="C20" s="4" t="s">
        <v>37</v>
      </c>
      <c r="D20" s="2044" t="e">
        <f>-Model!#REF!</f>
        <v>#REF!</v>
      </c>
      <c r="E20" s="2044" t="e">
        <f>-Model!#REF!</f>
        <v>#REF!</v>
      </c>
      <c r="F20" s="2044">
        <f>-Model!C34</f>
        <v>0</v>
      </c>
      <c r="G20" s="2044">
        <f>-Model!D34</f>
        <v>7.1119130899999998</v>
      </c>
      <c r="H20" s="2044">
        <f>-Model!E34</f>
        <v>7.5485511800000005</v>
      </c>
      <c r="I20" s="2044"/>
      <c r="J20" s="24">
        <f>-Model!E34</f>
        <v>7.5485511800000005</v>
      </c>
      <c r="K20" s="697">
        <f>-Model!G34</f>
        <v>12.007907210000001</v>
      </c>
      <c r="L20" s="2044">
        <f>-Model!H34</f>
        <v>11.950350090000001</v>
      </c>
      <c r="M20" s="2044">
        <f>-Model!I34</f>
        <v>12.33999043</v>
      </c>
      <c r="N20" s="2044">
        <f>-Model!J34</f>
        <v>17.11997002</v>
      </c>
      <c r="O20" s="2044">
        <f>-Model!K34</f>
        <v>23.639183507107241</v>
      </c>
      <c r="P20" s="2044">
        <f>-Model!L34</f>
        <v>32.629976001943092</v>
      </c>
      <c r="Q20" s="2044">
        <f>-Model!M34</f>
        <v>42.739315764015991</v>
      </c>
      <c r="R20" s="2044"/>
      <c r="S20" s="2044">
        <v>6.0011607690302258</v>
      </c>
      <c r="T20" s="697">
        <v>19.773750440615778</v>
      </c>
      <c r="U20" s="2044">
        <v>15.393992156316628</v>
      </c>
      <c r="V20" s="2044">
        <v>11.596320629206268</v>
      </c>
      <c r="W20" s="697">
        <v>18.608241734073822</v>
      </c>
      <c r="X20" s="2044">
        <v>23.651014060621193</v>
      </c>
      <c r="Y20" s="2044">
        <v>32.74330078683375</v>
      </c>
      <c r="Z20" s="2044">
        <v>43.137100876464352</v>
      </c>
      <c r="AB20" s="598">
        <f>+J20/G20-1</f>
        <v>6.1395307349010553E-2</v>
      </c>
      <c r="AC20" s="2047" t="e">
        <f>+#REF!/J20-1</f>
        <v>#REF!</v>
      </c>
      <c r="AD20" s="2047" t="e">
        <f>+K20/#REF!-1</f>
        <v>#REF!</v>
      </c>
      <c r="AE20" s="2044"/>
      <c r="AF20" s="2044">
        <f>J20-S20</f>
        <v>1.5473904109697747</v>
      </c>
      <c r="AG20" s="2044" t="e">
        <f>#REF!-#REF!</f>
        <v>#REF!</v>
      </c>
      <c r="AH20" s="2044">
        <f>K20-T20</f>
        <v>-7.7658432306157774</v>
      </c>
      <c r="AI20" s="2044"/>
      <c r="AJ20" s="642">
        <f t="shared" si="5"/>
        <v>0.25784851806591913</v>
      </c>
      <c r="AK20" s="688">
        <f t="shared" si="5"/>
        <v>-0.39273496719492029</v>
      </c>
      <c r="AL20" s="673">
        <f t="shared" si="5"/>
        <v>-0.22370039112327311</v>
      </c>
      <c r="AM20" s="673">
        <f t="shared" si="5"/>
        <v>6.4129806735486516E-2</v>
      </c>
      <c r="AN20" s="688">
        <f t="shared" si="5"/>
        <v>-7.9979169195154243E-2</v>
      </c>
      <c r="AO20" s="673">
        <f t="shared" si="5"/>
        <v>-5.0021337282324385E-4</v>
      </c>
      <c r="AP20" s="673">
        <f t="shared" si="5"/>
        <v>-3.4610067454233784E-3</v>
      </c>
      <c r="AQ20" s="673">
        <f t="shared" si="5"/>
        <v>-9.2214150781141369E-3</v>
      </c>
    </row>
    <row r="21" spans="2:43">
      <c r="B21" s="11" t="s">
        <v>36</v>
      </c>
      <c r="C21" s="11" t="s">
        <v>35</v>
      </c>
      <c r="D21" s="17" t="e">
        <f>Model!#REF!</f>
        <v>#REF!</v>
      </c>
      <c r="E21" s="17" t="e">
        <f>Model!#REF!</f>
        <v>#REF!</v>
      </c>
      <c r="F21" s="17">
        <f>Model!C35</f>
        <v>380.29420000000005</v>
      </c>
      <c r="G21" s="17">
        <f>Model!D35</f>
        <v>241.36157556000009</v>
      </c>
      <c r="H21" s="17">
        <f>Model!E35</f>
        <v>703.29121155000007</v>
      </c>
      <c r="I21" s="502"/>
      <c r="J21" s="18">
        <f>Model!E35</f>
        <v>703.29121155000007</v>
      </c>
      <c r="K21" s="693">
        <f>Model!G35</f>
        <v>1472.5063020599998</v>
      </c>
      <c r="L21" s="17">
        <f>Model!H35</f>
        <v>1771.1630328099993</v>
      </c>
      <c r="M21" s="17">
        <f>Model!I35</f>
        <v>2379.153010210001</v>
      </c>
      <c r="N21" s="17">
        <f>Model!J35</f>
        <v>3800.0838701400021</v>
      </c>
      <c r="O21" s="17">
        <f>Model!K35</f>
        <v>5435.6400154569565</v>
      </c>
      <c r="P21" s="17">
        <f>Model!L35</f>
        <v>6767.0166878202199</v>
      </c>
      <c r="Q21" s="17">
        <f>Model!M35</f>
        <v>8139.2295924605105</v>
      </c>
      <c r="R21" s="502"/>
      <c r="S21" s="17">
        <v>5877.2571642830044</v>
      </c>
      <c r="T21" s="693">
        <v>241.6626211834587</v>
      </c>
      <c r="U21" s="17">
        <v>331.10490146937349</v>
      </c>
      <c r="V21" s="17">
        <v>441.6721957108839</v>
      </c>
      <c r="W21" s="693">
        <v>3876.1074816266796</v>
      </c>
      <c r="X21" s="17">
        <v>5324.4981433446237</v>
      </c>
      <c r="Y21" s="17">
        <v>6845.1339763610049</v>
      </c>
      <c r="Z21" s="17">
        <v>8270.4478031732469</v>
      </c>
      <c r="AB21" s="595">
        <f>+J21/G21-1</f>
        <v>1.9138491075816204</v>
      </c>
      <c r="AC21" s="606" t="e">
        <f>+#REF!/J21-1</f>
        <v>#REF!</v>
      </c>
      <c r="AD21" s="606" t="e">
        <f>+K21/#REF!-1</f>
        <v>#REF!</v>
      </c>
      <c r="AE21" s="502"/>
      <c r="AF21" s="17">
        <f>J21-S21</f>
        <v>-5173.9659527330041</v>
      </c>
      <c r="AG21" s="17" t="e">
        <f>#REF!-#REF!</f>
        <v>#REF!</v>
      </c>
      <c r="AH21" s="17">
        <f>K21-T21</f>
        <v>1230.8436808765412</v>
      </c>
      <c r="AI21" s="502"/>
      <c r="AJ21" s="640">
        <f t="shared" si="5"/>
        <v>-0.88033683197937829</v>
      </c>
      <c r="AK21" s="685">
        <f t="shared" si="5"/>
        <v>5.0932315260378784</v>
      </c>
      <c r="AL21" s="670">
        <f t="shared" si="5"/>
        <v>4.3492504186738179</v>
      </c>
      <c r="AM21" s="670">
        <f t="shared" si="5"/>
        <v>4.3866940987324021</v>
      </c>
      <c r="AN21" s="685">
        <f t="shared" si="5"/>
        <v>-1.9613390972010092E-2</v>
      </c>
      <c r="AO21" s="670">
        <f t="shared" si="5"/>
        <v>2.0873680320699251E-2</v>
      </c>
      <c r="AP21" s="670">
        <f t="shared" si="5"/>
        <v>-1.1412090517228024E-2</v>
      </c>
      <c r="AQ21" s="670">
        <f t="shared" si="5"/>
        <v>-1.5865913652509889E-2</v>
      </c>
    </row>
    <row r="22" spans="2:43">
      <c r="B22" s="4"/>
      <c r="C22" s="4"/>
      <c r="D22" s="2042"/>
      <c r="E22" s="2042"/>
      <c r="F22" s="2042"/>
      <c r="G22" s="2042"/>
      <c r="H22" s="2042"/>
      <c r="I22" s="2042"/>
      <c r="J22" s="16"/>
      <c r="K22" s="694"/>
      <c r="L22" s="2042"/>
      <c r="M22" s="2042"/>
      <c r="N22" s="2042"/>
      <c r="O22" s="2042"/>
      <c r="P22" s="2042"/>
      <c r="Q22" s="2042"/>
      <c r="R22" s="2042"/>
      <c r="S22" s="2042"/>
      <c r="T22" s="694"/>
      <c r="U22" s="2042"/>
      <c r="V22" s="2042"/>
      <c r="W22" s="694"/>
      <c r="X22" s="2042"/>
      <c r="Y22" s="2042"/>
      <c r="Z22" s="2042"/>
      <c r="AB22" s="599"/>
      <c r="AC22" s="2043"/>
      <c r="AD22" s="2043"/>
      <c r="AE22" s="2042"/>
      <c r="AF22" s="2042"/>
      <c r="AG22" s="2042"/>
      <c r="AH22" s="2042"/>
      <c r="AI22" s="2042"/>
      <c r="AJ22" s="12"/>
      <c r="AK22" s="686"/>
      <c r="AL22" s="671"/>
      <c r="AM22" s="671"/>
      <c r="AN22" s="686"/>
      <c r="AO22" s="671"/>
      <c r="AP22" s="671"/>
      <c r="AQ22" s="671"/>
    </row>
    <row r="23" spans="2:43">
      <c r="B23" s="21" t="s">
        <v>34</v>
      </c>
      <c r="C23" s="21" t="s">
        <v>33</v>
      </c>
      <c r="D23" s="19" t="e">
        <f>Model!#REF!</f>
        <v>#REF!</v>
      </c>
      <c r="E23" s="19" t="e">
        <f>Model!#REF!</f>
        <v>#REF!</v>
      </c>
      <c r="F23" s="19">
        <f>Model!C39</f>
        <v>0</v>
      </c>
      <c r="G23" s="19">
        <f>Model!D39</f>
        <v>2.7387297599999996</v>
      </c>
      <c r="H23" s="19">
        <f>Model!E39</f>
        <v>20.080900679999999</v>
      </c>
      <c r="I23" s="2044"/>
      <c r="J23" s="20">
        <f>Model!E39</f>
        <v>20.080900679999999</v>
      </c>
      <c r="K23" s="695">
        <f>Model!G39</f>
        <v>29.262542249999999</v>
      </c>
      <c r="L23" s="19">
        <f>Model!H39</f>
        <v>19.820947690000001</v>
      </c>
      <c r="M23" s="19">
        <f>Model!I39</f>
        <v>122.48630601000001</v>
      </c>
      <c r="N23" s="19">
        <f>Model!J39</f>
        <v>260.35606838999996</v>
      </c>
      <c r="O23" s="19">
        <f>Model!K39</f>
        <v>270.40037957564999</v>
      </c>
      <c r="P23" s="19">
        <f>Model!L39</f>
        <v>322.80574728916378</v>
      </c>
      <c r="Q23" s="19">
        <f>Model!M39</f>
        <v>339.57588748787327</v>
      </c>
      <c r="R23" s="2044"/>
      <c r="S23" s="19">
        <v>321.35250000000002</v>
      </c>
      <c r="T23" s="695">
        <v>3.7305807</v>
      </c>
      <c r="U23" s="19">
        <v>4.6632258750000002</v>
      </c>
      <c r="V23" s="19">
        <v>5.5958710500000004</v>
      </c>
      <c r="W23" s="695">
        <v>181.94424443125001</v>
      </c>
      <c r="X23" s="19">
        <v>292.44800409200889</v>
      </c>
      <c r="Y23" s="19">
        <v>346.3345471453967</v>
      </c>
      <c r="Z23" s="19">
        <v>368.93114997537242</v>
      </c>
      <c r="AB23" s="597">
        <f>+J23/G23-1</f>
        <v>6.3321950099961679</v>
      </c>
      <c r="AC23" s="491" t="e">
        <f>+#REF!/J23-1</f>
        <v>#REF!</v>
      </c>
      <c r="AD23" s="491" t="e">
        <f>+K23/#REF!-1</f>
        <v>#REF!</v>
      </c>
      <c r="AE23" s="2044"/>
      <c r="AF23" s="19">
        <f>J23-S23</f>
        <v>-301.27159932000001</v>
      </c>
      <c r="AG23" s="19" t="e">
        <f>#REF!-#REF!</f>
        <v>#REF!</v>
      </c>
      <c r="AH23" s="19">
        <f>K23-T23</f>
        <v>25.531961549999998</v>
      </c>
      <c r="AI23" s="2044"/>
      <c r="AJ23" s="641">
        <f t="shared" ref="AJ23:AQ25" si="6">IF(ISNUMBER(J23/S23-1),J23/S23-1,"n.a.")</f>
        <v>-0.93751129778047471</v>
      </c>
      <c r="AK23" s="687">
        <f t="shared" si="6"/>
        <v>6.8439644128325652</v>
      </c>
      <c r="AL23" s="672">
        <f t="shared" si="6"/>
        <v>3.2504798655072653</v>
      </c>
      <c r="AM23" s="672">
        <f t="shared" si="6"/>
        <v>20.888693451933637</v>
      </c>
      <c r="AN23" s="687">
        <f t="shared" si="6"/>
        <v>0.43096622376740723</v>
      </c>
      <c r="AO23" s="672">
        <f t="shared" si="6"/>
        <v>-7.5389895666452711E-2</v>
      </c>
      <c r="AP23" s="672">
        <f t="shared" si="6"/>
        <v>-6.7936623851605482E-2</v>
      </c>
      <c r="AQ23" s="672">
        <f t="shared" si="6"/>
        <v>-7.9568403181619951E-2</v>
      </c>
    </row>
    <row r="24" spans="2:43" s="29" customFormat="1">
      <c r="B24" s="4" t="s">
        <v>32</v>
      </c>
      <c r="C24" s="4" t="s">
        <v>31</v>
      </c>
      <c r="D24" s="2044" t="e">
        <f>D23+D25</f>
        <v>#REF!</v>
      </c>
      <c r="E24" s="2044" t="e">
        <f>E23+E25</f>
        <v>#REF!</v>
      </c>
      <c r="F24" s="2044">
        <f>F23+F25</f>
        <v>10.454000000000001</v>
      </c>
      <c r="G24" s="2044">
        <f>G23+G25</f>
        <v>7.8208049800000001</v>
      </c>
      <c r="H24" s="2044">
        <f>H23+H25</f>
        <v>6.1152435199999982</v>
      </c>
      <c r="I24" s="2044"/>
      <c r="J24" s="24">
        <f t="shared" ref="J24:P24" si="7">J23+J25</f>
        <v>6.1152435199999982</v>
      </c>
      <c r="K24" s="697">
        <f t="shared" si="7"/>
        <v>17.868584929999997</v>
      </c>
      <c r="L24" s="2044">
        <f t="shared" si="7"/>
        <v>60.860431219999995</v>
      </c>
      <c r="M24" s="2044">
        <f t="shared" si="7"/>
        <v>124.77192283000001</v>
      </c>
      <c r="N24" s="2044">
        <f t="shared" si="7"/>
        <v>69.820336889999965</v>
      </c>
      <c r="O24" s="2044">
        <f t="shared" si="7"/>
        <v>131.35327217270432</v>
      </c>
      <c r="P24" s="2044">
        <f t="shared" si="7"/>
        <v>131.35327217270432</v>
      </c>
      <c r="Q24" s="2044">
        <f>Q23+Q25</f>
        <v>131.35327217270432</v>
      </c>
      <c r="R24" s="2044"/>
      <c r="S24" s="2044">
        <v>0.98000000000001819</v>
      </c>
      <c r="T24" s="697">
        <v>13.102403750400001</v>
      </c>
      <c r="U24" s="2044">
        <v>13.102403750399999</v>
      </c>
      <c r="V24" s="2044">
        <v>13.102403750399999</v>
      </c>
      <c r="W24" s="697">
        <v>90.278082178726507</v>
      </c>
      <c r="X24" s="2044">
        <v>131.35327217270432</v>
      </c>
      <c r="Y24" s="2044">
        <v>131.35327217270432</v>
      </c>
      <c r="Z24" s="2044">
        <v>131.35327217270432</v>
      </c>
      <c r="AB24" s="598"/>
      <c r="AC24" s="2047"/>
      <c r="AD24" s="2047"/>
      <c r="AE24" s="2044"/>
      <c r="AF24" s="2044">
        <f>J24-S24</f>
        <v>5.13524351999998</v>
      </c>
      <c r="AG24" s="2044" t="e">
        <f>#REF!-#REF!</f>
        <v>#REF!</v>
      </c>
      <c r="AH24" s="2044">
        <f>K24-T24</f>
        <v>4.7661811795999967</v>
      </c>
      <c r="AI24" s="2044"/>
      <c r="AJ24" s="642">
        <f t="shared" si="6"/>
        <v>5.2400444081631479</v>
      </c>
      <c r="AK24" s="688">
        <f t="shared" si="6"/>
        <v>0.36376387649132624</v>
      </c>
      <c r="AL24" s="673">
        <f t="shared" si="6"/>
        <v>3.6449821253708512</v>
      </c>
      <c r="AM24" s="673">
        <f t="shared" si="6"/>
        <v>8.5228268954992998</v>
      </c>
      <c r="AN24" s="688">
        <f t="shared" si="6"/>
        <v>-0.22660810680742716</v>
      </c>
      <c r="AO24" s="673">
        <f t="shared" si="6"/>
        <v>0</v>
      </c>
      <c r="AP24" s="673">
        <f t="shared" si="6"/>
        <v>0</v>
      </c>
      <c r="AQ24" s="673">
        <f t="shared" si="6"/>
        <v>0</v>
      </c>
    </row>
    <row r="25" spans="2:43">
      <c r="B25" s="11" t="s">
        <v>30</v>
      </c>
      <c r="C25" s="11" t="s">
        <v>29</v>
      </c>
      <c r="D25" s="17" t="e">
        <f>-Model!#REF!</f>
        <v>#REF!</v>
      </c>
      <c r="E25" s="17" t="e">
        <f>-Model!#REF!</f>
        <v>#REF!</v>
      </c>
      <c r="F25" s="17">
        <f>-Model!C38</f>
        <v>10.454000000000001</v>
      </c>
      <c r="G25" s="17">
        <f>-Model!D38</f>
        <v>5.0820752200000001</v>
      </c>
      <c r="H25" s="17">
        <f>-Model!E38</f>
        <v>-13.965657160000001</v>
      </c>
      <c r="I25" s="502"/>
      <c r="J25" s="18">
        <f>-Model!E38</f>
        <v>-13.965657160000001</v>
      </c>
      <c r="K25" s="693">
        <f>-Model!G38</f>
        <v>-11.39395732</v>
      </c>
      <c r="L25" s="17">
        <f>-Model!H38</f>
        <v>41.039483529999998</v>
      </c>
      <c r="M25" s="17">
        <f>-Model!I38</f>
        <v>2.28561682</v>
      </c>
      <c r="N25" s="17">
        <f>-Model!J38</f>
        <v>-190.5357315</v>
      </c>
      <c r="O25" s="17">
        <f>-Model!K38</f>
        <v>-139.04710740294567</v>
      </c>
      <c r="P25" s="17">
        <f>-Model!L38</f>
        <v>-191.45247511645945</v>
      </c>
      <c r="Q25" s="17">
        <f>-Model!M38</f>
        <v>-208.22261531516895</v>
      </c>
      <c r="R25" s="502"/>
      <c r="S25" s="17">
        <v>-320.3725</v>
      </c>
      <c r="T25" s="693">
        <v>9.3718230503999997</v>
      </c>
      <c r="U25" s="17">
        <v>8.4391778753999986</v>
      </c>
      <c r="V25" s="17">
        <v>7.5065327003999984</v>
      </c>
      <c r="W25" s="693">
        <v>-91.666162252523506</v>
      </c>
      <c r="X25" s="17">
        <v>-161.09473191930456</v>
      </c>
      <c r="Y25" s="17">
        <v>-214.98127497269238</v>
      </c>
      <c r="Z25" s="17">
        <v>-237.5778778026681</v>
      </c>
      <c r="AB25" s="595">
        <f>+J25/G25-1</f>
        <v>-3.7480225213982568</v>
      </c>
      <c r="AC25" s="606" t="e">
        <f>+#REF!/J25-1</f>
        <v>#REF!</v>
      </c>
      <c r="AD25" s="606" t="e">
        <f>+K25/#REF!-1</f>
        <v>#REF!</v>
      </c>
      <c r="AE25" s="502"/>
      <c r="AF25" s="17">
        <f>J25-S25</f>
        <v>306.40684284000002</v>
      </c>
      <c r="AG25" s="17" t="e">
        <f>#REF!-#REF!</f>
        <v>#REF!</v>
      </c>
      <c r="AH25" s="17">
        <f>K25-T25</f>
        <v>-20.765780370400002</v>
      </c>
      <c r="AI25" s="502"/>
      <c r="AJ25" s="640">
        <f t="shared" si="6"/>
        <v>-0.95640806511170595</v>
      </c>
      <c r="AK25" s="685">
        <f t="shared" si="6"/>
        <v>-2.2157674402008363</v>
      </c>
      <c r="AL25" s="670">
        <f t="shared" si="6"/>
        <v>3.8629717415518767</v>
      </c>
      <c r="AM25" s="670">
        <f t="shared" si="6"/>
        <v>-0.69551630410159848</v>
      </c>
      <c r="AN25" s="685">
        <f t="shared" si="6"/>
        <v>1.0785830541820758</v>
      </c>
      <c r="AO25" s="670">
        <f t="shared" si="6"/>
        <v>-0.13686123843828102</v>
      </c>
      <c r="AP25" s="670">
        <f t="shared" si="6"/>
        <v>-0.10944581038149315</v>
      </c>
      <c r="AQ25" s="670">
        <f t="shared" si="6"/>
        <v>-0.12356058888564359</v>
      </c>
    </row>
    <row r="26" spans="2:43">
      <c r="B26" s="28"/>
      <c r="C26" s="28"/>
      <c r="D26" s="26"/>
      <c r="E26" s="26"/>
      <c r="F26" s="26"/>
      <c r="G26" s="26"/>
      <c r="H26" s="26"/>
      <c r="I26" s="2042"/>
      <c r="J26" s="27"/>
      <c r="K26" s="698"/>
      <c r="L26" s="26"/>
      <c r="M26" s="26"/>
      <c r="N26" s="26"/>
      <c r="O26" s="26"/>
      <c r="P26" s="26"/>
      <c r="Q26" s="26"/>
      <c r="R26" s="2042"/>
      <c r="S26" s="26"/>
      <c r="T26" s="698"/>
      <c r="U26" s="26"/>
      <c r="V26" s="26"/>
      <c r="W26" s="698"/>
      <c r="X26" s="26"/>
      <c r="Y26" s="26"/>
      <c r="Z26" s="26"/>
      <c r="AB26" s="600"/>
      <c r="AC26" s="607"/>
      <c r="AD26" s="607"/>
      <c r="AE26" s="2042"/>
      <c r="AF26" s="26"/>
      <c r="AG26" s="26"/>
      <c r="AH26" s="26"/>
      <c r="AI26" s="2042"/>
      <c r="AJ26" s="643"/>
      <c r="AK26" s="689"/>
      <c r="AL26" s="674"/>
      <c r="AM26" s="674"/>
      <c r="AN26" s="689"/>
      <c r="AO26" s="674"/>
      <c r="AP26" s="674"/>
      <c r="AQ26" s="674"/>
    </row>
    <row r="27" spans="2:43">
      <c r="B27" s="5" t="s">
        <v>28</v>
      </c>
      <c r="C27" s="5" t="s">
        <v>27</v>
      </c>
      <c r="D27" s="2048" t="e">
        <f>Model!#REF!</f>
        <v>#REF!</v>
      </c>
      <c r="E27" s="2048" t="e">
        <f>Model!#REF!</f>
        <v>#REF!</v>
      </c>
      <c r="F27" s="2048">
        <f>Model!C43</f>
        <v>19.021000000000001</v>
      </c>
      <c r="G27" s="2048">
        <f>Model!D43</f>
        <v>13.060715949999999</v>
      </c>
      <c r="H27" s="2048">
        <f>Model!E43</f>
        <v>7.1893000999999996</v>
      </c>
      <c r="I27" s="2048"/>
      <c r="J27" s="25">
        <f>Model!E43</f>
        <v>7.1893000999999996</v>
      </c>
      <c r="K27" s="699">
        <f>Model!G43</f>
        <v>22.52671557</v>
      </c>
      <c r="L27" s="2048">
        <f>Model!H43</f>
        <v>70.018458499999994</v>
      </c>
      <c r="M27" s="2048">
        <f>Model!I43</f>
        <v>141.56359981</v>
      </c>
      <c r="N27" s="2048">
        <f>Model!J43</f>
        <v>95.315854420000008</v>
      </c>
      <c r="O27" s="2048">
        <f>Model!K43</f>
        <v>110</v>
      </c>
      <c r="P27" s="2048">
        <f>Model!L43</f>
        <v>110</v>
      </c>
      <c r="Q27" s="2048">
        <f>Model!M43</f>
        <v>110</v>
      </c>
      <c r="R27" s="5"/>
      <c r="S27" s="2048">
        <v>60</v>
      </c>
      <c r="T27" s="699">
        <v>8.9883265833999992</v>
      </c>
      <c r="U27" s="2048">
        <v>-2.4134033199999828E-2</v>
      </c>
      <c r="V27" s="2048">
        <v>0.96340535020000029</v>
      </c>
      <c r="W27" s="699">
        <v>105.79102915499999</v>
      </c>
      <c r="X27" s="2048">
        <v>110</v>
      </c>
      <c r="Y27" s="2048">
        <v>110</v>
      </c>
      <c r="Z27" s="2048">
        <v>110</v>
      </c>
      <c r="AB27" s="601">
        <f>+J27/G27-1</f>
        <v>-0.44954777919352884</v>
      </c>
      <c r="AC27" s="608" t="e">
        <f>+#REF!/J27-1</f>
        <v>#REF!</v>
      </c>
      <c r="AD27" s="608" t="e">
        <f>+K27/#REF!-1</f>
        <v>#REF!</v>
      </c>
      <c r="AE27" s="5"/>
      <c r="AF27" s="2044">
        <f>J27-S27</f>
        <v>-52.810699900000003</v>
      </c>
      <c r="AG27" s="2044" t="e">
        <f>#REF!-#REF!</f>
        <v>#REF!</v>
      </c>
      <c r="AH27" s="2044">
        <f>K27-T27</f>
        <v>13.538388986600001</v>
      </c>
      <c r="AI27" s="5"/>
      <c r="AJ27" s="644">
        <f t="shared" ref="AJ27:AQ29" si="8">IF(ISNUMBER(J27/S27-1),J27/S27-1,"n.a.")</f>
        <v>-0.8801783316666667</v>
      </c>
      <c r="AK27" s="690">
        <f t="shared" si="8"/>
        <v>1.5062190788219953</v>
      </c>
      <c r="AL27" s="675">
        <f t="shared" si="8"/>
        <v>-2902.233205397285</v>
      </c>
      <c r="AM27" s="675">
        <f t="shared" si="8"/>
        <v>145.94084870985176</v>
      </c>
      <c r="AN27" s="690">
        <f t="shared" si="8"/>
        <v>-9.9017608758227071E-2</v>
      </c>
      <c r="AO27" s="675">
        <f t="shared" si="8"/>
        <v>0</v>
      </c>
      <c r="AP27" s="675">
        <f t="shared" si="8"/>
        <v>0</v>
      </c>
      <c r="AQ27" s="675">
        <f t="shared" si="8"/>
        <v>0</v>
      </c>
    </row>
    <row r="28" spans="2:43">
      <c r="B28" s="4" t="s">
        <v>26</v>
      </c>
      <c r="C28" s="4" t="s">
        <v>25</v>
      </c>
      <c r="D28" s="2044" t="e">
        <f>Model!#REF!</f>
        <v>#REF!</v>
      </c>
      <c r="E28" s="2044" t="e">
        <f>Model!#REF!</f>
        <v>#REF!</v>
      </c>
      <c r="F28" s="2044">
        <f>Model!C47</f>
        <v>-9.3560999999999996</v>
      </c>
      <c r="G28" s="2044">
        <f>Model!D47</f>
        <v>-1.5794620800000001</v>
      </c>
      <c r="H28" s="2044">
        <f>Model!E47</f>
        <v>-4.1295241200000001</v>
      </c>
      <c r="I28" s="2044"/>
      <c r="J28" s="24">
        <f>Model!E47</f>
        <v>-4.1295241200000001</v>
      </c>
      <c r="K28" s="697">
        <f>Model!G47</f>
        <v>-15.040490150000002</v>
      </c>
      <c r="L28" s="2044">
        <f>Model!H47</f>
        <v>-18.256917689999998</v>
      </c>
      <c r="M28" s="2044">
        <f>Model!I47</f>
        <v>-9.0968042899999997</v>
      </c>
      <c r="N28" s="2044">
        <f>Model!J47</f>
        <v>-37.457737019999996</v>
      </c>
      <c r="O28" s="2044">
        <f>Model!K47</f>
        <v>-30.607987569999999</v>
      </c>
      <c r="P28" s="2044">
        <f>Model!L47</f>
        <v>-30.607987569999999</v>
      </c>
      <c r="Q28" s="2044">
        <f>Model!M47</f>
        <v>-30.607987569999999</v>
      </c>
      <c r="R28" s="2044"/>
      <c r="S28" s="2044">
        <v>-2</v>
      </c>
      <c r="T28" s="697">
        <v>0</v>
      </c>
      <c r="U28" s="2044">
        <v>0</v>
      </c>
      <c r="V28" s="2044">
        <v>0</v>
      </c>
      <c r="W28" s="697">
        <v>-14.729771905000002</v>
      </c>
      <c r="X28" s="2044">
        <v>-37.457737019999996</v>
      </c>
      <c r="Y28" s="2044">
        <v>-37.457737019999996</v>
      </c>
      <c r="Z28" s="2044">
        <v>-37.457737019999996</v>
      </c>
      <c r="AB28" s="598"/>
      <c r="AC28" s="2047"/>
      <c r="AD28" s="2047"/>
      <c r="AE28" s="2044"/>
      <c r="AF28" s="2044">
        <f>J28-S28</f>
        <v>-2.1295241200000001</v>
      </c>
      <c r="AG28" s="2044" t="e">
        <f>#REF!-#REF!</f>
        <v>#REF!</v>
      </c>
      <c r="AH28" s="2044">
        <f>K28-T28</f>
        <v>-15.040490150000002</v>
      </c>
      <c r="AI28" s="2044"/>
      <c r="AJ28" s="642">
        <f t="shared" si="8"/>
        <v>1.0647620600000001</v>
      </c>
      <c r="AK28" s="688" t="str">
        <f t="shared" si="8"/>
        <v>n.a.</v>
      </c>
      <c r="AL28" s="673" t="str">
        <f t="shared" si="8"/>
        <v>n.a.</v>
      </c>
      <c r="AM28" s="673" t="str">
        <f t="shared" si="8"/>
        <v>n.a.</v>
      </c>
      <c r="AN28" s="688">
        <f t="shared" si="8"/>
        <v>1.5429950485034341</v>
      </c>
      <c r="AO28" s="673">
        <f t="shared" si="8"/>
        <v>-0.18286607774363617</v>
      </c>
      <c r="AP28" s="673">
        <f t="shared" si="8"/>
        <v>-0.18286607774363617</v>
      </c>
      <c r="AQ28" s="673">
        <f t="shared" si="8"/>
        <v>-0.18286607774363617</v>
      </c>
    </row>
    <row r="29" spans="2:43">
      <c r="B29" s="11" t="s">
        <v>24</v>
      </c>
      <c r="C29" s="11" t="s">
        <v>23</v>
      </c>
      <c r="D29" s="17" t="e">
        <f>Model!#REF!</f>
        <v>#REF!</v>
      </c>
      <c r="E29" s="17" t="e">
        <f>Model!#REF!</f>
        <v>#REF!</v>
      </c>
      <c r="F29" s="17">
        <f>Model!C50</f>
        <v>389.80510000000004</v>
      </c>
      <c r="G29" s="17">
        <f>Model!D50</f>
        <v>273.32785421000005</v>
      </c>
      <c r="H29" s="17">
        <f>Model!E50</f>
        <v>736.50294468999994</v>
      </c>
      <c r="I29" s="502"/>
      <c r="J29" s="18">
        <f>Model!E50</f>
        <v>736.50294468999994</v>
      </c>
      <c r="K29" s="693">
        <f>Model!G50</f>
        <v>1513.5168144099998</v>
      </c>
      <c r="L29" s="17">
        <f>Model!H50</f>
        <v>1836.0097494299994</v>
      </c>
      <c r="M29" s="17">
        <f>Model!I50</f>
        <v>2579.270935590001</v>
      </c>
      <c r="N29" s="17">
        <f>Model!J50</f>
        <v>4107.3122987000024</v>
      </c>
      <c r="O29" s="17">
        <f>Model!K50</f>
        <v>5739.0791352899023</v>
      </c>
      <c r="P29" s="17">
        <f>Model!L50</f>
        <v>7113.8611753666792</v>
      </c>
      <c r="Q29" s="17">
        <f>Model!M50</f>
        <v>8495.2442202056791</v>
      </c>
      <c r="R29" s="502"/>
      <c r="S29" s="17">
        <v>6343.599664283005</v>
      </c>
      <c r="T29" s="693">
        <v>252.51783423145872</v>
      </c>
      <c r="U29" s="17">
        <v>333.88029907577345</v>
      </c>
      <c r="V29" s="17">
        <v>446.36777787568388</v>
      </c>
      <c r="W29" s="693">
        <v>4128.7716478092034</v>
      </c>
      <c r="X29" s="17">
        <v>5616.9697179039276</v>
      </c>
      <c r="Y29" s="17">
        <v>7191.4920939736967</v>
      </c>
      <c r="Z29" s="17">
        <v>8639.4025236159159</v>
      </c>
      <c r="AB29" s="595">
        <f>+J29/G29-1</f>
        <v>1.6945769827181194</v>
      </c>
      <c r="AC29" s="606" t="e">
        <f>+#REF!/J29-1</f>
        <v>#REF!</v>
      </c>
      <c r="AD29" s="606" t="e">
        <f>+K29/#REF!-1</f>
        <v>#REF!</v>
      </c>
      <c r="AE29" s="502"/>
      <c r="AF29" s="17">
        <f>J29-S29</f>
        <v>-5607.0967195930052</v>
      </c>
      <c r="AG29" s="17" t="e">
        <f>#REF!-#REF!</f>
        <v>#REF!</v>
      </c>
      <c r="AH29" s="17">
        <f>K29-T29</f>
        <v>1260.9989801785412</v>
      </c>
      <c r="AI29" s="502"/>
      <c r="AJ29" s="640">
        <f t="shared" si="8"/>
        <v>-0.8838982622379522</v>
      </c>
      <c r="AK29" s="685">
        <f t="shared" si="8"/>
        <v>4.9937026587306503</v>
      </c>
      <c r="AL29" s="670">
        <f t="shared" si="8"/>
        <v>4.4990059446823505</v>
      </c>
      <c r="AM29" s="670">
        <f t="shared" si="8"/>
        <v>4.7783537778310325</v>
      </c>
      <c r="AN29" s="685">
        <f t="shared" si="8"/>
        <v>-5.1975141615273612E-3</v>
      </c>
      <c r="AO29" s="670">
        <f t="shared" si="8"/>
        <v>2.1739376126019394E-2</v>
      </c>
      <c r="AP29" s="670">
        <f t="shared" si="8"/>
        <v>-1.0794827776014704E-2</v>
      </c>
      <c r="AQ29" s="670">
        <f t="shared" si="8"/>
        <v>-1.6686142706764495E-2</v>
      </c>
    </row>
    <row r="30" spans="2:43">
      <c r="B30" s="4"/>
      <c r="C30" s="4"/>
      <c r="D30" s="2042"/>
      <c r="E30" s="2042"/>
      <c r="F30" s="2042"/>
      <c r="G30" s="2042"/>
      <c r="H30" s="2042"/>
      <c r="I30" s="2042"/>
      <c r="J30" s="16"/>
      <c r="K30" s="694"/>
      <c r="L30" s="2042"/>
      <c r="M30" s="2042"/>
      <c r="N30" s="2042"/>
      <c r="O30" s="2042"/>
      <c r="P30" s="2042"/>
      <c r="Q30" s="2042"/>
      <c r="R30" s="2042"/>
      <c r="S30" s="2042"/>
      <c r="T30" s="694"/>
      <c r="U30" s="2042"/>
      <c r="V30" s="2042"/>
      <c r="W30" s="694"/>
      <c r="X30" s="2042"/>
      <c r="Y30" s="2042"/>
      <c r="Z30" s="2042"/>
      <c r="AB30" s="598"/>
      <c r="AC30" s="2043"/>
      <c r="AD30" s="2043"/>
      <c r="AE30" s="2042"/>
      <c r="AF30" s="2042"/>
      <c r="AG30" s="2042"/>
      <c r="AH30" s="2042"/>
      <c r="AI30" s="2042"/>
      <c r="AJ30" s="642"/>
      <c r="AK30" s="688"/>
      <c r="AL30" s="673"/>
      <c r="AM30" s="673"/>
      <c r="AN30" s="688"/>
      <c r="AO30" s="673"/>
      <c r="AP30" s="673"/>
      <c r="AQ30" s="673"/>
    </row>
    <row r="31" spans="2:43">
      <c r="B31" s="21" t="s">
        <v>22</v>
      </c>
      <c r="C31" s="21" t="s">
        <v>21</v>
      </c>
      <c r="D31" s="19" t="e">
        <f>-Model!#REF!</f>
        <v>#REF!</v>
      </c>
      <c r="E31" s="19" t="e">
        <f>-Model!#REF!</f>
        <v>#REF!</v>
      </c>
      <c r="F31" s="19">
        <f>-Model!C53</f>
        <v>93.639300000000006</v>
      </c>
      <c r="G31" s="19">
        <f>-Model!D53</f>
        <v>57.496913749999997</v>
      </c>
      <c r="H31" s="19">
        <f>-Model!E53</f>
        <v>165.92903487000001</v>
      </c>
      <c r="I31" s="2044"/>
      <c r="J31" s="20">
        <f>-Model!E53</f>
        <v>165.92903487000001</v>
      </c>
      <c r="K31" s="695">
        <f>-Model!G53</f>
        <v>320.55640682000001</v>
      </c>
      <c r="L31" s="19">
        <f>-Model!H53</f>
        <v>395.48917806999998</v>
      </c>
      <c r="M31" s="19">
        <f>-Model!I53</f>
        <v>539.49813166999991</v>
      </c>
      <c r="N31" s="19">
        <f>-Model!J53</f>
        <v>780.88329400999999</v>
      </c>
      <c r="O31" s="19">
        <f>-Model!K53</f>
        <v>1176.5112227344298</v>
      </c>
      <c r="P31" s="19">
        <f>-Model!L53</f>
        <v>1458.3415409501692</v>
      </c>
      <c r="Q31" s="19">
        <f>-Model!M53</f>
        <v>1741.5250651421641</v>
      </c>
      <c r="R31" s="2044"/>
      <c r="S31" s="19">
        <v>1008.1372963614529</v>
      </c>
      <c r="T31" s="695">
        <v>57.515112733347479</v>
      </c>
      <c r="U31" s="19">
        <v>75.748780844422328</v>
      </c>
      <c r="V31" s="19">
        <v>101.04339702063575</v>
      </c>
      <c r="W31" s="695">
        <v>822.31469122151077</v>
      </c>
      <c r="X31" s="19">
        <v>1123.3939435807856</v>
      </c>
      <c r="Y31" s="19">
        <v>1438.2984187947395</v>
      </c>
      <c r="Z31" s="19">
        <v>1727.8805047231833</v>
      </c>
      <c r="AB31" s="597">
        <f>+J31/G31-1</f>
        <v>1.8858772418893528</v>
      </c>
      <c r="AC31" s="491" t="e">
        <f>+#REF!/J31-1</f>
        <v>#REF!</v>
      </c>
      <c r="AD31" s="491" t="e">
        <f>+K31/#REF!-1</f>
        <v>#REF!</v>
      </c>
      <c r="AE31" s="2044"/>
      <c r="AF31" s="19">
        <f>J31-S31</f>
        <v>-842.20826149145284</v>
      </c>
      <c r="AG31" s="19" t="e">
        <f>#REF!-#REF!</f>
        <v>#REF!</v>
      </c>
      <c r="AH31" s="19">
        <f>K31-T31</f>
        <v>263.04129408665256</v>
      </c>
      <c r="AI31" s="2044"/>
      <c r="AJ31" s="641">
        <f t="shared" ref="AJ31:AQ32" si="9">IF(ISNUMBER(J31/S31-1),J31/S31-1,"n.a.")</f>
        <v>-0.83541028045597809</v>
      </c>
      <c r="AK31" s="687">
        <f t="shared" si="9"/>
        <v>4.5734291664552398</v>
      </c>
      <c r="AL31" s="672">
        <f t="shared" si="9"/>
        <v>4.2210632786589777</v>
      </c>
      <c r="AM31" s="672">
        <f t="shared" si="9"/>
        <v>4.3392715167703635</v>
      </c>
      <c r="AN31" s="687">
        <f t="shared" si="9"/>
        <v>-5.0383870863314306E-2</v>
      </c>
      <c r="AO31" s="672">
        <f t="shared" si="9"/>
        <v>4.7282860529169746E-2</v>
      </c>
      <c r="AP31" s="672">
        <f t="shared" si="9"/>
        <v>1.3935301529584887E-2</v>
      </c>
      <c r="AQ31" s="672">
        <f t="shared" si="9"/>
        <v>7.8967037255661676E-3</v>
      </c>
    </row>
    <row r="32" spans="2:43" ht="13.5" customHeight="1">
      <c r="B32" s="21" t="s">
        <v>20</v>
      </c>
      <c r="C32" s="21" t="s">
        <v>19</v>
      </c>
      <c r="D32" s="6" t="str">
        <f>IF(ISERROR(D31/D29)," ",(D31/D29))</f>
        <v xml:space="preserve"> </v>
      </c>
      <c r="E32" s="6" t="str">
        <f>IF(ISERROR(E31/E29)," ",(E31/E29))</f>
        <v xml:space="preserve"> </v>
      </c>
      <c r="F32" s="6">
        <f>IF(ISERROR(F31/F29)," ",(F31/F29))</f>
        <v>0.24022081804471002</v>
      </c>
      <c r="G32" s="6">
        <f>IF(ISERROR(G31/G29)," ",(G31/G29))</f>
        <v>0.21035877926230176</v>
      </c>
      <c r="H32" s="6">
        <f>IF(ISERROR(H31/H29)," ",(H31/H29))</f>
        <v>0.22529310448288958</v>
      </c>
      <c r="I32" s="8"/>
      <c r="J32" s="7">
        <f t="shared" ref="J32:P32" si="10">IF(ISERROR(J31/J29)," ",(J31/J29))</f>
        <v>0.22529310448288958</v>
      </c>
      <c r="K32" s="700">
        <f t="shared" si="10"/>
        <v>0.21179573544741856</v>
      </c>
      <c r="L32" s="6">
        <f t="shared" si="10"/>
        <v>0.21540690521539008</v>
      </c>
      <c r="M32" s="6">
        <f t="shared" si="10"/>
        <v>0.20916691000768836</v>
      </c>
      <c r="N32" s="6">
        <f t="shared" si="10"/>
        <v>0.19012026289239214</v>
      </c>
      <c r="O32" s="6">
        <f t="shared" si="10"/>
        <v>0.20499999999999996</v>
      </c>
      <c r="P32" s="6">
        <f t="shared" si="10"/>
        <v>0.20500000000000002</v>
      </c>
      <c r="Q32" s="6">
        <f>IF(ISERROR(Q31/Q29)," ",(Q31/Q29))</f>
        <v>0.20499999999999999</v>
      </c>
      <c r="R32" s="8"/>
      <c r="S32" s="6">
        <v>0.15892196067126804</v>
      </c>
      <c r="T32" s="700">
        <v>0.22776653739485556</v>
      </c>
      <c r="U32" s="6">
        <v>0.22687406550822364</v>
      </c>
      <c r="V32" s="6">
        <v>0.22636803557262358</v>
      </c>
      <c r="W32" s="700">
        <v>0.19916691000768835</v>
      </c>
      <c r="X32" s="6">
        <v>0.2</v>
      </c>
      <c r="Y32" s="6">
        <v>0.20000000000000004</v>
      </c>
      <c r="Z32" s="6">
        <v>0.2</v>
      </c>
      <c r="AB32" s="602"/>
      <c r="AC32" s="602"/>
      <c r="AD32" s="602"/>
      <c r="AE32" s="8"/>
      <c r="AF32" s="6">
        <f>J32-S32</f>
        <v>6.6371143811621541E-2</v>
      </c>
      <c r="AG32" s="6" t="e">
        <f>#REF!-#REF!</f>
        <v>#REF!</v>
      </c>
      <c r="AH32" s="6">
        <f>K32-T32</f>
        <v>-1.5970801947436997E-2</v>
      </c>
      <c r="AI32" s="8"/>
      <c r="AJ32" s="645">
        <f t="shared" si="9"/>
        <v>0.4176335575730219</v>
      </c>
      <c r="AK32" s="691">
        <f t="shared" si="9"/>
        <v>-7.0119176109482928E-2</v>
      </c>
      <c r="AL32" s="676">
        <f t="shared" si="9"/>
        <v>-5.054416540359441E-2</v>
      </c>
      <c r="AM32" s="676">
        <f t="shared" si="9"/>
        <v>-7.5987431358950586E-2</v>
      </c>
      <c r="AN32" s="691">
        <f t="shared" si="9"/>
        <v>-4.5422440479430004E-2</v>
      </c>
      <c r="AO32" s="676">
        <f t="shared" si="9"/>
        <v>2.4999999999999689E-2</v>
      </c>
      <c r="AP32" s="676">
        <f t="shared" si="9"/>
        <v>2.4999999999999911E-2</v>
      </c>
      <c r="AQ32" s="676">
        <f t="shared" si="9"/>
        <v>2.4999999999999911E-2</v>
      </c>
    </row>
    <row r="33" spans="2:45">
      <c r="B33" s="21"/>
      <c r="C33" s="21"/>
      <c r="D33" s="22"/>
      <c r="E33" s="22"/>
      <c r="F33" s="22"/>
      <c r="G33" s="22"/>
      <c r="H33" s="22"/>
      <c r="I33" s="3"/>
      <c r="J33" s="23"/>
      <c r="K33" s="701"/>
      <c r="L33" s="22"/>
      <c r="M33" s="22"/>
      <c r="N33" s="22"/>
      <c r="O33" s="22"/>
      <c r="P33" s="22"/>
      <c r="Q33" s="22"/>
      <c r="R33" s="3"/>
      <c r="S33" s="22"/>
      <c r="T33" s="701"/>
      <c r="U33" s="22"/>
      <c r="V33" s="22"/>
      <c r="W33" s="701"/>
      <c r="X33" s="22"/>
      <c r="Y33" s="22"/>
      <c r="Z33" s="22"/>
      <c r="AB33" s="597"/>
      <c r="AC33" s="504"/>
      <c r="AD33" s="504"/>
      <c r="AE33" s="3"/>
      <c r="AF33" s="22"/>
      <c r="AG33" s="22"/>
      <c r="AH33" s="22"/>
      <c r="AI33" s="3"/>
      <c r="AJ33" s="641"/>
      <c r="AK33" s="687"/>
      <c r="AL33" s="672"/>
      <c r="AM33" s="672"/>
      <c r="AN33" s="687"/>
      <c r="AO33" s="672"/>
      <c r="AP33" s="672"/>
      <c r="AQ33" s="672"/>
    </row>
    <row r="34" spans="2:45" hidden="1" outlineLevel="1">
      <c r="B34" s="21" t="s">
        <v>18</v>
      </c>
      <c r="C34" s="21" t="s">
        <v>17</v>
      </c>
      <c r="D34" s="19" t="e">
        <f>-Model!#REF!</f>
        <v>#REF!</v>
      </c>
      <c r="E34" s="19" t="e">
        <f>-Model!#REF!</f>
        <v>#REF!</v>
      </c>
      <c r="F34" s="19">
        <f>-Model!C54</f>
        <v>0</v>
      </c>
      <c r="G34" s="19">
        <f>-Model!D54</f>
        <v>0</v>
      </c>
      <c r="H34" s="19">
        <f>-Model!E54</f>
        <v>0</v>
      </c>
      <c r="I34" s="2044"/>
      <c r="J34" s="20">
        <f>-Model!E54</f>
        <v>0</v>
      </c>
      <c r="K34" s="695">
        <f>-Model!G54</f>
        <v>0</v>
      </c>
      <c r="L34" s="19">
        <f>-Model!H54</f>
        <v>0</v>
      </c>
      <c r="M34" s="19">
        <f>-Model!I54</f>
        <v>0</v>
      </c>
      <c r="N34" s="19">
        <f>-Model!J54</f>
        <v>-0.27984775000000001</v>
      </c>
      <c r="O34" s="19">
        <f>-Model!K54</f>
        <v>-0.27984775000000001</v>
      </c>
      <c r="P34" s="19">
        <f>-Model!L54</f>
        <v>-0.27984775000000001</v>
      </c>
      <c r="Q34" s="19">
        <f>-Model!M54</f>
        <v>-0.27984775000000001</v>
      </c>
      <c r="R34" s="2044"/>
      <c r="S34" s="19">
        <v>2.8606494800000002</v>
      </c>
      <c r="T34" s="695">
        <v>16.53436782</v>
      </c>
      <c r="U34" s="19">
        <v>16.53436782</v>
      </c>
      <c r="V34" s="19">
        <v>16.53436782</v>
      </c>
      <c r="W34" s="695">
        <v>0</v>
      </c>
      <c r="X34" s="19">
        <v>-0.27984775000000001</v>
      </c>
      <c r="Y34" s="19">
        <v>-0.27984775000000001</v>
      </c>
      <c r="Z34" s="19">
        <v>-0.27984775000000001</v>
      </c>
      <c r="AB34" s="597"/>
      <c r="AC34" s="491"/>
      <c r="AD34" s="491"/>
      <c r="AE34" s="2044"/>
      <c r="AF34" s="19">
        <f>J34-S34</f>
        <v>-2.8606494800000002</v>
      </c>
      <c r="AG34" s="19" t="e">
        <f>#REF!-#REF!</f>
        <v>#REF!</v>
      </c>
      <c r="AH34" s="19">
        <f>K34-T34</f>
        <v>-16.53436782</v>
      </c>
      <c r="AI34" s="2044"/>
      <c r="AJ34" s="641">
        <f t="shared" ref="AJ34:AQ35" si="11">IF(ISNUMBER(J34/S34-1),J34/S34-1,"n.a.")</f>
        <v>-1</v>
      </c>
      <c r="AK34" s="687">
        <f t="shared" si="11"/>
        <v>-1</v>
      </c>
      <c r="AL34" s="672">
        <f t="shared" si="11"/>
        <v>-1</v>
      </c>
      <c r="AM34" s="672">
        <f t="shared" si="11"/>
        <v>-1</v>
      </c>
      <c r="AN34" s="687" t="str">
        <f t="shared" si="11"/>
        <v>n.a.</v>
      </c>
      <c r="AO34" s="672">
        <f t="shared" si="11"/>
        <v>0</v>
      </c>
      <c r="AP34" s="672">
        <f t="shared" si="11"/>
        <v>0</v>
      </c>
      <c r="AQ34" s="672">
        <f t="shared" si="11"/>
        <v>0</v>
      </c>
    </row>
    <row r="35" spans="2:45" collapsed="1">
      <c r="B35" s="11" t="s">
        <v>16</v>
      </c>
      <c r="C35" s="11" t="s">
        <v>15</v>
      </c>
      <c r="D35" s="17" t="e">
        <f>Model!#REF!</f>
        <v>#REF!</v>
      </c>
      <c r="E35" s="17" t="e">
        <f>Model!#REF!</f>
        <v>#REF!</v>
      </c>
      <c r="F35" s="17">
        <f>Model!C57</f>
        <v>296.16580000000005</v>
      </c>
      <c r="G35" s="17">
        <f>Model!D57</f>
        <v>215.83094046000005</v>
      </c>
      <c r="H35" s="17">
        <f>Model!E57</f>
        <v>570.57390981999993</v>
      </c>
      <c r="I35" s="502"/>
      <c r="J35" s="622">
        <f>Model!E57</f>
        <v>570.57390981999993</v>
      </c>
      <c r="K35" s="693">
        <f>Model!G57</f>
        <v>1192.9604075899997</v>
      </c>
      <c r="L35" s="17">
        <f>Model!H57</f>
        <v>1440.5205713599994</v>
      </c>
      <c r="M35" s="17">
        <f>Model!I57</f>
        <v>2039.772803920001</v>
      </c>
      <c r="N35" s="17">
        <f>Model!J57</f>
        <v>3326.7088524400024</v>
      </c>
      <c r="O35" s="17">
        <f>Model!K57</f>
        <v>4562.8477603054725</v>
      </c>
      <c r="P35" s="17">
        <f>Model!L57</f>
        <v>5655.7994821665097</v>
      </c>
      <c r="Q35" s="17">
        <f>Model!M57</f>
        <v>6753.9990028135153</v>
      </c>
      <c r="R35" s="502"/>
      <c r="S35" s="17">
        <v>5332.6017184415523</v>
      </c>
      <c r="T35" s="693">
        <v>178.46835367811124</v>
      </c>
      <c r="U35" s="17">
        <v>241.59715041135115</v>
      </c>
      <c r="V35" s="17">
        <v>328.79001303504816</v>
      </c>
      <c r="W35" s="693">
        <v>3306.4569565876927</v>
      </c>
      <c r="X35" s="17">
        <v>4493.8556220731425</v>
      </c>
      <c r="Y35" s="17">
        <v>5753.4735229289572</v>
      </c>
      <c r="Z35" s="17">
        <v>6911.8018666427324</v>
      </c>
      <c r="AB35" s="595">
        <f>+J35/G35-1</f>
        <v>1.6436149914555203</v>
      </c>
      <c r="AC35" s="606" t="e">
        <f>+#REF!/J35-1</f>
        <v>#REF!</v>
      </c>
      <c r="AD35" s="606" t="e">
        <f>+K35/#REF!-1</f>
        <v>#REF!</v>
      </c>
      <c r="AE35" s="502"/>
      <c r="AF35" s="17">
        <f>J35-S35</f>
        <v>-4762.0278086215521</v>
      </c>
      <c r="AG35" s="17" t="e">
        <f>#REF!-#REF!</f>
        <v>#REF!</v>
      </c>
      <c r="AH35" s="17">
        <f>K35-T35</f>
        <v>1014.4920539118884</v>
      </c>
      <c r="AI35" s="502"/>
      <c r="AJ35" s="640">
        <f t="shared" si="11"/>
        <v>-0.89300271425731947</v>
      </c>
      <c r="AK35" s="685">
        <f t="shared" si="11"/>
        <v>5.6844366690446684</v>
      </c>
      <c r="AL35" s="670">
        <f t="shared" si="11"/>
        <v>4.9624899089551437</v>
      </c>
      <c r="AM35" s="670">
        <f t="shared" si="11"/>
        <v>5.2038770128415264</v>
      </c>
      <c r="AN35" s="685">
        <f t="shared" si="11"/>
        <v>6.124953724850446E-3</v>
      </c>
      <c r="AO35" s="670">
        <f t="shared" si="11"/>
        <v>1.5352548909994157E-2</v>
      </c>
      <c r="AP35" s="670">
        <f t="shared" si="11"/>
        <v>-1.6976534327166615E-2</v>
      </c>
      <c r="AQ35" s="670">
        <f t="shared" si="11"/>
        <v>-2.2830929889757767E-2</v>
      </c>
      <c r="AS35" s="650">
        <f>(Q35/O35)^0.5-1</f>
        <v>0.21664116500821873</v>
      </c>
    </row>
    <row r="36" spans="2:45">
      <c r="B36" s="4"/>
      <c r="C36" s="4"/>
      <c r="D36" s="2042"/>
      <c r="E36" s="2042"/>
      <c r="F36" s="2042"/>
      <c r="G36" s="2042"/>
      <c r="H36" s="2042"/>
      <c r="I36" s="2042"/>
      <c r="J36" s="16"/>
      <c r="K36" s="694"/>
      <c r="L36" s="2042"/>
      <c r="M36" s="2042"/>
      <c r="N36" s="2042"/>
      <c r="O36" s="2042"/>
      <c r="P36" s="2042"/>
      <c r="Q36" s="2042"/>
      <c r="R36" s="2042"/>
      <c r="S36" s="2042"/>
      <c r="T36" s="694"/>
      <c r="U36" s="2042"/>
      <c r="V36" s="2042"/>
      <c r="W36" s="694"/>
      <c r="X36" s="2042"/>
      <c r="Y36" s="2042"/>
      <c r="Z36" s="2042"/>
      <c r="AB36" s="598"/>
      <c r="AC36" s="2043"/>
      <c r="AD36" s="2043"/>
      <c r="AE36" s="2042"/>
      <c r="AF36" s="2042"/>
      <c r="AG36" s="2042"/>
      <c r="AH36" s="2042"/>
      <c r="AI36" s="2042"/>
      <c r="AJ36" s="642"/>
      <c r="AK36" s="688"/>
      <c r="AL36" s="673"/>
      <c r="AM36" s="673"/>
      <c r="AN36" s="688"/>
      <c r="AO36" s="673"/>
      <c r="AP36" s="673"/>
      <c r="AQ36" s="673"/>
    </row>
    <row r="37" spans="2:45">
      <c r="B37" s="11" t="s">
        <v>14</v>
      </c>
      <c r="C37" s="11" t="s">
        <v>13</v>
      </c>
      <c r="D37" s="14" t="e">
        <f>Model!#REF!</f>
        <v>#REF!</v>
      </c>
      <c r="E37" s="14" t="e">
        <f>Model!#REF!</f>
        <v>#REF!</v>
      </c>
      <c r="F37" s="14">
        <f>Model!C60</f>
        <v>1.9637076588801066</v>
      </c>
      <c r="G37" s="14">
        <f>Model!D60</f>
        <v>0.47435371529670339</v>
      </c>
      <c r="H37" s="14">
        <f>Model!E60</f>
        <v>1.2191750209829058</v>
      </c>
      <c r="I37" s="2049"/>
      <c r="J37" s="15">
        <f>Model!E60</f>
        <v>1.2191750209829058</v>
      </c>
      <c r="K37" s="702">
        <f>Model!G60</f>
        <v>2.29409727754883</v>
      </c>
      <c r="L37" s="14">
        <f>Model!H60</f>
        <v>2.7701626139346502</v>
      </c>
      <c r="M37" s="14">
        <f>Model!I60</f>
        <v>3.9225419439898634</v>
      </c>
      <c r="N37" s="14">
        <f>Model!J60</f>
        <v>6.3973570899958307</v>
      </c>
      <c r="O37" s="14">
        <f>Model!K60</f>
        <v>8.7744878691599482</v>
      </c>
      <c r="P37" s="14">
        <f>Model!L60</f>
        <v>10.87626555906585</v>
      </c>
      <c r="Q37" s="14">
        <f>Model!M60</f>
        <v>12.988134917422284</v>
      </c>
      <c r="R37" s="2049"/>
      <c r="S37" s="14">
        <v>1.9747675399253171</v>
      </c>
      <c r="T37" s="702">
        <v>0.60682262227216732</v>
      </c>
      <c r="U37" s="14">
        <v>0.82147122066538303</v>
      </c>
      <c r="V37" s="14">
        <v>1.117941717816711</v>
      </c>
      <c r="W37" s="702">
        <v>6.3584121100581958</v>
      </c>
      <c r="X37" s="14">
        <v>8.6418139970984225</v>
      </c>
      <c r="Y37" s="14">
        <v>11.064095557089836</v>
      </c>
      <c r="Z37" s="14">
        <v>13.291594376761219</v>
      </c>
      <c r="AB37" s="595">
        <f>+J37/G37-1</f>
        <v>1.5701812416928669</v>
      </c>
      <c r="AC37" s="609" t="e">
        <f>+#REF!/J37-1</f>
        <v>#REF!</v>
      </c>
      <c r="AD37" s="609" t="e">
        <f>+K37/#REF!-1</f>
        <v>#REF!</v>
      </c>
      <c r="AE37" s="2049"/>
      <c r="AF37" s="14">
        <f>J37-S37</f>
        <v>-0.75559251894241131</v>
      </c>
      <c r="AG37" s="14" t="e">
        <f>#REF!-#REF!</f>
        <v>#REF!</v>
      </c>
      <c r="AH37" s="14">
        <f>K37-T37</f>
        <v>1.6872746552766626</v>
      </c>
      <c r="AI37" s="2049"/>
      <c r="AJ37" s="640">
        <f t="shared" ref="AJ37:AQ37" si="12">IF(ISNUMBER(J37/S37-1),J37/S37-1,"n.a.")</f>
        <v>-0.38262352589155213</v>
      </c>
      <c r="AK37" s="685">
        <f t="shared" si="12"/>
        <v>2.7805071751591677</v>
      </c>
      <c r="AL37" s="670">
        <f t="shared" si="12"/>
        <v>2.3721967906445314</v>
      </c>
      <c r="AM37" s="670">
        <f t="shared" si="12"/>
        <v>2.5087177457250709</v>
      </c>
      <c r="AN37" s="685">
        <f t="shared" si="12"/>
        <v>6.124953724850446E-3</v>
      </c>
      <c r="AO37" s="670">
        <f t="shared" si="12"/>
        <v>1.5352548909994157E-2</v>
      </c>
      <c r="AP37" s="670">
        <f t="shared" si="12"/>
        <v>-1.6976534327166504E-2</v>
      </c>
      <c r="AQ37" s="670">
        <f t="shared" si="12"/>
        <v>-2.2830929889757878E-2</v>
      </c>
    </row>
    <row r="38" spans="2:45">
      <c r="B38" s="4" t="s">
        <v>104</v>
      </c>
      <c r="C38" s="4"/>
      <c r="D38" s="4"/>
      <c r="E38" s="4"/>
      <c r="F38" s="4"/>
      <c r="G38" s="4"/>
      <c r="H38" s="4"/>
      <c r="I38" s="4"/>
      <c r="J38" s="13"/>
      <c r="K38" s="637"/>
      <c r="L38" s="2050">
        <f t="shared" ref="L38:Q38" si="13">L37/K37-1</f>
        <v>0.20751750200169417</v>
      </c>
      <c r="M38" s="2050">
        <f t="shared" si="13"/>
        <v>0.41599699752586394</v>
      </c>
      <c r="N38" s="2050">
        <f t="shared" si="13"/>
        <v>0.63092127027421352</v>
      </c>
      <c r="O38" s="2050">
        <f t="shared" si="13"/>
        <v>0.37158013000110124</v>
      </c>
      <c r="P38" s="2050">
        <f t="shared" si="13"/>
        <v>0.23953280479116112</v>
      </c>
      <c r="Q38" s="2050">
        <f t="shared" si="13"/>
        <v>0.19417228706742073</v>
      </c>
      <c r="R38" s="2051"/>
      <c r="S38" s="2051"/>
      <c r="T38" s="1890"/>
      <c r="U38" s="2051"/>
      <c r="V38" s="2051"/>
      <c r="W38" s="1891">
        <v>0.62099276460270447</v>
      </c>
      <c r="X38" s="2050">
        <v>0.35084127328337944</v>
      </c>
      <c r="Y38" s="2050">
        <v>0.28029781256628739</v>
      </c>
      <c r="Z38" s="2050">
        <v>0.20132678791299941</v>
      </c>
      <c r="AB38" s="599"/>
      <c r="AC38" s="4"/>
      <c r="AD38" s="4"/>
      <c r="AE38" s="4"/>
      <c r="AF38" s="4"/>
      <c r="AG38" s="4"/>
      <c r="AH38" s="4"/>
      <c r="AI38" s="4"/>
      <c r="AJ38" s="599"/>
      <c r="AK38" s="686"/>
      <c r="AL38" s="671"/>
      <c r="AM38" s="671"/>
      <c r="AN38" s="686"/>
      <c r="AO38" s="671"/>
      <c r="AP38" s="671"/>
      <c r="AQ38" s="671"/>
    </row>
    <row r="39" spans="2:45">
      <c r="B39" s="4"/>
      <c r="C39" s="4"/>
      <c r="D39" s="4"/>
      <c r="E39" s="4"/>
      <c r="F39" s="4"/>
      <c r="G39" s="4"/>
      <c r="H39" s="4"/>
      <c r="I39" s="4"/>
      <c r="J39" s="13"/>
      <c r="K39" s="637"/>
      <c r="L39" s="4"/>
      <c r="M39" s="4"/>
      <c r="N39" s="4"/>
      <c r="O39" s="4"/>
      <c r="P39" s="4"/>
      <c r="Q39" s="4"/>
      <c r="R39" s="4"/>
      <c r="S39" s="4"/>
      <c r="T39" s="637"/>
      <c r="U39" s="4"/>
      <c r="V39" s="4"/>
      <c r="W39" s="637"/>
      <c r="X39" s="4"/>
      <c r="Y39" s="4"/>
      <c r="Z39" s="4"/>
      <c r="AB39" s="599"/>
      <c r="AC39" s="4"/>
      <c r="AD39" s="4"/>
      <c r="AE39" s="4"/>
      <c r="AF39" s="4"/>
      <c r="AG39" s="4"/>
      <c r="AH39" s="4"/>
      <c r="AI39" s="4"/>
      <c r="AJ39" s="599"/>
      <c r="AK39" s="686"/>
      <c r="AL39" s="671"/>
      <c r="AM39" s="671"/>
      <c r="AN39" s="686"/>
      <c r="AO39" s="671"/>
      <c r="AP39" s="671"/>
      <c r="AQ39" s="671"/>
    </row>
    <row r="40" spans="2:45">
      <c r="B40" s="11" t="s">
        <v>1710</v>
      </c>
      <c r="C40" s="11" t="s">
        <v>11</v>
      </c>
      <c r="D40" s="9"/>
      <c r="E40" s="9"/>
      <c r="F40" s="9"/>
      <c r="G40" s="9"/>
      <c r="H40" s="9"/>
      <c r="I40" s="2052"/>
      <c r="J40" s="10"/>
      <c r="K40" s="703"/>
      <c r="L40" s="9"/>
      <c r="M40" s="9"/>
      <c r="N40" s="9"/>
      <c r="O40" s="9"/>
      <c r="P40" s="9"/>
      <c r="Q40" s="9"/>
      <c r="R40" s="2052"/>
      <c r="S40" s="9"/>
      <c r="T40" s="703"/>
      <c r="U40" s="9"/>
      <c r="V40" s="9"/>
      <c r="W40" s="703"/>
      <c r="X40" s="9"/>
      <c r="Y40" s="9"/>
      <c r="Z40" s="9"/>
      <c r="AB40" s="603"/>
      <c r="AC40" s="9"/>
      <c r="AD40" s="9"/>
      <c r="AE40" s="2052"/>
      <c r="AF40" s="9"/>
      <c r="AG40" s="9"/>
      <c r="AH40" s="9"/>
      <c r="AI40" s="2052"/>
      <c r="AJ40" s="603"/>
      <c r="AK40" s="692"/>
      <c r="AL40" s="677"/>
      <c r="AM40" s="677"/>
      <c r="AN40" s="692"/>
      <c r="AO40" s="677"/>
      <c r="AP40" s="677"/>
      <c r="AQ40" s="677"/>
    </row>
    <row r="41" spans="2:45">
      <c r="B41" s="4" t="s">
        <v>52</v>
      </c>
      <c r="C41" s="4"/>
      <c r="D41" s="4"/>
      <c r="E41" s="4"/>
      <c r="F41" s="4"/>
      <c r="G41" s="4"/>
      <c r="H41" s="4"/>
      <c r="I41" s="4"/>
      <c r="J41" s="13"/>
      <c r="K41" s="639">
        <f t="shared" ref="K41:Q41" si="14">K4/J4-1</f>
        <v>0.65794075545122754</v>
      </c>
      <c r="L41" s="2053">
        <f t="shared" si="14"/>
        <v>0.21891747198959233</v>
      </c>
      <c r="M41" s="2053">
        <f t="shared" si="14"/>
        <v>0.32419494463634702</v>
      </c>
      <c r="N41" s="2053">
        <f t="shared" si="14"/>
        <v>0.40629862458102206</v>
      </c>
      <c r="O41" s="2053">
        <f t="shared" si="14"/>
        <v>0.32534294349569493</v>
      </c>
      <c r="P41" s="2053">
        <f t="shared" si="14"/>
        <v>0.2101570488187654</v>
      </c>
      <c r="Q41" s="2053">
        <f t="shared" si="14"/>
        <v>0.17275086761500336</v>
      </c>
      <c r="R41" s="4"/>
      <c r="S41" s="4"/>
      <c r="T41" s="637"/>
      <c r="U41" s="4"/>
      <c r="V41" s="4"/>
      <c r="W41" s="639">
        <v>0.44984850794439457</v>
      </c>
      <c r="X41" s="2053">
        <v>0.33117837638283376</v>
      </c>
      <c r="Y41" s="2053">
        <v>0.23248763966994046</v>
      </c>
      <c r="Z41" s="2053">
        <v>0.17850024731669767</v>
      </c>
      <c r="AB41" s="599"/>
      <c r="AC41" s="4"/>
      <c r="AD41" s="4"/>
      <c r="AE41" s="4"/>
      <c r="AF41" s="4"/>
      <c r="AG41" s="4"/>
      <c r="AH41" s="4"/>
      <c r="AI41" s="4"/>
      <c r="AJ41" s="599"/>
      <c r="AK41" s="686"/>
      <c r="AL41" s="671"/>
      <c r="AM41" s="671"/>
      <c r="AN41" s="686"/>
      <c r="AO41" s="671"/>
      <c r="AP41" s="671"/>
      <c r="AQ41" s="671"/>
    </row>
    <row r="42" spans="2:45">
      <c r="B42" s="2054" t="s">
        <v>1116</v>
      </c>
      <c r="C42" s="4"/>
      <c r="D42" s="4"/>
      <c r="E42" s="4"/>
      <c r="F42" s="4"/>
      <c r="G42" s="4"/>
      <c r="H42" s="4"/>
      <c r="I42" s="4"/>
      <c r="J42" s="13"/>
      <c r="K42" s="639"/>
      <c r="L42" s="2053">
        <f t="shared" ref="L42:Q43" si="15">L5/K5-1</f>
        <v>0.2397502172798518</v>
      </c>
      <c r="M42" s="2053">
        <f t="shared" si="15"/>
        <v>0.26476027118643075</v>
      </c>
      <c r="N42" s="2053">
        <f t="shared" si="15"/>
        <v>0.28711036224329911</v>
      </c>
      <c r="O42" s="2053">
        <f t="shared" si="15"/>
        <v>0.19789999999999996</v>
      </c>
      <c r="P42" s="2053">
        <f t="shared" si="15"/>
        <v>0.16999999999999993</v>
      </c>
      <c r="Q42" s="2053">
        <f t="shared" si="15"/>
        <v>0.14000000000000012</v>
      </c>
      <c r="R42" s="4"/>
      <c r="S42" s="4"/>
      <c r="T42" s="637"/>
      <c r="U42" s="4"/>
      <c r="V42" s="4"/>
      <c r="W42" s="639">
        <v>0.31005000000000016</v>
      </c>
      <c r="X42" s="2053">
        <v>0.2177</v>
      </c>
      <c r="Y42" s="2053">
        <v>0.19999999999999996</v>
      </c>
      <c r="Z42" s="2053">
        <v>0.14999999999999991</v>
      </c>
      <c r="AB42" s="599"/>
      <c r="AC42" s="4"/>
      <c r="AD42" s="4"/>
      <c r="AE42" s="4"/>
      <c r="AF42" s="4"/>
      <c r="AG42" s="4"/>
      <c r="AH42" s="4"/>
      <c r="AI42" s="4"/>
      <c r="AJ42" s="599"/>
      <c r="AK42" s="686"/>
      <c r="AL42" s="671"/>
      <c r="AM42" s="671"/>
      <c r="AN42" s="686"/>
      <c r="AO42" s="671"/>
      <c r="AP42" s="671"/>
      <c r="AQ42" s="671"/>
    </row>
    <row r="43" spans="2:45">
      <c r="B43" s="2054" t="s">
        <v>1117</v>
      </c>
      <c r="C43" s="4"/>
      <c r="D43" s="4"/>
      <c r="E43" s="4"/>
      <c r="F43" s="4"/>
      <c r="G43" s="4"/>
      <c r="H43" s="4"/>
      <c r="I43" s="4"/>
      <c r="J43" s="13"/>
      <c r="K43" s="639"/>
      <c r="L43" s="2053">
        <f t="shared" si="15"/>
        <v>-0.14228767416117516</v>
      </c>
      <c r="M43" s="2053">
        <f t="shared" si="15"/>
        <v>1.866462300470987</v>
      </c>
      <c r="N43" s="2053">
        <f t="shared" si="15"/>
        <v>1.7536884891421969</v>
      </c>
      <c r="O43" s="2053">
        <f t="shared" si="15"/>
        <v>0.99820000000000042</v>
      </c>
      <c r="P43" s="2053">
        <f t="shared" si="15"/>
        <v>0.33650000000000024</v>
      </c>
      <c r="Q43" s="2053">
        <f t="shared" si="15"/>
        <v>0.26249999999999996</v>
      </c>
      <c r="R43" s="4"/>
      <c r="S43" s="4"/>
      <c r="T43" s="637"/>
      <c r="U43" s="4"/>
      <c r="V43" s="4"/>
      <c r="W43" s="639">
        <v>2.0359999999999996</v>
      </c>
      <c r="X43" s="2053">
        <v>0.93030000000000057</v>
      </c>
      <c r="Y43" s="2053">
        <v>0.33999999999999986</v>
      </c>
      <c r="Z43" s="2053">
        <v>0.26249999999999996</v>
      </c>
      <c r="AB43" s="599"/>
      <c r="AC43" s="4"/>
      <c r="AD43" s="4"/>
      <c r="AE43" s="4"/>
      <c r="AF43" s="4"/>
      <c r="AG43" s="4"/>
      <c r="AH43" s="4"/>
      <c r="AI43" s="4"/>
      <c r="AJ43" s="599"/>
      <c r="AK43" s="686"/>
      <c r="AL43" s="671"/>
      <c r="AM43" s="671"/>
      <c r="AN43" s="686"/>
      <c r="AO43" s="671"/>
      <c r="AP43" s="671"/>
      <c r="AQ43" s="671"/>
    </row>
    <row r="44" spans="2:45">
      <c r="B44" s="4" t="s">
        <v>940</v>
      </c>
      <c r="C44" s="4"/>
      <c r="D44" s="4"/>
      <c r="E44" s="4"/>
      <c r="F44" s="4"/>
      <c r="G44" s="4"/>
      <c r="H44" s="4"/>
      <c r="I44" s="4"/>
      <c r="J44" s="13"/>
      <c r="K44" s="637"/>
      <c r="L44" s="2053">
        <f t="shared" ref="L44:O46" si="16">L11/K11-1</f>
        <v>0.16267080187934657</v>
      </c>
      <c r="M44" s="2053">
        <f t="shared" si="16"/>
        <v>0.34756577958461898</v>
      </c>
      <c r="N44" s="2053">
        <f t="shared" si="16"/>
        <v>0.46301495170265716</v>
      </c>
      <c r="O44" s="2053">
        <f t="shared" si="16"/>
        <v>0.3283253672268458</v>
      </c>
      <c r="P44" s="2053">
        <f t="shared" ref="P44:Q46" si="17">P11/O11-1</f>
        <v>0.23640366401657587</v>
      </c>
      <c r="Q44" s="2053">
        <f t="shared" si="17"/>
        <v>0.18128072528025885</v>
      </c>
      <c r="R44" s="4"/>
      <c r="S44" s="4"/>
      <c r="T44" s="637"/>
      <c r="U44" s="4"/>
      <c r="V44" s="4"/>
      <c r="W44" s="639">
        <v>0.51705666044073406</v>
      </c>
      <c r="X44" s="2053">
        <v>0.34282453048461825</v>
      </c>
      <c r="Y44" s="2053">
        <v>0.25159475085367089</v>
      </c>
      <c r="Z44" s="2053">
        <v>0.18681682479163642</v>
      </c>
      <c r="AB44" s="599"/>
      <c r="AC44" s="4"/>
      <c r="AD44" s="4"/>
      <c r="AE44" s="4"/>
      <c r="AF44" s="4"/>
      <c r="AG44" s="4"/>
      <c r="AH44" s="4"/>
      <c r="AI44" s="4"/>
      <c r="AJ44" s="599"/>
      <c r="AK44" s="686"/>
      <c r="AL44" s="671"/>
      <c r="AM44" s="671"/>
      <c r="AN44" s="686"/>
      <c r="AO44" s="671"/>
      <c r="AP44" s="671"/>
      <c r="AQ44" s="671"/>
    </row>
    <row r="45" spans="2:45">
      <c r="B45" s="2055" t="s">
        <v>1116</v>
      </c>
      <c r="C45" s="4"/>
      <c r="D45" s="4"/>
      <c r="E45" s="4"/>
      <c r="F45" s="4"/>
      <c r="G45" s="4"/>
      <c r="H45" s="4"/>
      <c r="I45" s="4"/>
      <c r="J45" s="13"/>
      <c r="K45" s="637"/>
      <c r="L45" s="2053">
        <f t="shared" si="16"/>
        <v>0.16375823481011587</v>
      </c>
      <c r="M45" s="2053">
        <f t="shared" si="16"/>
        <v>0.32501304419391497</v>
      </c>
      <c r="N45" s="2053">
        <f t="shared" si="16"/>
        <v>0.36896111094522088</v>
      </c>
      <c r="O45" s="2053">
        <f t="shared" si="16"/>
        <v>0.2639456160173721</v>
      </c>
      <c r="P45" s="2053">
        <f t="shared" si="17"/>
        <v>0.19825525575991487</v>
      </c>
      <c r="Q45" s="2053">
        <f t="shared" si="17"/>
        <v>0.14000000000000012</v>
      </c>
      <c r="R45" s="4"/>
      <c r="S45" s="4"/>
      <c r="T45" s="637"/>
      <c r="U45" s="4"/>
      <c r="V45" s="4"/>
      <c r="W45" s="639">
        <v>0.39106976945898797</v>
      </c>
      <c r="X45" s="2053">
        <v>0.28747800692841818</v>
      </c>
      <c r="Y45" s="2053">
        <v>0.21154351078865985</v>
      </c>
      <c r="Z45" s="2053">
        <v>0.14891524432132575</v>
      </c>
      <c r="AB45" s="599"/>
      <c r="AC45" s="4"/>
      <c r="AD45" s="4"/>
      <c r="AE45" s="4"/>
      <c r="AF45" s="4"/>
      <c r="AG45" s="4"/>
      <c r="AH45" s="4"/>
      <c r="AI45" s="4"/>
      <c r="AJ45" s="599"/>
      <c r="AK45" s="686"/>
      <c r="AL45" s="671"/>
      <c r="AM45" s="671"/>
      <c r="AN45" s="686"/>
      <c r="AO45" s="671"/>
      <c r="AP45" s="671"/>
      <c r="AQ45" s="671"/>
    </row>
    <row r="46" spans="2:45">
      <c r="B46" s="2055" t="s">
        <v>1117</v>
      </c>
      <c r="C46" s="4"/>
      <c r="D46" s="4"/>
      <c r="E46" s="4"/>
      <c r="F46" s="4"/>
      <c r="G46" s="4"/>
      <c r="H46" s="4"/>
      <c r="I46" s="4"/>
      <c r="J46" s="13"/>
      <c r="K46" s="637"/>
      <c r="L46" s="2053">
        <f t="shared" si="16"/>
        <v>0.1260670569446507</v>
      </c>
      <c r="M46" s="2053">
        <f t="shared" si="16"/>
        <v>1.8972880719857641</v>
      </c>
      <c r="N46" s="2053">
        <f t="shared" si="16"/>
        <v>3.2601609004811332</v>
      </c>
      <c r="O46" s="2053">
        <f t="shared" si="16"/>
        <v>0.94161321869722481</v>
      </c>
      <c r="P46" s="2053">
        <f t="shared" si="17"/>
        <v>0.47145225944038383</v>
      </c>
      <c r="Q46" s="2053">
        <f t="shared" si="17"/>
        <v>0.3876236242860609</v>
      </c>
      <c r="R46" s="4"/>
      <c r="S46" s="4"/>
      <c r="T46" s="637"/>
      <c r="U46" s="4"/>
      <c r="V46" s="4"/>
      <c r="W46" s="639">
        <v>4.2866497113396722</v>
      </c>
      <c r="X46" s="2053">
        <v>0.87016967753797392</v>
      </c>
      <c r="Y46" s="2053">
        <v>0.51290444414250125</v>
      </c>
      <c r="Z46" s="2053">
        <v>0.3837705981203523</v>
      </c>
      <c r="AB46" s="599"/>
      <c r="AC46" s="4"/>
      <c r="AD46" s="4"/>
      <c r="AE46" s="4"/>
      <c r="AF46" s="4"/>
      <c r="AG46" s="4"/>
      <c r="AH46" s="4"/>
      <c r="AI46" s="4"/>
      <c r="AJ46" s="599"/>
      <c r="AK46" s="686"/>
      <c r="AL46" s="671"/>
      <c r="AM46" s="671"/>
      <c r="AN46" s="686"/>
      <c r="AO46" s="671"/>
      <c r="AP46" s="671"/>
      <c r="AQ46" s="671"/>
    </row>
    <row r="47" spans="2:45">
      <c r="B47" s="4" t="s">
        <v>941</v>
      </c>
      <c r="C47" s="4"/>
      <c r="D47" s="4"/>
      <c r="E47" s="4"/>
      <c r="F47" s="4"/>
      <c r="G47" s="4"/>
      <c r="H47" s="4"/>
      <c r="I47" s="4"/>
      <c r="J47" s="13"/>
      <c r="K47" s="637"/>
      <c r="L47" s="2053">
        <f t="shared" ref="L47:Q47" si="18">L21/K21-1</f>
        <v>0.20282203908546004</v>
      </c>
      <c r="M47" s="2053">
        <f t="shared" si="18"/>
        <v>0.34327160523185074</v>
      </c>
      <c r="N47" s="2053">
        <f t="shared" si="18"/>
        <v>0.59724231851930343</v>
      </c>
      <c r="O47" s="2053">
        <f>O21/N21-1</f>
        <v>0.43040001252832805</v>
      </c>
      <c r="P47" s="2053">
        <f t="shared" si="18"/>
        <v>0.24493466612529868</v>
      </c>
      <c r="Q47" s="2053">
        <f t="shared" si="18"/>
        <v>0.20277959519593058</v>
      </c>
      <c r="R47" s="4"/>
      <c r="S47" s="4"/>
      <c r="T47" s="637"/>
      <c r="U47" s="4"/>
      <c r="V47" s="4"/>
      <c r="W47" s="639">
        <v>0.6291963841722592</v>
      </c>
      <c r="X47" s="2053">
        <v>0.40115279696404693</v>
      </c>
      <c r="Y47" s="2053">
        <v>0.28559233040903687</v>
      </c>
      <c r="Z47" s="2053">
        <v>0.20822292620340566</v>
      </c>
      <c r="AB47" s="599"/>
      <c r="AC47" s="4"/>
      <c r="AD47" s="4"/>
      <c r="AE47" s="4"/>
      <c r="AF47" s="4"/>
      <c r="AG47" s="4"/>
      <c r="AH47" s="4"/>
      <c r="AI47" s="4"/>
      <c r="AJ47" s="599"/>
      <c r="AK47" s="686"/>
      <c r="AL47" s="671"/>
      <c r="AM47" s="671"/>
      <c r="AN47" s="686"/>
      <c r="AO47" s="671"/>
      <c r="AP47" s="671"/>
      <c r="AQ47" s="671"/>
    </row>
    <row r="48" spans="2:45">
      <c r="B48" s="4" t="s">
        <v>1497</v>
      </c>
      <c r="C48" s="4"/>
      <c r="D48" s="4"/>
      <c r="E48" s="4"/>
      <c r="F48" s="4"/>
      <c r="G48" s="4"/>
      <c r="H48" s="4"/>
      <c r="I48" s="4"/>
      <c r="J48" s="13"/>
      <c r="K48" s="637"/>
      <c r="L48" s="2053">
        <f t="shared" ref="L48:Q48" si="19">L35/K35-1</f>
        <v>0.20751750200169417</v>
      </c>
      <c r="M48" s="2053">
        <f t="shared" si="19"/>
        <v>0.41599699752586394</v>
      </c>
      <c r="N48" s="2053">
        <f t="shared" si="19"/>
        <v>0.63092127027421352</v>
      </c>
      <c r="O48" s="2053">
        <f t="shared" si="19"/>
        <v>0.37158013000110124</v>
      </c>
      <c r="P48" s="2053">
        <f t="shared" si="19"/>
        <v>0.23953280479116112</v>
      </c>
      <c r="Q48" s="2053">
        <f t="shared" si="19"/>
        <v>0.19417228706742073</v>
      </c>
      <c r="R48" s="4"/>
      <c r="S48" s="4"/>
      <c r="T48" s="637"/>
      <c r="U48" s="4"/>
      <c r="V48" s="4"/>
      <c r="W48" s="639">
        <v>0.62099276460270447</v>
      </c>
      <c r="X48" s="2053">
        <v>0.35084127328337944</v>
      </c>
      <c r="Y48" s="2053">
        <v>0.28029781256628739</v>
      </c>
      <c r="Z48" s="2053">
        <v>0.20132678791299941</v>
      </c>
      <c r="AB48" s="599"/>
      <c r="AC48" s="4"/>
      <c r="AD48" s="4"/>
      <c r="AE48" s="4"/>
      <c r="AF48" s="4"/>
      <c r="AG48" s="4"/>
      <c r="AH48" s="4"/>
      <c r="AI48" s="4"/>
      <c r="AJ48" s="599"/>
      <c r="AK48" s="686"/>
      <c r="AL48" s="671"/>
      <c r="AM48" s="671"/>
      <c r="AN48" s="686"/>
      <c r="AO48" s="671"/>
      <c r="AP48" s="671"/>
      <c r="AQ48" s="671"/>
    </row>
    <row r="49" spans="2:43">
      <c r="B49" s="4"/>
      <c r="C49" s="4"/>
      <c r="D49" s="4"/>
      <c r="E49" s="4"/>
      <c r="F49" s="4"/>
      <c r="G49" s="4"/>
      <c r="H49" s="4"/>
      <c r="I49" s="4"/>
      <c r="J49" s="13"/>
      <c r="K49" s="637"/>
      <c r="L49" s="4"/>
      <c r="M49" s="4"/>
      <c r="N49" s="4"/>
      <c r="O49" s="4"/>
      <c r="P49" s="4"/>
      <c r="Q49" s="4"/>
      <c r="R49" s="4"/>
      <c r="S49" s="4"/>
      <c r="T49" s="637"/>
      <c r="U49" s="4"/>
      <c r="V49" s="4"/>
      <c r="W49" s="637"/>
      <c r="X49" s="4"/>
      <c r="Y49" s="4"/>
      <c r="Z49" s="4"/>
      <c r="AB49" s="599"/>
      <c r="AC49" s="4"/>
      <c r="AD49" s="4"/>
      <c r="AE49" s="4"/>
      <c r="AF49" s="4"/>
      <c r="AG49" s="4"/>
      <c r="AH49" s="4"/>
      <c r="AI49" s="4"/>
      <c r="AJ49" s="599"/>
      <c r="AK49" s="686"/>
      <c r="AL49" s="671"/>
      <c r="AM49" s="671"/>
      <c r="AN49" s="686"/>
      <c r="AO49" s="671"/>
      <c r="AP49" s="671"/>
      <c r="AQ49" s="671"/>
    </row>
    <row r="50" spans="2:43">
      <c r="B50" s="4"/>
      <c r="C50" s="4"/>
      <c r="D50" s="4"/>
      <c r="E50" s="4"/>
      <c r="F50" s="4"/>
      <c r="G50" s="4"/>
      <c r="H50" s="4"/>
      <c r="I50" s="4"/>
      <c r="J50" s="13"/>
      <c r="K50" s="637"/>
      <c r="L50" s="4"/>
      <c r="M50" s="4"/>
      <c r="N50" s="4"/>
      <c r="O50" s="4"/>
      <c r="P50" s="4"/>
      <c r="Q50" s="4"/>
      <c r="R50" s="4"/>
      <c r="S50" s="4"/>
      <c r="T50" s="637"/>
      <c r="U50" s="4"/>
      <c r="V50" s="4"/>
      <c r="W50" s="637"/>
      <c r="X50" s="4"/>
      <c r="Y50" s="4"/>
      <c r="Z50" s="4"/>
      <c r="AB50" s="599"/>
      <c r="AC50" s="4"/>
      <c r="AD50" s="4"/>
      <c r="AE50" s="4"/>
      <c r="AF50" s="4"/>
      <c r="AG50" s="4"/>
      <c r="AH50" s="4"/>
      <c r="AI50" s="4"/>
      <c r="AJ50" s="599"/>
      <c r="AK50" s="686"/>
      <c r="AL50" s="671"/>
      <c r="AM50" s="671"/>
      <c r="AN50" s="686"/>
      <c r="AO50" s="671"/>
      <c r="AP50" s="671"/>
      <c r="AQ50" s="671"/>
    </row>
    <row r="51" spans="2:43">
      <c r="B51" s="2056" t="s">
        <v>12</v>
      </c>
      <c r="C51" s="2056" t="s">
        <v>11</v>
      </c>
      <c r="D51" s="2057"/>
      <c r="E51" s="2057"/>
      <c r="F51" s="2057"/>
      <c r="G51" s="2057"/>
      <c r="H51" s="2057"/>
      <c r="I51" s="2052"/>
      <c r="J51" s="2058"/>
      <c r="K51" s="2059"/>
      <c r="L51" s="2057"/>
      <c r="M51" s="2057"/>
      <c r="N51" s="2057"/>
      <c r="O51" s="2057"/>
      <c r="P51" s="2057"/>
      <c r="Q51" s="2057"/>
      <c r="R51" s="2052"/>
      <c r="S51" s="2057"/>
      <c r="T51" s="2059"/>
      <c r="U51" s="2057"/>
      <c r="V51" s="2057"/>
      <c r="W51" s="2059"/>
      <c r="X51" s="2057"/>
      <c r="Y51" s="2057"/>
      <c r="Z51" s="2057"/>
      <c r="AB51" s="2060"/>
      <c r="AC51" s="2057"/>
      <c r="AD51" s="2057"/>
      <c r="AE51" s="2052"/>
      <c r="AF51" s="2057"/>
      <c r="AG51" s="2057"/>
      <c r="AH51" s="2057"/>
      <c r="AI51" s="2052"/>
      <c r="AJ51" s="2060"/>
      <c r="AK51" s="2061"/>
      <c r="AL51" s="2062"/>
      <c r="AM51" s="2062"/>
      <c r="AN51" s="2061"/>
      <c r="AO51" s="2062"/>
      <c r="AP51" s="2062"/>
      <c r="AQ51" s="2062"/>
    </row>
    <row r="52" spans="2:43">
      <c r="B52" s="2053" t="s">
        <v>10</v>
      </c>
      <c r="C52" s="2053" t="s">
        <v>9</v>
      </c>
      <c r="D52" s="8" t="e">
        <f>1-D10/D4</f>
        <v>#REF!</v>
      </c>
      <c r="E52" s="8" t="e">
        <f>1-E10/E4</f>
        <v>#REF!</v>
      </c>
      <c r="F52" s="8">
        <f>1-F10/F4</f>
        <v>0.47922116812684523</v>
      </c>
      <c r="G52" s="8">
        <f>1-G10/G4</f>
        <v>0.45967980049773183</v>
      </c>
      <c r="H52" s="8">
        <f>1-H10/H4</f>
        <v>0.46736424775522134</v>
      </c>
      <c r="I52" s="8"/>
      <c r="J52" s="594">
        <f t="shared" ref="J52:P52" si="20">1-J10/J4</f>
        <v>0.46736424775522134</v>
      </c>
      <c r="K52" s="594">
        <f t="shared" si="20"/>
        <v>0.44372835410975398</v>
      </c>
      <c r="L52" s="594">
        <f t="shared" si="20"/>
        <v>0.42325260991401659</v>
      </c>
      <c r="M52" s="594">
        <f t="shared" si="20"/>
        <v>0.43072263306113134</v>
      </c>
      <c r="N52" s="594">
        <f t="shared" si="20"/>
        <v>0.44809376983705285</v>
      </c>
      <c r="O52" s="594">
        <f>1-O10/O4</f>
        <v>0.44910211677057787</v>
      </c>
      <c r="P52" s="594">
        <f t="shared" si="20"/>
        <v>0.45884251406438792</v>
      </c>
      <c r="Q52" s="594">
        <f>1-Q10/Q4</f>
        <v>0.46217984805732437</v>
      </c>
      <c r="R52" s="8"/>
      <c r="S52" s="594">
        <v>0.44660892379678241</v>
      </c>
      <c r="T52" s="594">
        <v>0.22300150261572482</v>
      </c>
      <c r="U52" s="594">
        <v>0.23483892719168709</v>
      </c>
      <c r="V52" s="594">
        <v>0.24820089495393216</v>
      </c>
      <c r="W52" s="594">
        <v>0.45068890694959451</v>
      </c>
      <c r="X52" s="594">
        <v>0.4520140326569404</v>
      </c>
      <c r="Y52" s="594">
        <v>0.4590215531387648</v>
      </c>
      <c r="Z52" s="594">
        <v>0.46226082976856375</v>
      </c>
      <c r="AB52" s="604">
        <f t="shared" ref="AB52:AB59" si="21">+J52-G52</f>
        <v>7.6844472574895129E-3</v>
      </c>
      <c r="AC52" s="604" t="e">
        <f>+#REF!-J52</f>
        <v>#REF!</v>
      </c>
      <c r="AD52" s="604" t="e">
        <f>+K52-#REF!</f>
        <v>#REF!</v>
      </c>
      <c r="AE52" s="8"/>
      <c r="AF52" s="594">
        <f>J52-S52</f>
        <v>2.0755323958438932E-2</v>
      </c>
      <c r="AG52" s="594" t="e">
        <f>#REF!-#REF!</f>
        <v>#REF!</v>
      </c>
      <c r="AH52" s="594">
        <f>K52-T52</f>
        <v>0.22072685149402915</v>
      </c>
      <c r="AI52" s="8"/>
      <c r="AJ52" s="604">
        <f t="shared" ref="AJ52:AQ52" si="22">+J52-S52</f>
        <v>2.0755323958438932E-2</v>
      </c>
      <c r="AK52" s="678">
        <f t="shared" si="22"/>
        <v>0.22072685149402915</v>
      </c>
      <c r="AL52" s="678">
        <f t="shared" si="22"/>
        <v>0.1884136827223295</v>
      </c>
      <c r="AM52" s="678">
        <f t="shared" si="22"/>
        <v>0.18252173810719918</v>
      </c>
      <c r="AN52" s="678">
        <f t="shared" si="22"/>
        <v>-2.5951371125416678E-3</v>
      </c>
      <c r="AO52" s="678">
        <f t="shared" si="22"/>
        <v>-2.9119158863625261E-3</v>
      </c>
      <c r="AP52" s="678">
        <f t="shared" si="22"/>
        <v>-1.7903907437688549E-4</v>
      </c>
      <c r="AQ52" s="678">
        <f t="shared" si="22"/>
        <v>-8.0981711239380694E-5</v>
      </c>
    </row>
    <row r="53" spans="2:43">
      <c r="B53" s="2054" t="s">
        <v>1116</v>
      </c>
      <c r="C53" s="2053"/>
      <c r="D53" s="8"/>
      <c r="E53" s="8"/>
      <c r="F53" s="8"/>
      <c r="G53" s="8"/>
      <c r="H53" s="8"/>
      <c r="I53" s="8"/>
      <c r="J53" s="594"/>
      <c r="K53" s="594">
        <f t="shared" ref="K53:Q54" si="23">K12/K5</f>
        <v>0.46088722574050672</v>
      </c>
      <c r="L53" s="594">
        <f t="shared" si="23"/>
        <v>0.43263658824044338</v>
      </c>
      <c r="M53" s="594">
        <f t="shared" si="23"/>
        <v>0.45324725631711432</v>
      </c>
      <c r="N53" s="594">
        <f t="shared" si="23"/>
        <v>0.48207044690349776</v>
      </c>
      <c r="O53" s="594">
        <f t="shared" si="23"/>
        <v>0.50864915934152377</v>
      </c>
      <c r="P53" s="594">
        <f t="shared" si="23"/>
        <v>0.52093293035798571</v>
      </c>
      <c r="Q53" s="594">
        <f t="shared" si="23"/>
        <v>0.52093293035798571</v>
      </c>
      <c r="R53" s="8"/>
      <c r="S53" s="594"/>
      <c r="T53" s="594"/>
      <c r="U53" s="594"/>
      <c r="V53" s="594"/>
      <c r="W53" s="594">
        <v>0.48127823850461199</v>
      </c>
      <c r="X53" s="594">
        <v>0.50969458666207368</v>
      </c>
      <c r="Y53" s="594">
        <v>0.514597640795453</v>
      </c>
      <c r="Z53" s="594">
        <v>0.51411223843624854</v>
      </c>
      <c r="AB53" s="604"/>
      <c r="AC53" s="604"/>
      <c r="AD53" s="604"/>
      <c r="AE53" s="8"/>
      <c r="AF53" s="594"/>
      <c r="AG53" s="594"/>
      <c r="AH53" s="594"/>
      <c r="AI53" s="8"/>
      <c r="AJ53" s="604"/>
      <c r="AK53" s="678"/>
      <c r="AL53" s="678"/>
      <c r="AM53" s="678"/>
      <c r="AN53" s="678">
        <f t="shared" ref="AN53:AQ54" si="24">+N53-W53</f>
        <v>7.9220839888577421E-4</v>
      </c>
      <c r="AO53" s="678">
        <f t="shared" si="24"/>
        <v>-1.0454273205499076E-3</v>
      </c>
      <c r="AP53" s="678">
        <f t="shared" si="24"/>
        <v>6.3352895625327088E-3</v>
      </c>
      <c r="AQ53" s="678">
        <f t="shared" si="24"/>
        <v>6.8206919217371764E-3</v>
      </c>
    </row>
    <row r="54" spans="2:43">
      <c r="B54" s="2054" t="s">
        <v>1117</v>
      </c>
      <c r="C54" s="2053"/>
      <c r="D54" s="8"/>
      <c r="E54" s="8"/>
      <c r="F54" s="8"/>
      <c r="G54" s="8"/>
      <c r="H54" s="8"/>
      <c r="I54" s="8"/>
      <c r="J54" s="594"/>
      <c r="K54" s="594">
        <f t="shared" si="23"/>
        <v>0.13000050815787906</v>
      </c>
      <c r="L54" s="594">
        <f t="shared" si="23"/>
        <v>0.1706741120683864</v>
      </c>
      <c r="M54" s="594">
        <f t="shared" si="23"/>
        <v>0.17250953170088706</v>
      </c>
      <c r="N54" s="594">
        <f t="shared" si="23"/>
        <v>0.26688507607531325</v>
      </c>
      <c r="O54" s="594">
        <f t="shared" si="23"/>
        <v>0.25932719026165674</v>
      </c>
      <c r="P54" s="594">
        <f t="shared" si="23"/>
        <v>0.2855125926261437</v>
      </c>
      <c r="Q54" s="594">
        <f t="shared" si="23"/>
        <v>0.31380912361124691</v>
      </c>
      <c r="R54" s="8"/>
      <c r="S54" s="594"/>
      <c r="T54" s="594"/>
      <c r="U54" s="594"/>
      <c r="V54" s="594"/>
      <c r="W54" s="594">
        <v>0.3003944222562045</v>
      </c>
      <c r="X54" s="594">
        <v>0.25857140168029119</v>
      </c>
      <c r="Y54" s="594">
        <v>0.29193568860467795</v>
      </c>
      <c r="Z54" s="594">
        <v>0.31997783955102738</v>
      </c>
      <c r="AB54" s="604"/>
      <c r="AC54" s="604"/>
      <c r="AD54" s="604"/>
      <c r="AE54" s="8"/>
      <c r="AF54" s="594"/>
      <c r="AG54" s="594"/>
      <c r="AH54" s="594"/>
      <c r="AI54" s="8"/>
      <c r="AJ54" s="604"/>
      <c r="AK54" s="678"/>
      <c r="AL54" s="678"/>
      <c r="AM54" s="678"/>
      <c r="AN54" s="678">
        <f t="shared" si="24"/>
        <v>-3.3509346180891242E-2</v>
      </c>
      <c r="AO54" s="678">
        <f t="shared" si="24"/>
        <v>7.5578858136554627E-4</v>
      </c>
      <c r="AP54" s="678">
        <f t="shared" si="24"/>
        <v>-6.4230959785342434E-3</v>
      </c>
      <c r="AQ54" s="678">
        <f t="shared" si="24"/>
        <v>-6.168715939780467E-3</v>
      </c>
    </row>
    <row r="55" spans="2:43">
      <c r="B55" s="2053" t="s">
        <v>8</v>
      </c>
      <c r="C55" s="2053" t="s">
        <v>7</v>
      </c>
      <c r="D55" s="8" t="e">
        <f>D17/D4</f>
        <v>#REF!</v>
      </c>
      <c r="E55" s="8" t="e">
        <f>E17/E4</f>
        <v>#REF!</v>
      </c>
      <c r="F55" s="8">
        <f>F17/F4</f>
        <v>0.13372711993596192</v>
      </c>
      <c r="G55" s="8">
        <f>G17/G4</f>
        <v>0.10743348018289324</v>
      </c>
      <c r="H55" s="8">
        <f>H17/H4</f>
        <v>0.19317370570101897</v>
      </c>
      <c r="I55" s="8"/>
      <c r="J55" s="594">
        <f t="shared" ref="J55:P55" si="25">J17/J4</f>
        <v>0.19317370570101897</v>
      </c>
      <c r="K55" s="594">
        <f t="shared" si="25"/>
        <v>0.23755535656991009</v>
      </c>
      <c r="L55" s="594">
        <f t="shared" si="25"/>
        <v>0.23456942802346048</v>
      </c>
      <c r="M55" s="594">
        <f t="shared" si="25"/>
        <v>0.23379563869828054</v>
      </c>
      <c r="N55" s="594">
        <f t="shared" si="25"/>
        <v>0.26158054899062316</v>
      </c>
      <c r="O55" s="594">
        <f t="shared" si="25"/>
        <v>0.27876718865102856</v>
      </c>
      <c r="P55" s="594">
        <f t="shared" si="25"/>
        <v>0.28629874876348455</v>
      </c>
      <c r="Q55" s="594">
        <f>Q17/Q4</f>
        <v>0.29784325940736622</v>
      </c>
      <c r="R55" s="8"/>
      <c r="S55" s="594">
        <v>0.31905640917361294</v>
      </c>
      <c r="T55" s="594">
        <v>0.11560749126394612</v>
      </c>
      <c r="U55" s="594">
        <v>0.12153591270045909</v>
      </c>
      <c r="V55" s="594">
        <v>0.12796022059907147</v>
      </c>
      <c r="W55" s="594">
        <v>0.25920347589886711</v>
      </c>
      <c r="X55" s="594">
        <v>0.27228732211488782</v>
      </c>
      <c r="Y55" s="594">
        <v>0.28296739851538799</v>
      </c>
      <c r="Z55" s="594">
        <v>0.29425174405475119</v>
      </c>
      <c r="AB55" s="604">
        <f t="shared" si="21"/>
        <v>8.5740225518125726E-2</v>
      </c>
      <c r="AC55" s="604" t="e">
        <f>+#REF!-J55</f>
        <v>#REF!</v>
      </c>
      <c r="AD55" s="604" t="e">
        <f>+K55-#REF!</f>
        <v>#REF!</v>
      </c>
      <c r="AE55" s="8"/>
      <c r="AF55" s="594">
        <f>J55-S55</f>
        <v>-0.12588270347259398</v>
      </c>
      <c r="AG55" s="594" t="e">
        <f>#REF!-#REF!</f>
        <v>#REF!</v>
      </c>
      <c r="AH55" s="594">
        <f>K55-T55</f>
        <v>0.12194786530596397</v>
      </c>
      <c r="AI55" s="8"/>
      <c r="AJ55" s="604">
        <f t="shared" ref="AJ55:AQ59" si="26">+J55-S55</f>
        <v>-0.12588270347259398</v>
      </c>
      <c r="AK55" s="678">
        <f t="shared" si="26"/>
        <v>0.12194786530596397</v>
      </c>
      <c r="AL55" s="678">
        <f t="shared" si="26"/>
        <v>0.11303351532300139</v>
      </c>
      <c r="AM55" s="678">
        <f t="shared" si="26"/>
        <v>0.10583541809920907</v>
      </c>
      <c r="AN55" s="678">
        <f t="shared" si="26"/>
        <v>2.3770730917560545E-3</v>
      </c>
      <c r="AO55" s="678">
        <f t="shared" si="26"/>
        <v>6.4798665361407437E-3</v>
      </c>
      <c r="AP55" s="678">
        <f t="shared" si="26"/>
        <v>3.331350248096554E-3</v>
      </c>
      <c r="AQ55" s="678">
        <f t="shared" si="26"/>
        <v>3.5915153526150378E-3</v>
      </c>
    </row>
    <row r="56" spans="2:43">
      <c r="B56" s="2053" t="s">
        <v>47</v>
      </c>
      <c r="C56" s="2053" t="s">
        <v>1026</v>
      </c>
      <c r="D56" s="8" t="e">
        <f>+D52-D57</f>
        <v>#REF!</v>
      </c>
      <c r="E56" s="8" t="e">
        <f>+E52-E57</f>
        <v>#REF!</v>
      </c>
      <c r="F56" s="8">
        <f>+F52-F57</f>
        <v>0.34549404819088331</v>
      </c>
      <c r="G56" s="8">
        <f>+G52-G57</f>
        <v>0.38022014122449366</v>
      </c>
      <c r="H56" s="8">
        <f>+H52-H57</f>
        <v>0.30026123433583696</v>
      </c>
      <c r="I56" s="8"/>
      <c r="J56" s="594">
        <f t="shared" ref="J56:N56" si="27">+J52-J57</f>
        <v>0.30026123433583696</v>
      </c>
      <c r="K56" s="594">
        <f t="shared" si="27"/>
        <v>0.23270173263003432</v>
      </c>
      <c r="L56" s="594">
        <f t="shared" si="27"/>
        <v>0.21501253051369504</v>
      </c>
      <c r="M56" s="594">
        <f t="shared" si="27"/>
        <v>0.21948259860646419</v>
      </c>
      <c r="N56" s="594">
        <f t="shared" si="27"/>
        <v>0.2081720942420191</v>
      </c>
      <c r="O56" s="594">
        <f>O15/O4</f>
        <v>0.19969185267759598</v>
      </c>
      <c r="P56" s="594">
        <f t="shared" ref="P56:Q56" si="28">P15/P4</f>
        <v>0.19439185267759598</v>
      </c>
      <c r="Q56" s="594">
        <f t="shared" si="28"/>
        <v>0.19079185267759605</v>
      </c>
      <c r="R56" s="8"/>
      <c r="S56" s="594">
        <v>0.15059440752814196</v>
      </c>
      <c r="T56" s="594">
        <v>0.13584984707421757</v>
      </c>
      <c r="U56" s="594">
        <v>0.13969374574583998</v>
      </c>
      <c r="V56" s="594">
        <v>0.14527162046145242</v>
      </c>
      <c r="W56" s="594">
        <v>0.213318244814757</v>
      </c>
      <c r="X56" s="594">
        <f>X15/X4</f>
        <v>0.20209185267759602</v>
      </c>
      <c r="Y56" s="594">
        <f t="shared" ref="Y56:Z56" si="29">Y15/Y4</f>
        <v>0.19709185267759605</v>
      </c>
      <c r="Z56" s="594">
        <f t="shared" si="29"/>
        <v>0.19359185267759602</v>
      </c>
      <c r="AB56" s="604">
        <f t="shared" si="21"/>
        <v>-7.99589068886567E-2</v>
      </c>
      <c r="AC56" s="604" t="e">
        <f>+#REF!-J56</f>
        <v>#REF!</v>
      </c>
      <c r="AD56" s="604" t="e">
        <f>+K56-#REF!</f>
        <v>#REF!</v>
      </c>
      <c r="AE56" s="8"/>
      <c r="AF56" s="594">
        <f>+AF52-AF57</f>
        <v>0.149666826807695</v>
      </c>
      <c r="AG56" s="594" t="e">
        <f>+AG52-AG57</f>
        <v>#REF!</v>
      </c>
      <c r="AH56" s="594">
        <f>+AH52-AH57</f>
        <v>9.6851885555816752E-2</v>
      </c>
      <c r="AI56" s="8"/>
      <c r="AJ56" s="604">
        <f t="shared" si="26"/>
        <v>0.149666826807695</v>
      </c>
      <c r="AK56" s="678">
        <f t="shared" si="26"/>
        <v>9.6851885555816752E-2</v>
      </c>
      <c r="AL56" s="678">
        <f t="shared" si="26"/>
        <v>7.5318784767855057E-2</v>
      </c>
      <c r="AM56" s="678">
        <f t="shared" si="26"/>
        <v>7.4210978145011763E-2</v>
      </c>
      <c r="AN56" s="678">
        <f t="shared" si="26"/>
        <v>-5.1461505727379009E-3</v>
      </c>
      <c r="AO56" s="678">
        <f t="shared" si="26"/>
        <v>-2.400000000000041E-3</v>
      </c>
      <c r="AP56" s="678">
        <f t="shared" si="26"/>
        <v>-2.7000000000000635E-3</v>
      </c>
      <c r="AQ56" s="678">
        <f t="shared" si="26"/>
        <v>-2.7999999999999692E-3</v>
      </c>
    </row>
    <row r="57" spans="2:43">
      <c r="B57" s="2053" t="s">
        <v>6</v>
      </c>
      <c r="C57" s="2053" t="s">
        <v>5</v>
      </c>
      <c r="D57" s="8" t="e">
        <f>D21/D4</f>
        <v>#REF!</v>
      </c>
      <c r="E57" s="8" t="e">
        <f>E21/E4</f>
        <v>#REF!</v>
      </c>
      <c r="F57" s="8">
        <f>F21/F4</f>
        <v>0.13372711993596192</v>
      </c>
      <c r="G57" s="8">
        <f>G21/G4</f>
        <v>7.945965927323817E-2</v>
      </c>
      <c r="H57" s="8">
        <f>H21/H4</f>
        <v>0.16710301341938438</v>
      </c>
      <c r="I57" s="8"/>
      <c r="J57" s="594">
        <f t="shared" ref="J57:P57" si="30">J21/J4</f>
        <v>0.16710301341938438</v>
      </c>
      <c r="K57" s="594">
        <f t="shared" si="30"/>
        <v>0.21102662147971965</v>
      </c>
      <c r="L57" s="594">
        <f t="shared" si="30"/>
        <v>0.20824007940032155</v>
      </c>
      <c r="M57" s="594">
        <f t="shared" si="30"/>
        <v>0.21124003445466716</v>
      </c>
      <c r="N57" s="594">
        <f t="shared" si="30"/>
        <v>0.23992167559503375</v>
      </c>
      <c r="O57" s="594">
        <f t="shared" si="30"/>
        <v>0.25893974798083536</v>
      </c>
      <c r="P57" s="594">
        <f t="shared" si="30"/>
        <v>0.26638118499888003</v>
      </c>
      <c r="Q57" s="594">
        <f>Q21/Q4</f>
        <v>0.27320197555031533</v>
      </c>
      <c r="R57" s="8"/>
      <c r="S57" s="594">
        <v>0.29601451626864045</v>
      </c>
      <c r="T57" s="594">
        <v>8.715165554150725E-2</v>
      </c>
      <c r="U57" s="594">
        <v>9.5145181445847105E-2</v>
      </c>
      <c r="V57" s="594">
        <v>0.10292927449247974</v>
      </c>
      <c r="W57" s="594">
        <v>0.23737066213483751</v>
      </c>
      <c r="X57" s="594">
        <v>0.25253334397283206</v>
      </c>
      <c r="Y57" s="594">
        <v>0.26341434975442224</v>
      </c>
      <c r="Z57" s="594">
        <v>0.27005786141233512</v>
      </c>
      <c r="AB57" s="604">
        <f t="shared" si="21"/>
        <v>8.7643354146146213E-2</v>
      </c>
      <c r="AC57" s="604" t="e">
        <f>+#REF!-J57</f>
        <v>#REF!</v>
      </c>
      <c r="AD57" s="604" t="e">
        <f>+K57-#REF!</f>
        <v>#REF!</v>
      </c>
      <c r="AE57" s="8"/>
      <c r="AF57" s="594">
        <f>J57-S57</f>
        <v>-0.12891150284925607</v>
      </c>
      <c r="AG57" s="594" t="e">
        <f>#REF!-#REF!</f>
        <v>#REF!</v>
      </c>
      <c r="AH57" s="594">
        <f>K57-T57</f>
        <v>0.1238749659382124</v>
      </c>
      <c r="AI57" s="8"/>
      <c r="AJ57" s="604">
        <f t="shared" si="26"/>
        <v>-0.12891150284925607</v>
      </c>
      <c r="AK57" s="678">
        <f t="shared" si="26"/>
        <v>0.1238749659382124</v>
      </c>
      <c r="AL57" s="678">
        <f t="shared" si="26"/>
        <v>0.11309489795447444</v>
      </c>
      <c r="AM57" s="678">
        <f t="shared" si="26"/>
        <v>0.10831075996218742</v>
      </c>
      <c r="AN57" s="678">
        <f t="shared" si="26"/>
        <v>2.5510134601962331E-3</v>
      </c>
      <c r="AO57" s="678">
        <f t="shared" si="26"/>
        <v>6.4064040080032969E-3</v>
      </c>
      <c r="AP57" s="678">
        <f t="shared" si="26"/>
        <v>2.9668352444577883E-3</v>
      </c>
      <c r="AQ57" s="678">
        <f t="shared" si="26"/>
        <v>3.144114137980214E-3</v>
      </c>
    </row>
    <row r="58" spans="2:43">
      <c r="B58" s="2053" t="s">
        <v>4</v>
      </c>
      <c r="C58" s="2053" t="s">
        <v>3</v>
      </c>
      <c r="D58" s="8" t="e">
        <f>D29/D4</f>
        <v>#REF!</v>
      </c>
      <c r="E58" s="8" t="e">
        <f>E29/E4</f>
        <v>#REF!</v>
      </c>
      <c r="F58" s="8">
        <f>F29/F4</f>
        <v>0.13707154450251841</v>
      </c>
      <c r="G58" s="8">
        <f>G29/G4</f>
        <v>8.9983412293448944E-2</v>
      </c>
      <c r="H58" s="8">
        <f>H29/H4</f>
        <v>0.17499416945465335</v>
      </c>
      <c r="I58" s="8"/>
      <c r="J58" s="594">
        <f t="shared" ref="J58:P58" si="31">J29/J4</f>
        <v>0.17499416945465335</v>
      </c>
      <c r="K58" s="594">
        <f t="shared" si="31"/>
        <v>0.21690388655781517</v>
      </c>
      <c r="L58" s="594">
        <f t="shared" si="31"/>
        <v>0.21586427049264295</v>
      </c>
      <c r="M58" s="594">
        <f t="shared" si="31"/>
        <v>0.22900808773701423</v>
      </c>
      <c r="N58" s="594">
        <f t="shared" si="31"/>
        <v>0.25931881573442461</v>
      </c>
      <c r="O58" s="594">
        <f t="shared" si="31"/>
        <v>0.27339479816694745</v>
      </c>
      <c r="P58" s="594">
        <f t="shared" si="31"/>
        <v>0.28003459385913165</v>
      </c>
      <c r="Q58" s="594">
        <f>Q29/Q4</f>
        <v>0.28515198857303276</v>
      </c>
      <c r="R58" s="8"/>
      <c r="S58" s="594">
        <v>0.31950236879820548</v>
      </c>
      <c r="T58" s="594">
        <v>9.1066409853763006E-2</v>
      </c>
      <c r="U58" s="594">
        <v>9.5942710288438759E-2</v>
      </c>
      <c r="V58" s="594">
        <v>0.10402355407411559</v>
      </c>
      <c r="W58" s="594">
        <v>0.25284367486959342</v>
      </c>
      <c r="X58" s="594">
        <v>0.26640485312769591</v>
      </c>
      <c r="Y58" s="594">
        <v>0.27674289798272378</v>
      </c>
      <c r="Z58" s="594">
        <v>0.28210547057837121</v>
      </c>
      <c r="AB58" s="604">
        <f t="shared" si="21"/>
        <v>8.5010757161204403E-2</v>
      </c>
      <c r="AC58" s="604" t="e">
        <f>+#REF!-J58</f>
        <v>#REF!</v>
      </c>
      <c r="AD58" s="604" t="e">
        <f>+K58-#REF!</f>
        <v>#REF!</v>
      </c>
      <c r="AE58" s="8"/>
      <c r="AF58" s="594">
        <f>J58-S58</f>
        <v>-0.14450819934355214</v>
      </c>
      <c r="AG58" s="594" t="e">
        <f>#REF!-#REF!</f>
        <v>#REF!</v>
      </c>
      <c r="AH58" s="594">
        <f>K58-T58</f>
        <v>0.12583747670405215</v>
      </c>
      <c r="AI58" s="8"/>
      <c r="AJ58" s="604">
        <f t="shared" si="26"/>
        <v>-0.14450819934355214</v>
      </c>
      <c r="AK58" s="678">
        <f t="shared" si="26"/>
        <v>0.12583747670405215</v>
      </c>
      <c r="AL58" s="678">
        <f t="shared" si="26"/>
        <v>0.11992156020420419</v>
      </c>
      <c r="AM58" s="678">
        <f t="shared" si="26"/>
        <v>0.12498453366289863</v>
      </c>
      <c r="AN58" s="678">
        <f t="shared" si="26"/>
        <v>6.475140864831197E-3</v>
      </c>
      <c r="AO58" s="678">
        <f t="shared" si="26"/>
        <v>6.9899450392515439E-3</v>
      </c>
      <c r="AP58" s="678">
        <f t="shared" si="26"/>
        <v>3.2916958764078741E-3</v>
      </c>
      <c r="AQ58" s="678">
        <f t="shared" si="26"/>
        <v>3.0465179946615462E-3</v>
      </c>
    </row>
    <row r="59" spans="2:43">
      <c r="B59" s="2063" t="s">
        <v>2</v>
      </c>
      <c r="C59" s="2063" t="s">
        <v>1</v>
      </c>
      <c r="D59" s="2064" t="e">
        <f>D35/D4</f>
        <v>#REF!</v>
      </c>
      <c r="E59" s="2064" t="e">
        <f>E35/E4</f>
        <v>#REF!</v>
      </c>
      <c r="F59" s="2064">
        <f>F35/F4</f>
        <v>0.10414410595147156</v>
      </c>
      <c r="G59" s="2064">
        <f>G35/G4</f>
        <v>7.1054611529542636E-2</v>
      </c>
      <c r="H59" s="2064">
        <f>H35/H4</f>
        <v>0.13556918975180965</v>
      </c>
      <c r="I59" s="2064"/>
      <c r="J59" s="2065">
        <f t="shared" ref="J59:P59" si="32">J35/J4</f>
        <v>0.13556918975180965</v>
      </c>
      <c r="K59" s="2065">
        <f t="shared" si="32"/>
        <v>0.17096456838289925</v>
      </c>
      <c r="L59" s="2065">
        <f t="shared" si="32"/>
        <v>0.16936561603924488</v>
      </c>
      <c r="M59" s="2065">
        <f t="shared" si="32"/>
        <v>0.18110717365829335</v>
      </c>
      <c r="N59" s="2065">
        <f t="shared" si="32"/>
        <v>0.21003472275069338</v>
      </c>
      <c r="O59" s="2065">
        <f t="shared" si="32"/>
        <v>0.21736219576143012</v>
      </c>
      <c r="P59" s="2065">
        <f t="shared" si="32"/>
        <v>0.22263851822432407</v>
      </c>
      <c r="Q59" s="2065">
        <f>Q35/Q4</f>
        <v>0.22670522430559689</v>
      </c>
      <c r="R59" s="2064"/>
      <c r="S59" s="2065">
        <v>0.26858234615472526</v>
      </c>
      <c r="T59" s="2065">
        <v>6.4361680795504278E-2</v>
      </c>
      <c r="U59" s="2065">
        <v>6.9424537693876007E-2</v>
      </c>
      <c r="V59" s="2065">
        <v>7.6622703060582345E-2</v>
      </c>
      <c r="W59" s="2065">
        <v>0.2024855814308279</v>
      </c>
      <c r="X59" s="2065">
        <v>0.21313715528133859</v>
      </c>
      <c r="Y59" s="2065">
        <v>0.22140508748337287</v>
      </c>
      <c r="Z59" s="2065">
        <v>0.22569351443039651</v>
      </c>
      <c r="AA59" s="2066"/>
      <c r="AB59" s="2067">
        <f t="shared" si="21"/>
        <v>6.4514578222267013E-2</v>
      </c>
      <c r="AC59" s="2065" t="e">
        <f>+#REF!-J59</f>
        <v>#REF!</v>
      </c>
      <c r="AD59" s="2065" t="e">
        <f>+K59-#REF!</f>
        <v>#REF!</v>
      </c>
      <c r="AE59" s="2064"/>
      <c r="AF59" s="2065">
        <f>J59-S59</f>
        <v>-0.13301315640291561</v>
      </c>
      <c r="AG59" s="2065" t="e">
        <f>#REF!-#REF!</f>
        <v>#REF!</v>
      </c>
      <c r="AH59" s="2065">
        <f>K59-T59</f>
        <v>0.10660288758739497</v>
      </c>
      <c r="AI59" s="2064"/>
      <c r="AJ59" s="2065">
        <f t="shared" si="26"/>
        <v>-0.13301315640291561</v>
      </c>
      <c r="AK59" s="2068">
        <f t="shared" si="26"/>
        <v>0.10660288758739497</v>
      </c>
      <c r="AL59" s="2068">
        <f t="shared" si="26"/>
        <v>9.9941078345368875E-2</v>
      </c>
      <c r="AM59" s="2068">
        <f t="shared" si="26"/>
        <v>0.104484470597711</v>
      </c>
      <c r="AN59" s="2068">
        <f t="shared" si="26"/>
        <v>7.5491413198654767E-3</v>
      </c>
      <c r="AO59" s="2068">
        <f t="shared" si="26"/>
        <v>4.2250404800915353E-3</v>
      </c>
      <c r="AP59" s="2068">
        <f t="shared" si="26"/>
        <v>1.2334307409511969E-3</v>
      </c>
      <c r="AQ59" s="2068">
        <f t="shared" si="26"/>
        <v>1.0117098752003839E-3</v>
      </c>
    </row>
    <row r="60" spans="2:43">
      <c r="B60" s="5"/>
      <c r="C60" s="5"/>
      <c r="D60" s="5"/>
      <c r="E60" s="5"/>
      <c r="F60" s="5"/>
      <c r="G60" s="5"/>
      <c r="H60" s="5"/>
      <c r="I60" s="5"/>
      <c r="J60" s="5"/>
      <c r="K60" s="638"/>
      <c r="L60" s="5"/>
      <c r="M60" s="5"/>
      <c r="N60" s="5"/>
      <c r="O60" s="5"/>
      <c r="P60" s="5"/>
      <c r="Q60" s="1882"/>
      <c r="R60" s="5"/>
      <c r="S60" s="5"/>
      <c r="T60" s="5"/>
      <c r="U60" s="5"/>
      <c r="V60" s="5"/>
      <c r="W60" s="638"/>
      <c r="X60" s="5"/>
      <c r="Y60" s="5"/>
      <c r="Z60" s="5"/>
      <c r="AC60" s="5"/>
      <c r="AD60" s="5"/>
      <c r="AE60" s="5"/>
      <c r="AF60" s="5"/>
      <c r="AG60" s="5"/>
      <c r="AH60" s="5"/>
      <c r="AI60" s="5"/>
      <c r="AJ60" s="5"/>
      <c r="AK60" s="608"/>
      <c r="AL60" s="608"/>
      <c r="AM60" s="608"/>
      <c r="AN60" s="1879"/>
      <c r="AO60" s="608"/>
      <c r="AP60" s="608"/>
      <c r="AQ60" s="608"/>
    </row>
    <row r="61" spans="2:43">
      <c r="B61" s="1888" t="s">
        <v>0</v>
      </c>
      <c r="C61" s="4"/>
      <c r="D61" s="3"/>
      <c r="E61" s="3"/>
      <c r="F61" s="3"/>
      <c r="G61" s="3"/>
      <c r="H61" s="3"/>
      <c r="I61" s="3"/>
      <c r="J61" s="3"/>
      <c r="K61" s="1871"/>
      <c r="L61" s="3"/>
      <c r="M61" s="3"/>
      <c r="N61" s="3"/>
      <c r="O61" s="3"/>
      <c r="P61" s="3"/>
      <c r="Q61" s="1883"/>
      <c r="R61" s="3"/>
      <c r="S61" s="3"/>
      <c r="T61" s="3"/>
      <c r="U61" s="3"/>
      <c r="V61" s="3"/>
      <c r="W61" s="1871"/>
      <c r="X61" s="3"/>
      <c r="Y61" s="3"/>
      <c r="Z61" s="3"/>
      <c r="AC61" s="3"/>
      <c r="AD61" s="3"/>
      <c r="AE61" s="3"/>
      <c r="AF61" s="3"/>
      <c r="AG61" s="3"/>
      <c r="AH61" s="3"/>
      <c r="AI61" s="3"/>
      <c r="AJ61" s="2"/>
      <c r="AK61" s="679"/>
      <c r="AL61" s="679"/>
      <c r="AM61" s="679"/>
      <c r="AN61" s="1880"/>
      <c r="AO61" s="679"/>
      <c r="AP61" s="679"/>
      <c r="AQ61" s="679"/>
    </row>
    <row r="62" spans="2:43">
      <c r="B62" s="1888"/>
      <c r="C62" s="4"/>
      <c r="D62" s="3"/>
      <c r="E62" s="3"/>
      <c r="F62" s="3"/>
      <c r="G62" s="3"/>
      <c r="H62" s="3"/>
      <c r="I62" s="3"/>
      <c r="J62" s="3"/>
      <c r="K62" s="1871"/>
      <c r="L62" s="3"/>
      <c r="M62" s="3"/>
      <c r="N62" s="3"/>
      <c r="O62" s="3"/>
      <c r="P62" s="3"/>
      <c r="Q62" s="1883"/>
      <c r="R62" s="3"/>
      <c r="S62" s="3"/>
      <c r="T62" s="3"/>
      <c r="U62" s="3"/>
      <c r="V62" s="3"/>
      <c r="W62" s="1871"/>
      <c r="X62" s="3"/>
      <c r="Y62" s="3"/>
      <c r="Z62" s="3"/>
      <c r="AC62" s="3"/>
      <c r="AD62" s="3"/>
      <c r="AE62" s="3"/>
      <c r="AF62" s="3"/>
      <c r="AG62" s="3"/>
      <c r="AH62" s="3"/>
      <c r="AI62" s="3"/>
      <c r="AJ62" s="2"/>
      <c r="AK62" s="679"/>
      <c r="AL62" s="679"/>
      <c r="AM62" s="679"/>
      <c r="AN62" s="1880"/>
      <c r="AO62" s="679"/>
      <c r="AP62" s="679"/>
      <c r="AQ62" s="679"/>
    </row>
    <row r="63" spans="2:43">
      <c r="B63" s="1063" t="s">
        <v>1227</v>
      </c>
      <c r="C63" s="1064"/>
      <c r="D63" s="1065"/>
      <c r="E63" s="1065"/>
      <c r="F63" s="1065"/>
      <c r="G63" s="1065"/>
      <c r="H63" s="1065"/>
      <c r="I63" s="1065"/>
      <c r="J63" s="1064"/>
      <c r="K63" s="1872"/>
      <c r="L63" s="1064"/>
      <c r="M63" s="1064"/>
      <c r="N63" s="1064"/>
      <c r="O63" s="1064"/>
      <c r="P63" s="1064"/>
      <c r="Q63" s="1884"/>
      <c r="R63" s="1064"/>
      <c r="S63" s="1064"/>
      <c r="T63" s="1064"/>
      <c r="U63" s="1064"/>
      <c r="V63" s="1064"/>
      <c r="W63" s="1872"/>
      <c r="X63" s="1064"/>
      <c r="Y63" s="1064"/>
      <c r="Z63" s="1064"/>
      <c r="AA63" s="1063"/>
      <c r="AB63" s="1063"/>
      <c r="AC63" s="1064"/>
      <c r="AD63" s="1064"/>
      <c r="AE63" s="1064"/>
      <c r="AF63" s="1064"/>
      <c r="AG63" s="1064"/>
      <c r="AH63" s="1064"/>
      <c r="AI63" s="1064"/>
      <c r="AJ63" s="1064"/>
      <c r="AK63" s="1066"/>
      <c r="AL63" s="1066"/>
      <c r="AM63" s="1066"/>
      <c r="AN63" s="1881"/>
      <c r="AO63" s="1066"/>
      <c r="AP63" s="1066"/>
      <c r="AQ63" s="1066"/>
    </row>
    <row r="64" spans="2:43" s="29" customFormat="1">
      <c r="B64" s="1067" t="s">
        <v>986</v>
      </c>
      <c r="D64" s="502"/>
      <c r="E64" s="502"/>
      <c r="F64" s="502"/>
      <c r="G64" s="502"/>
      <c r="H64" s="502"/>
      <c r="I64" s="502"/>
      <c r="J64" s="1068">
        <v>19774</v>
      </c>
      <c r="K64" s="1873">
        <v>26478</v>
      </c>
      <c r="L64" s="502"/>
      <c r="M64" s="502"/>
      <c r="N64" s="502"/>
      <c r="O64" s="502"/>
      <c r="P64" s="502"/>
      <c r="Q64" s="1885"/>
      <c r="W64" s="1877"/>
      <c r="AN64" s="1877"/>
    </row>
    <row r="65" spans="2:40" s="1069" customFormat="1">
      <c r="B65" s="1073" t="s">
        <v>1228</v>
      </c>
      <c r="D65" s="1070"/>
      <c r="E65" s="1070"/>
      <c r="F65" s="1070"/>
      <c r="G65" s="1070"/>
      <c r="H65" s="1070"/>
      <c r="I65" s="1070"/>
      <c r="J65" s="1071">
        <f>+J4/J64-1</f>
        <v>-0.78715846671032663</v>
      </c>
      <c r="K65" s="1874">
        <f>+K4/K64-1</f>
        <v>-0.73646716238348819</v>
      </c>
      <c r="L65" s="1071"/>
      <c r="M65" s="1072"/>
      <c r="N65" s="1072"/>
      <c r="O65" s="1072"/>
      <c r="P65" s="1072"/>
      <c r="Q65" s="1886"/>
      <c r="W65" s="1878"/>
      <c r="AN65" s="1878"/>
    </row>
    <row r="66" spans="2:40" s="29" customFormat="1">
      <c r="B66" s="1067" t="s">
        <v>985</v>
      </c>
      <c r="D66" s="502"/>
      <c r="E66" s="502"/>
      <c r="F66" s="502"/>
      <c r="G66" s="502"/>
      <c r="H66" s="502"/>
      <c r="I66" s="502"/>
      <c r="J66" s="1068">
        <v>5889</v>
      </c>
      <c r="K66" s="1873">
        <v>8228</v>
      </c>
      <c r="L66" s="502"/>
      <c r="M66" s="502"/>
      <c r="N66" s="502"/>
      <c r="O66" s="502"/>
      <c r="P66" s="502"/>
      <c r="Q66" s="1885"/>
      <c r="W66" s="1877"/>
      <c r="AN66" s="1877"/>
    </row>
    <row r="67" spans="2:40" s="1069" customFormat="1">
      <c r="B67" s="1073" t="s">
        <v>1228</v>
      </c>
      <c r="D67" s="1070"/>
      <c r="E67" s="1070"/>
      <c r="F67" s="1070"/>
      <c r="G67" s="1070"/>
      <c r="H67" s="1070"/>
      <c r="I67" s="1070"/>
      <c r="J67" s="1071">
        <f>+J21/J66-1</f>
        <v>-0.88057544378502295</v>
      </c>
      <c r="K67" s="1874">
        <f>+K21/K66-1</f>
        <v>-0.8210371533714147</v>
      </c>
      <c r="L67" s="1071"/>
      <c r="M67" s="1072"/>
      <c r="N67" s="1072"/>
      <c r="O67" s="1072"/>
      <c r="P67" s="1072"/>
      <c r="Q67" s="1886"/>
      <c r="W67" s="1878"/>
      <c r="AN67" s="1878"/>
    </row>
    <row r="68" spans="2:40" s="29" customFormat="1">
      <c r="B68" s="1067" t="s">
        <v>987</v>
      </c>
      <c r="D68" s="502"/>
      <c r="E68" s="502"/>
      <c r="F68" s="502"/>
      <c r="G68" s="502"/>
      <c r="H68" s="502"/>
      <c r="I68" s="502"/>
      <c r="J68" s="1068">
        <v>5248</v>
      </c>
      <c r="K68" s="1873">
        <v>7406</v>
      </c>
      <c r="L68" s="502"/>
      <c r="M68" s="502"/>
      <c r="N68" s="502"/>
      <c r="O68" s="502"/>
      <c r="P68" s="502"/>
      <c r="Q68" s="1885"/>
      <c r="W68" s="1877"/>
      <c r="AN68" s="1877"/>
    </row>
    <row r="69" spans="2:40" s="1069" customFormat="1">
      <c r="B69" s="1073" t="s">
        <v>1228</v>
      </c>
      <c r="D69" s="1070"/>
      <c r="E69" s="1070"/>
      <c r="F69" s="1070"/>
      <c r="G69" s="1070"/>
      <c r="H69" s="1070"/>
      <c r="I69" s="1070"/>
      <c r="J69" s="1071">
        <f>+J35/J68-1</f>
        <v>-0.89127783730564025</v>
      </c>
      <c r="K69" s="1874">
        <f>+K35/K68-1</f>
        <v>-0.83891973972589795</v>
      </c>
      <c r="L69" s="1071"/>
      <c r="M69" s="1072"/>
      <c r="N69" s="1072"/>
      <c r="O69" s="1072"/>
      <c r="P69" s="1072"/>
      <c r="Q69" s="1886"/>
      <c r="W69" s="1878"/>
      <c r="AN69" s="1878"/>
    </row>
  </sheetData>
  <mergeCells count="8">
    <mergeCell ref="J2:M2"/>
    <mergeCell ref="X2:Z2"/>
    <mergeCell ref="O2:Q2"/>
    <mergeCell ref="AO2:AQ2"/>
    <mergeCell ref="AB2:AD2"/>
    <mergeCell ref="AF2:AH2"/>
    <mergeCell ref="AJ2:AM2"/>
    <mergeCell ref="S2:V2"/>
  </mergeCells>
  <printOptions horizontalCentered="1" verticalCentered="1"/>
  <pageMargins left="0.7" right="0.7" top="0.75" bottom="0.75" header="0.3" footer="0.3"/>
  <pageSetup paperSize="177" scale="19" orientation="portrait" r:id="rId1"/>
  <customProperties>
    <customPr name="Qube.Worksheet.Visibility" r:id="rId2"/>
  </customProperties>
  <ignoredErrors>
    <ignoredError sqref="AJ59:AK59 AJ52:AK52 AJ55:AK58 O53:W54 O55:W55 AL55:AQ58 O52:W52 AL52:AQ52 O32:W32 AA32:AQ32 AA53:AQ54 AA55:AI58 AA52:AI52 O57:W58 R56:W56" unlockedFormula="1"/>
  </ignoredErrors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>
    <pageSetUpPr autoPageBreaks="0" fitToPage="1"/>
  </sheetPr>
  <dimension ref="B1:CC816"/>
  <sheetViews>
    <sheetView showGridLines="0" topLeftCell="A8" zoomScaleNormal="100" zoomScaleSheetLayoutView="100" workbookViewId="0">
      <pane xSplit="5" ySplit="1" topLeftCell="F9" activePane="bottomRight" state="frozen"/>
      <selection activeCell="A8" sqref="A8"/>
      <selection pane="topRight" activeCell="F8" sqref="F8"/>
      <selection pane="bottomLeft" activeCell="A9" sqref="A9"/>
      <selection pane="bottomRight" activeCell="H152" sqref="H152"/>
    </sheetView>
  </sheetViews>
  <sheetFormatPr defaultColWidth="9" defaultRowHeight="11.25" outlineLevelRow="1" outlineLevelCol="1"/>
  <cols>
    <col min="1" max="1" width="1.25" style="36" customWidth="1"/>
    <col min="2" max="2" width="20" style="39" customWidth="1" outlineLevel="1"/>
    <col min="3" max="3" width="1.5" style="39" customWidth="1"/>
    <col min="4" max="4" width="21.5" style="39" hidden="1" customWidth="1" outlineLevel="1"/>
    <col min="5" max="5" width="5" style="34" hidden="1" customWidth="1" collapsed="1"/>
    <col min="6" max="7" width="6.5" style="34" customWidth="1"/>
    <col min="8" max="10" width="7.25" style="34" customWidth="1"/>
    <col min="11" max="11" width="6.5" style="34" customWidth="1"/>
    <col min="12" max="13" width="7.25" style="34" customWidth="1"/>
    <col min="14" max="14" width="7.25" style="1489" customWidth="1"/>
    <col min="15" max="16" width="7.25" style="34" customWidth="1"/>
    <col min="17" max="18" width="7.25" style="34" customWidth="1" outlineLevel="1"/>
    <col min="19" max="19" width="7.25" style="34" customWidth="1"/>
    <col min="20" max="20" width="0.75" style="943" customWidth="1"/>
    <col min="21" max="21" width="20.25" style="39" customWidth="1"/>
    <col min="22" max="25" width="6.5" style="34" hidden="1" customWidth="1" outlineLevel="1"/>
    <col min="26" max="26" width="6.5" style="34" customWidth="1" collapsed="1"/>
    <col min="27" max="36" width="6.5" style="34" customWidth="1"/>
    <col min="37" max="50" width="6.5" style="34" hidden="1" customWidth="1" outlineLevel="1"/>
    <col min="51" max="51" width="0.75" style="943" hidden="1" customWidth="1" outlineLevel="1"/>
    <col min="52" max="52" width="16" style="36" customWidth="1" collapsed="1"/>
    <col min="53" max="53" width="3.5" style="36" customWidth="1"/>
    <col min="54" max="61" width="6.5" style="36" hidden="1" customWidth="1" outlineLevel="1"/>
    <col min="62" max="62" width="6.5" style="36" customWidth="1" collapsed="1"/>
    <col min="63" max="81" width="6.5" style="36" customWidth="1"/>
    <col min="82" max="16384" width="9" style="36"/>
  </cols>
  <sheetData>
    <row r="1" spans="2:81" hidden="1" outlineLevel="1"/>
    <row r="2" spans="2:81" ht="14.25" hidden="1" outlineLevel="1">
      <c r="B2" s="885" t="s">
        <v>876</v>
      </c>
      <c r="C2" s="885"/>
      <c r="D2" s="885" t="s">
        <v>65</v>
      </c>
      <c r="U2" s="65" t="s">
        <v>877</v>
      </c>
      <c r="AZ2" s="65" t="s">
        <v>878</v>
      </c>
      <c r="BA2" s="65"/>
    </row>
    <row r="3" spans="2:81" hidden="1" outlineLevel="1">
      <c r="B3" s="64"/>
      <c r="C3" s="64"/>
      <c r="D3" s="64"/>
      <c r="E3" s="33"/>
      <c r="U3" s="64"/>
    </row>
    <row r="4" spans="2:81" ht="14.25" hidden="1" outlineLevel="1">
      <c r="B4" s="362" t="s">
        <v>901</v>
      </c>
      <c r="C4" s="362"/>
      <c r="D4" s="362" t="s">
        <v>15</v>
      </c>
      <c r="E4" s="362"/>
      <c r="F4" s="362">
        <f t="shared" ref="F4:O4" si="0">F65</f>
        <v>296.16580000000005</v>
      </c>
      <c r="G4" s="362">
        <f t="shared" si="0"/>
        <v>215.83094046000005</v>
      </c>
      <c r="H4" s="362">
        <f t="shared" si="0"/>
        <v>570.57390981999993</v>
      </c>
      <c r="I4" s="362">
        <f t="shared" si="0"/>
        <v>812.06351582000036</v>
      </c>
      <c r="J4" s="362">
        <f t="shared" si="0"/>
        <v>1192.9604075899997</v>
      </c>
      <c r="K4" s="362">
        <f t="shared" si="0"/>
        <v>1440.5205713599994</v>
      </c>
      <c r="L4" s="362">
        <f t="shared" si="0"/>
        <v>2039.772803920001</v>
      </c>
      <c r="M4" s="362">
        <f t="shared" si="0"/>
        <v>3326.7088524400024</v>
      </c>
      <c r="N4" s="1490">
        <f t="shared" si="0"/>
        <v>4562.8477603054725</v>
      </c>
      <c r="O4" s="362">
        <f t="shared" si="0"/>
        <v>5655.7994821665097</v>
      </c>
      <c r="P4" s="362">
        <f>P65</f>
        <v>6753.9990028135153</v>
      </c>
      <c r="Q4" s="867"/>
      <c r="R4" s="867"/>
      <c r="S4" s="867"/>
      <c r="U4" s="64"/>
      <c r="BB4"/>
      <c r="BC4"/>
      <c r="BD4"/>
      <c r="BE4"/>
      <c r="BF4" s="621"/>
      <c r="BG4" s="621"/>
      <c r="BH4" s="621"/>
      <c r="BI4" s="621"/>
      <c r="BJ4" s="621"/>
      <c r="BK4" s="621"/>
      <c r="BL4" s="621"/>
      <c r="BM4" s="621"/>
      <c r="BN4" s="621"/>
      <c r="BO4" s="621"/>
      <c r="BP4" s="621"/>
      <c r="BQ4" s="621"/>
      <c r="BR4" s="621"/>
      <c r="BS4" s="621"/>
      <c r="BT4" s="621"/>
      <c r="BU4" s="621"/>
      <c r="BV4" s="621"/>
      <c r="BW4" s="621"/>
      <c r="BX4" s="621"/>
      <c r="BY4" s="621"/>
      <c r="BZ4" s="621"/>
      <c r="CA4" s="621"/>
      <c r="CB4" s="621"/>
      <c r="CC4" s="621"/>
    </row>
    <row r="5" spans="2:81" s="37" customFormat="1" ht="14.25" hidden="1" outlineLevel="1">
      <c r="B5" s="941" t="s">
        <v>45</v>
      </c>
      <c r="C5" s="941"/>
      <c r="D5" s="941" t="s">
        <v>45</v>
      </c>
      <c r="E5" s="941"/>
      <c r="F5" s="942">
        <f t="shared" ref="F5:O5" si="1">F68</f>
        <v>1.9637076588801066</v>
      </c>
      <c r="G5" s="942">
        <f t="shared" si="1"/>
        <v>0.47435371529670339</v>
      </c>
      <c r="H5" s="942">
        <f t="shared" si="1"/>
        <v>1.2191750209829058</v>
      </c>
      <c r="I5" s="942">
        <f t="shared" si="1"/>
        <v>1.7351784526068383</v>
      </c>
      <c r="J5" s="942">
        <f t="shared" si="1"/>
        <v>2.29409727754883</v>
      </c>
      <c r="K5" s="942">
        <f t="shared" si="1"/>
        <v>2.7701626139346502</v>
      </c>
      <c r="L5" s="942">
        <f t="shared" si="1"/>
        <v>3.9225419439898634</v>
      </c>
      <c r="M5" s="942">
        <f t="shared" si="1"/>
        <v>6.3973570899958307</v>
      </c>
      <c r="N5" s="1491">
        <f t="shared" si="1"/>
        <v>8.7744878691599482</v>
      </c>
      <c r="O5" s="942">
        <f t="shared" si="1"/>
        <v>10.87626555906585</v>
      </c>
      <c r="P5" s="942">
        <f>P68</f>
        <v>12.988134917422284</v>
      </c>
      <c r="Q5" s="1462"/>
      <c r="R5" s="1462"/>
      <c r="S5" s="1462"/>
      <c r="T5" s="944"/>
      <c r="U5" s="395"/>
      <c r="V5" s="396"/>
      <c r="W5" s="396"/>
      <c r="X5" s="396"/>
      <c r="Y5" s="396"/>
      <c r="Z5" s="396"/>
      <c r="AA5" s="396"/>
      <c r="AB5" s="396"/>
      <c r="AC5" s="396"/>
      <c r="AD5" s="396"/>
      <c r="AE5" s="396"/>
      <c r="AF5" s="396"/>
      <c r="AG5" s="396"/>
      <c r="AH5" s="396"/>
      <c r="AI5" s="396"/>
      <c r="AJ5" s="396"/>
      <c r="AK5" s="396"/>
      <c r="AL5" s="396"/>
      <c r="AM5" s="396"/>
      <c r="AN5" s="396"/>
      <c r="AO5" s="396"/>
      <c r="AP5" s="396"/>
      <c r="AQ5" s="396"/>
      <c r="AR5" s="396"/>
      <c r="AS5" s="396"/>
      <c r="AT5" s="396"/>
      <c r="AU5" s="396"/>
      <c r="AV5" s="396"/>
      <c r="AW5" s="396"/>
      <c r="AX5" s="396"/>
      <c r="AY5" s="944"/>
      <c r="BB5"/>
      <c r="BC5" s="482"/>
      <c r="BD5"/>
      <c r="BE5"/>
      <c r="BF5" s="621"/>
      <c r="BG5" s="621"/>
      <c r="BH5" s="621"/>
      <c r="BI5" s="621"/>
      <c r="BJ5" s="621"/>
      <c r="BK5" s="621"/>
      <c r="BL5" s="621"/>
      <c r="BM5" s="621"/>
      <c r="BN5" s="621"/>
      <c r="BO5" s="621"/>
      <c r="BP5" s="621"/>
      <c r="BQ5" s="621"/>
      <c r="BR5" s="621"/>
      <c r="BS5" s="621"/>
      <c r="BT5" s="621"/>
      <c r="BU5" s="621"/>
      <c r="BV5" s="621"/>
      <c r="BW5" s="621"/>
      <c r="BX5" s="621"/>
      <c r="BY5" s="621"/>
      <c r="BZ5" s="621"/>
      <c r="CA5" s="621"/>
      <c r="CB5" s="621"/>
      <c r="CC5" s="621"/>
    </row>
    <row r="6" spans="2:81" s="38" customFormat="1" hidden="1" outlineLevel="1">
      <c r="B6" s="397" t="s">
        <v>104</v>
      </c>
      <c r="C6" s="397"/>
      <c r="D6" s="397" t="s">
        <v>104</v>
      </c>
      <c r="E6" s="397"/>
      <c r="F6" s="347"/>
      <c r="G6" s="347">
        <f t="shared" ref="G6:O6" si="2">G5/F5-1</f>
        <v>-0.75843974883347698</v>
      </c>
      <c r="H6" s="347">
        <f t="shared" si="2"/>
        <v>1.5701812416928669</v>
      </c>
      <c r="I6" s="347">
        <f t="shared" si="2"/>
        <v>0.42323983246304353</v>
      </c>
      <c r="J6" s="347">
        <f t="shared" si="2"/>
        <v>0.32211028445074463</v>
      </c>
      <c r="K6" s="347">
        <f t="shared" si="2"/>
        <v>0.20751750200169417</v>
      </c>
      <c r="L6" s="347">
        <f t="shared" si="2"/>
        <v>0.41599699752586394</v>
      </c>
      <c r="M6" s="347">
        <f t="shared" si="2"/>
        <v>0.63092127027421352</v>
      </c>
      <c r="N6" s="1492">
        <f t="shared" si="2"/>
        <v>0.37158013000110124</v>
      </c>
      <c r="O6" s="347">
        <f t="shared" si="2"/>
        <v>0.23953280479116112</v>
      </c>
      <c r="P6" s="347">
        <f>P5/O5-1</f>
        <v>0.19417228706742073</v>
      </c>
      <c r="Q6" s="347"/>
      <c r="R6" s="347"/>
      <c r="S6" s="347"/>
      <c r="T6" s="945"/>
      <c r="U6" s="852"/>
      <c r="V6" s="853"/>
      <c r="W6" s="853"/>
      <c r="X6" s="853"/>
      <c r="Y6" s="853"/>
      <c r="Z6" s="853"/>
      <c r="AA6" s="853"/>
      <c r="AB6" s="853"/>
      <c r="AC6" s="853"/>
      <c r="AD6" s="853"/>
      <c r="AE6" s="853"/>
      <c r="AF6" s="853"/>
      <c r="AG6" s="853"/>
      <c r="AH6" s="853"/>
      <c r="AI6" s="853"/>
      <c r="AJ6" s="853"/>
      <c r="AK6" s="853"/>
      <c r="AL6" s="853"/>
      <c r="AM6" s="853"/>
      <c r="AN6" s="853"/>
      <c r="AO6" s="853"/>
      <c r="AP6" s="853"/>
      <c r="AQ6" s="853"/>
      <c r="AR6" s="853"/>
      <c r="AS6" s="853"/>
      <c r="AT6" s="853"/>
      <c r="AU6" s="853"/>
      <c r="AV6" s="853"/>
      <c r="AW6" s="853"/>
      <c r="AX6" s="853"/>
      <c r="AY6" s="945"/>
      <c r="AZ6" s="855"/>
      <c r="BA6" s="855"/>
      <c r="BB6" s="856"/>
      <c r="BC6" s="856"/>
      <c r="BD6" s="856"/>
      <c r="BE6" s="856"/>
      <c r="BF6" s="856"/>
      <c r="BG6" s="856"/>
      <c r="BH6" s="856"/>
      <c r="BI6" s="856"/>
      <c r="BJ6" s="856"/>
      <c r="BK6" s="856"/>
      <c r="BL6" s="856"/>
      <c r="BM6" s="856"/>
      <c r="BN6" s="856"/>
      <c r="BO6" s="856"/>
      <c r="BP6" s="856"/>
      <c r="BQ6" s="856"/>
      <c r="BR6" s="856"/>
      <c r="BS6" s="856"/>
      <c r="BT6" s="856"/>
      <c r="BU6" s="856"/>
      <c r="BV6" s="856"/>
      <c r="BW6" s="856"/>
      <c r="BX6" s="856"/>
      <c r="BY6" s="856"/>
      <c r="BZ6" s="856"/>
      <c r="CA6" s="856"/>
      <c r="CB6" s="856"/>
      <c r="CC6" s="856"/>
    </row>
    <row r="7" spans="2:81" hidden="1" outlineLevel="1">
      <c r="B7" s="64"/>
      <c r="C7" s="64"/>
      <c r="D7" s="64"/>
      <c r="E7" s="33"/>
      <c r="F7" s="391"/>
      <c r="G7" s="391"/>
      <c r="H7" s="596"/>
      <c r="M7" s="596"/>
      <c r="U7" s="64"/>
      <c r="BB7" s="346"/>
      <c r="BC7" s="346"/>
      <c r="BD7" s="346"/>
      <c r="BE7" s="346"/>
      <c r="BF7" s="346"/>
      <c r="BG7" s="346"/>
      <c r="BH7" s="346"/>
      <c r="BI7" s="346"/>
      <c r="BJ7" s="346"/>
      <c r="BK7" s="346"/>
      <c r="BL7" s="346"/>
      <c r="BM7" s="346"/>
      <c r="BN7" s="346"/>
      <c r="BO7" s="346"/>
      <c r="BP7" s="346"/>
      <c r="BQ7" s="346"/>
      <c r="BR7" s="346"/>
      <c r="BS7" s="346"/>
      <c r="BT7" s="346"/>
      <c r="BU7" s="346"/>
      <c r="BV7" s="346"/>
      <c r="BW7" s="346"/>
      <c r="BX7" s="346"/>
      <c r="BY7" s="346"/>
      <c r="BZ7" s="346"/>
      <c r="CA7" s="346"/>
      <c r="CB7" s="346"/>
      <c r="CC7" s="346"/>
    </row>
    <row r="8" spans="2:81" collapsed="1">
      <c r="B8" s="886" t="s">
        <v>1212</v>
      </c>
      <c r="C8" s="886"/>
      <c r="D8" s="886"/>
      <c r="E8" s="887"/>
      <c r="F8" s="888">
        <v>2017</v>
      </c>
      <c r="G8" s="888">
        <v>2018</v>
      </c>
      <c r="H8" s="888">
        <v>2019</v>
      </c>
      <c r="I8" s="889">
        <v>2020</v>
      </c>
      <c r="J8" s="889">
        <v>2021</v>
      </c>
      <c r="K8" s="889">
        <v>2022</v>
      </c>
      <c r="L8" s="889">
        <v>2023</v>
      </c>
      <c r="M8" s="889">
        <v>2024</v>
      </c>
      <c r="N8" s="1493" t="s">
        <v>1071</v>
      </c>
      <c r="O8" s="889" t="s">
        <v>1096</v>
      </c>
      <c r="P8" s="889" t="s">
        <v>1401</v>
      </c>
      <c r="Q8" s="889"/>
      <c r="R8" s="889"/>
      <c r="S8" s="889"/>
      <c r="U8" s="886"/>
      <c r="V8" s="889" t="s">
        <v>1067</v>
      </c>
      <c r="W8" s="889" t="s">
        <v>1074</v>
      </c>
      <c r="X8" s="889" t="s">
        <v>1094</v>
      </c>
      <c r="Y8" s="889" t="s">
        <v>1211</v>
      </c>
      <c r="Z8" s="889" t="s">
        <v>1210</v>
      </c>
      <c r="AA8" s="889" t="s">
        <v>1239</v>
      </c>
      <c r="AB8" s="889" t="s">
        <v>1240</v>
      </c>
      <c r="AC8" s="889" t="s">
        <v>1241</v>
      </c>
      <c r="AD8" s="889" t="s">
        <v>1476</v>
      </c>
      <c r="AE8" s="889" t="s">
        <v>1745</v>
      </c>
      <c r="AF8" s="889" t="s">
        <v>1648</v>
      </c>
      <c r="AG8" s="889" t="s">
        <v>1649</v>
      </c>
      <c r="AH8" s="889" t="s">
        <v>1782</v>
      </c>
      <c r="AI8" s="889" t="s">
        <v>1788</v>
      </c>
      <c r="AJ8" s="889"/>
      <c r="AK8" s="889"/>
      <c r="AL8" s="889"/>
      <c r="AM8" s="889"/>
      <c r="AN8" s="889"/>
      <c r="AO8" s="889"/>
      <c r="AP8" s="889"/>
      <c r="AQ8" s="889"/>
      <c r="AR8" s="889"/>
      <c r="AS8" s="889"/>
      <c r="AT8" s="889"/>
      <c r="AU8" s="889"/>
      <c r="AV8" s="889"/>
      <c r="AW8" s="889"/>
      <c r="AX8" s="889"/>
      <c r="AZ8" s="886"/>
      <c r="BA8" s="886"/>
      <c r="BB8" s="889" t="s">
        <v>1059</v>
      </c>
      <c r="BC8" s="889" t="s">
        <v>1060</v>
      </c>
      <c r="BD8" s="889" t="s">
        <v>1068</v>
      </c>
      <c r="BE8" s="889" t="s">
        <v>1073</v>
      </c>
      <c r="BF8" s="889" t="s">
        <v>1076</v>
      </c>
      <c r="BG8" s="889" t="s">
        <v>1093</v>
      </c>
      <c r="BH8" s="889" t="s">
        <v>1100</v>
      </c>
      <c r="BI8" s="889" t="s">
        <v>1231</v>
      </c>
      <c r="BJ8" s="889" t="s">
        <v>1209</v>
      </c>
      <c r="BK8" s="889" t="s">
        <v>1232</v>
      </c>
      <c r="BL8" s="889" t="s">
        <v>1229</v>
      </c>
      <c r="BM8" s="889" t="s">
        <v>1276</v>
      </c>
      <c r="BN8" s="889" t="s">
        <v>1273</v>
      </c>
      <c r="BO8" s="889" t="s">
        <v>1277</v>
      </c>
      <c r="BP8" s="889" t="s">
        <v>1278</v>
      </c>
      <c r="BQ8" s="889" t="s">
        <v>1279</v>
      </c>
      <c r="BR8" s="889" t="s">
        <v>1275</v>
      </c>
      <c r="BS8" s="889" t="s">
        <v>1475</v>
      </c>
      <c r="BT8" s="889" t="s">
        <v>1549</v>
      </c>
      <c r="BU8" s="889" t="s">
        <v>1644</v>
      </c>
      <c r="BV8" s="889" t="s">
        <v>1758</v>
      </c>
      <c r="BW8" s="889" t="s">
        <v>1761</v>
      </c>
      <c r="BX8" s="889" t="s">
        <v>1804</v>
      </c>
      <c r="BY8" s="889" t="s">
        <v>1647</v>
      </c>
      <c r="BZ8" s="889" t="s">
        <v>1787</v>
      </c>
      <c r="CA8" s="889" t="s">
        <v>1784</v>
      </c>
      <c r="CB8" s="889" t="s">
        <v>1785</v>
      </c>
      <c r="CC8" s="889" t="s">
        <v>1786</v>
      </c>
    </row>
    <row r="9" spans="2:81" s="37" customFormat="1">
      <c r="B9" s="890" t="s">
        <v>102</v>
      </c>
      <c r="C9" s="890"/>
      <c r="D9" s="890" t="s">
        <v>51</v>
      </c>
      <c r="E9" s="891"/>
      <c r="F9" s="1120">
        <f>Model!C13</f>
        <v>2843.8076000000001</v>
      </c>
      <c r="G9" s="1120">
        <f>Model!D13</f>
        <v>3037.53599962</v>
      </c>
      <c r="H9" s="1120">
        <f>Model!E13</f>
        <v>4208.7284792700002</v>
      </c>
      <c r="I9" s="1120">
        <f>Model!F13</f>
        <v>4958.50261873</v>
      </c>
      <c r="J9" s="1120">
        <f>Model!G13</f>
        <v>6977.8224744099998</v>
      </c>
      <c r="K9" s="1120">
        <f>Model!H13</f>
        <v>8505.3897304999991</v>
      </c>
      <c r="L9" s="1120">
        <f>Model!I13</f>
        <v>11262.79408329</v>
      </c>
      <c r="M9" s="1120">
        <f>Model!J13</f>
        <v>15838.851828270001</v>
      </c>
      <c r="N9" s="1494">
        <f>SUM(N11,N13,N15,N16)</f>
        <v>20991.91050367153</v>
      </c>
      <c r="O9" s="893">
        <f>SUM(O11,O13,O15,O16)</f>
        <v>25403.508464190782</v>
      </c>
      <c r="P9" s="893">
        <f>SUM(P11,P13,P15,P16)</f>
        <v>29791.986591844819</v>
      </c>
      <c r="Q9" s="1463"/>
      <c r="R9" s="1463"/>
      <c r="S9" s="1463"/>
      <c r="T9" s="944"/>
      <c r="U9" s="890" t="str">
        <f>D9</f>
        <v>营业收入</v>
      </c>
      <c r="V9" s="894">
        <f>+SUM(BB9:BC9)</f>
        <v>2469.4627</v>
      </c>
      <c r="W9" s="894">
        <f>+I9-V9</f>
        <v>2489.03991873</v>
      </c>
      <c r="X9" s="894">
        <f>+SUM(BF9:BG9)</f>
        <v>3682.2617543400002</v>
      </c>
      <c r="Y9" s="894">
        <f>+J9-X9</f>
        <v>3295.5607200699997</v>
      </c>
      <c r="Z9" s="894">
        <f>+SUM(BJ9:BK9)</f>
        <v>4291.2739970599996</v>
      </c>
      <c r="AA9" s="894">
        <f>K9-Z9</f>
        <v>4214.1157334399995</v>
      </c>
      <c r="AB9" s="1238">
        <f>'Raw Data'!Y8</f>
        <v>5460.1849288999992</v>
      </c>
      <c r="AC9" s="894">
        <f>L9-AB9</f>
        <v>5802.6091543900011</v>
      </c>
      <c r="AD9" s="1238">
        <f>'Raw Data'!AC8</f>
        <v>7873.2878521000002</v>
      </c>
      <c r="AE9" s="894">
        <f>M9-AD9</f>
        <v>7965.5639761700004</v>
      </c>
      <c r="AF9" s="894">
        <f>BV9+BW9</f>
        <v>10736.627858450001</v>
      </c>
      <c r="AG9" s="894">
        <f>BX9+BY9</f>
        <v>10255.282645221529</v>
      </c>
      <c r="AH9" s="894">
        <f>BZ9+CA9</f>
        <v>13147.166704355302</v>
      </c>
      <c r="AI9" s="894">
        <f>CB9+CC9</f>
        <v>12256.341759835479</v>
      </c>
      <c r="AJ9" s="894"/>
      <c r="AK9" s="894"/>
      <c r="AL9" s="894"/>
      <c r="AM9" s="894"/>
      <c r="AN9" s="894"/>
      <c r="AO9" s="894"/>
      <c r="AP9" s="894"/>
      <c r="AQ9" s="894"/>
      <c r="AR9" s="894"/>
      <c r="AS9" s="894"/>
      <c r="AT9" s="894"/>
      <c r="AU9" s="894"/>
      <c r="AV9" s="894"/>
      <c r="AW9" s="894"/>
      <c r="AX9" s="894"/>
      <c r="AY9" s="944"/>
      <c r="AZ9" s="890" t="str">
        <f>U9</f>
        <v>营业收入</v>
      </c>
      <c r="BA9" s="890"/>
      <c r="BB9" s="892">
        <f>+Quarterly!D43</f>
        <v>933.21618977999992</v>
      </c>
      <c r="BC9" s="895">
        <f>+Quarterly!E43</f>
        <v>1536.2465102200001</v>
      </c>
      <c r="BD9" s="895">
        <f>+Quarterly!F43</f>
        <v>1574.13422743</v>
      </c>
      <c r="BE9" s="895">
        <f>+I9-SUM(BB9:BD9)</f>
        <v>914.90569129999994</v>
      </c>
      <c r="BF9" s="892">
        <f>+Quarterly!H43</f>
        <v>1711.2617271900001</v>
      </c>
      <c r="BG9" s="892">
        <f>+Quarterly!I43</f>
        <v>1971.0000271500001</v>
      </c>
      <c r="BH9" s="892">
        <f>+Quarterly!J43</f>
        <v>1877.9507030799996</v>
      </c>
      <c r="BI9" s="895">
        <f>+J9-SUM(BF9:BH9)</f>
        <v>1417.6100169900001</v>
      </c>
      <c r="BJ9" s="892">
        <f>+Quarterly!L43</f>
        <v>2006.5428683299999</v>
      </c>
      <c r="BK9" s="892">
        <f>+Quarterly!M43</f>
        <v>2284.7311287299999</v>
      </c>
      <c r="BL9" s="892">
        <f>+Quarterly!N43</f>
        <v>2353.0738183200001</v>
      </c>
      <c r="BM9" s="892">
        <f>+Quarterly!O43</f>
        <v>1861.0419151199994</v>
      </c>
      <c r="BN9" s="892">
        <f>+Quarterly!P43</f>
        <v>2490.8660470100003</v>
      </c>
      <c r="BO9" s="892">
        <f>+Quarterly!Q43</f>
        <v>2969.3188818899989</v>
      </c>
      <c r="BP9" s="892">
        <f>+Quarterly!R43</f>
        <v>3180.7274410200016</v>
      </c>
      <c r="BQ9" s="892">
        <f>+Quarterly!S43</f>
        <v>2621.8817133699995</v>
      </c>
      <c r="BR9" s="892">
        <f>+Quarterly!T43</f>
        <v>3482.1677627899999</v>
      </c>
      <c r="BS9" s="892">
        <f>+Quarterly!U43</f>
        <v>4391.1200893100004</v>
      </c>
      <c r="BT9" s="892">
        <f>+Quarterly!V43</f>
        <v>4684.9936501600005</v>
      </c>
      <c r="BU9" s="892">
        <f>+Quarterly!W43</f>
        <v>3280.5703260099999</v>
      </c>
      <c r="BV9" s="892">
        <f>+Quarterly!X43</f>
        <v>4848.0717046300006</v>
      </c>
      <c r="BW9" s="892">
        <f>+Quarterly!Y43</f>
        <v>5888.5561538200009</v>
      </c>
      <c r="BX9" s="892">
        <f>+Quarterly!Z43</f>
        <v>6107.3400368999992</v>
      </c>
      <c r="BY9" s="892">
        <f>+Quarterly!AA43</f>
        <v>4147.9426083215294</v>
      </c>
      <c r="BZ9" s="892">
        <f>+Quarterly!AB43</f>
        <v>5963.1281966949009</v>
      </c>
      <c r="CA9" s="892">
        <f>+Quarterly!AC43</f>
        <v>7184.0385076604007</v>
      </c>
      <c r="CB9" s="892">
        <f>+Quarterly!AD43</f>
        <v>7512.0282453869986</v>
      </c>
      <c r="CC9" s="892">
        <f>+Quarterly!AE43</f>
        <v>4744.3135144484804</v>
      </c>
    </row>
    <row r="10" spans="2:81" s="38" customFormat="1">
      <c r="B10" s="1112" t="s">
        <v>902</v>
      </c>
      <c r="C10" s="1112"/>
      <c r="D10" s="1112" t="s">
        <v>880</v>
      </c>
      <c r="E10" s="1113"/>
      <c r="F10" s="1114"/>
      <c r="G10" s="1114">
        <f>G9-F9</f>
        <v>193.72839961999989</v>
      </c>
      <c r="H10" s="1114">
        <f>H9-G9</f>
        <v>1171.1924796500002</v>
      </c>
      <c r="I10" s="1114">
        <f>I9-H9</f>
        <v>749.77413945999979</v>
      </c>
      <c r="J10" s="1114">
        <f t="shared" ref="J10:O10" si="3">J9-I9</f>
        <v>2019.3198556799998</v>
      </c>
      <c r="K10" s="1114">
        <f>K9-J9</f>
        <v>1527.5672560899993</v>
      </c>
      <c r="L10" s="1114">
        <f>L9-K9</f>
        <v>2757.4043527900012</v>
      </c>
      <c r="M10" s="1114">
        <f>M9-L9</f>
        <v>4576.0577449800003</v>
      </c>
      <c r="N10" s="1495">
        <f t="shared" si="3"/>
        <v>5153.0586754015294</v>
      </c>
      <c r="O10" s="1114">
        <f t="shared" si="3"/>
        <v>4411.5979605192515</v>
      </c>
      <c r="P10" s="1114">
        <f>P9-O9</f>
        <v>4388.478127654038</v>
      </c>
      <c r="Q10" s="1464"/>
      <c r="R10" s="1464"/>
      <c r="S10" s="1464"/>
      <c r="T10" s="945"/>
      <c r="U10" s="1112" t="str">
        <f>D10</f>
        <v>较上一期绝对增量</v>
      </c>
      <c r="V10" s="1115"/>
      <c r="W10" s="1115"/>
      <c r="X10" s="1115">
        <f t="shared" ref="X10:AD10" si="4">X9-V9</f>
        <v>1212.7990543400001</v>
      </c>
      <c r="Y10" s="1115">
        <f t="shared" si="4"/>
        <v>806.52080133999971</v>
      </c>
      <c r="Z10" s="1115">
        <f t="shared" si="4"/>
        <v>609.01224271999945</v>
      </c>
      <c r="AA10" s="1115">
        <f t="shared" si="4"/>
        <v>918.55501336999987</v>
      </c>
      <c r="AB10" s="1115">
        <f t="shared" si="4"/>
        <v>1168.9109318399996</v>
      </c>
      <c r="AC10" s="1115">
        <f t="shared" si="4"/>
        <v>1588.4934209500016</v>
      </c>
      <c r="AD10" s="1115">
        <f t="shared" si="4"/>
        <v>2413.102923200001</v>
      </c>
      <c r="AE10" s="1115">
        <f>AE9-AD9</f>
        <v>92.276124070000151</v>
      </c>
      <c r="AF10" s="1115">
        <f>AF9-AE9</f>
        <v>2771.0638822800011</v>
      </c>
      <c r="AG10" s="1115">
        <f>AG9-AF9</f>
        <v>-481.34521322847286</v>
      </c>
      <c r="AH10" s="1115">
        <f>AH9-AG9</f>
        <v>2891.8840591337739</v>
      </c>
      <c r="AI10" s="1115">
        <f>AI9-AH9</f>
        <v>-890.82494451982348</v>
      </c>
      <c r="AJ10" s="397"/>
      <c r="AK10" s="397"/>
      <c r="AL10" s="397"/>
      <c r="AM10" s="397"/>
      <c r="AN10" s="397"/>
      <c r="AO10" s="397"/>
      <c r="AP10" s="397"/>
      <c r="AQ10" s="397"/>
      <c r="AR10" s="397"/>
      <c r="AS10" s="397"/>
      <c r="AT10" s="397"/>
      <c r="AU10" s="397"/>
      <c r="AV10" s="397"/>
      <c r="AW10" s="397"/>
      <c r="AX10" s="397"/>
      <c r="AY10" s="945"/>
      <c r="AZ10" s="1112" t="str">
        <f>D10</f>
        <v>较上一期绝对增量</v>
      </c>
      <c r="BA10" s="1112"/>
      <c r="BB10" s="1116"/>
      <c r="BC10" s="1116"/>
      <c r="BD10" s="1116"/>
      <c r="BE10" s="1116"/>
      <c r="BF10" s="1116">
        <f>BF9-BB9</f>
        <v>778.04553741000018</v>
      </c>
      <c r="BG10" s="1116">
        <f t="shared" ref="BG10:BL10" si="5">BG9-BC9</f>
        <v>434.75351692999993</v>
      </c>
      <c r="BH10" s="1116">
        <f t="shared" si="5"/>
        <v>303.81647564999957</v>
      </c>
      <c r="BI10" s="1116">
        <f t="shared" si="5"/>
        <v>502.70432569000013</v>
      </c>
      <c r="BJ10" s="1116">
        <f t="shared" si="5"/>
        <v>295.28114113999982</v>
      </c>
      <c r="BK10" s="1116">
        <f t="shared" si="5"/>
        <v>313.73110157999986</v>
      </c>
      <c r="BL10" s="1116">
        <f t="shared" si="5"/>
        <v>475.12311524000052</v>
      </c>
      <c r="BM10" s="1116">
        <f t="shared" ref="BM10:BR10" si="6">BM9-BI9</f>
        <v>443.43189812999935</v>
      </c>
      <c r="BN10" s="1116">
        <f t="shared" si="6"/>
        <v>484.32317868000041</v>
      </c>
      <c r="BO10" s="1116">
        <f t="shared" si="6"/>
        <v>684.58775315999901</v>
      </c>
      <c r="BP10" s="1116">
        <f t="shared" si="6"/>
        <v>827.65362270000151</v>
      </c>
      <c r="BQ10" s="1116">
        <f t="shared" si="6"/>
        <v>760.83979825000006</v>
      </c>
      <c r="BR10" s="1116">
        <f t="shared" si="6"/>
        <v>991.30171577999954</v>
      </c>
      <c r="BS10" s="1116">
        <f t="shared" ref="BS10:BX10" si="7">BS9-BO9</f>
        <v>1421.8012074200014</v>
      </c>
      <c r="BT10" s="1116">
        <f t="shared" si="7"/>
        <v>1504.2662091399989</v>
      </c>
      <c r="BU10" s="1116">
        <f t="shared" si="7"/>
        <v>658.68861264000043</v>
      </c>
      <c r="BV10" s="1116">
        <f t="shared" si="7"/>
        <v>1365.9039418400007</v>
      </c>
      <c r="BW10" s="1116">
        <f t="shared" si="7"/>
        <v>1497.4360645100005</v>
      </c>
      <c r="BX10" s="1116">
        <f t="shared" si="7"/>
        <v>1422.3463867399987</v>
      </c>
      <c r="BY10" s="1116">
        <f t="shared" ref="BY10" si="8">BY9-BU9</f>
        <v>867.37228231152949</v>
      </c>
      <c r="BZ10" s="1116">
        <f t="shared" ref="BZ10" si="9">BZ9-BV9</f>
        <v>1115.0564920649003</v>
      </c>
      <c r="CA10" s="1116">
        <f t="shared" ref="CA10" si="10">CA9-BW9</f>
        <v>1295.4823538403998</v>
      </c>
      <c r="CB10" s="1116">
        <f t="shared" ref="CB10" si="11">CB9-BX9</f>
        <v>1404.6882084869994</v>
      </c>
      <c r="CC10" s="1116">
        <f t="shared" ref="CC10" si="12">CC9-BY9</f>
        <v>596.37090612695101</v>
      </c>
    </row>
    <row r="11" spans="2:81" s="363" customFormat="1">
      <c r="B11" s="330" t="s">
        <v>1116</v>
      </c>
      <c r="C11" s="352"/>
      <c r="D11" s="816" t="s">
        <v>1108</v>
      </c>
      <c r="E11" s="365"/>
      <c r="F11" s="797"/>
      <c r="G11" s="362">
        <f>+G74</f>
        <v>2885.4971</v>
      </c>
      <c r="H11" s="362">
        <f t="shared" ref="H11:O11" si="13">+H74</f>
        <v>4003.0305000000003</v>
      </c>
      <c r="I11" s="362">
        <f t="shared" si="13"/>
        <v>4655.1538</v>
      </c>
      <c r="J11" s="362">
        <f>+J74</f>
        <v>6591.89787918</v>
      </c>
      <c r="K11" s="362">
        <f>+K74</f>
        <v>8172.3068279999998</v>
      </c>
      <c r="L11" s="362">
        <f>+L74</f>
        <v>10336.009</v>
      </c>
      <c r="M11" s="362">
        <f>+M74</f>
        <v>13303.58428814</v>
      </c>
      <c r="N11" s="1490">
        <f t="shared" si="13"/>
        <v>15936.363618762907</v>
      </c>
      <c r="O11" s="362">
        <f t="shared" si="13"/>
        <v>18645.5454339526</v>
      </c>
      <c r="P11" s="362">
        <f>+P74</f>
        <v>21255.921794705966</v>
      </c>
      <c r="Q11" s="867"/>
      <c r="R11" s="867"/>
      <c r="S11" s="867"/>
      <c r="T11" s="946"/>
      <c r="U11" s="360" t="str">
        <f>+D11</f>
        <v>东鹏特饮</v>
      </c>
      <c r="V11" s="797">
        <f t="shared" ref="V11:AC11" si="14">+V74</f>
        <v>2272.3272999999999</v>
      </c>
      <c r="W11" s="797">
        <f t="shared" si="14"/>
        <v>2382.8265000000001</v>
      </c>
      <c r="X11" s="797">
        <f t="shared" si="14"/>
        <v>3547.2255999999998</v>
      </c>
      <c r="Y11" s="797">
        <f t="shared" si="14"/>
        <v>3044.6722791800003</v>
      </c>
      <c r="Z11" s="797">
        <f t="shared" si="14"/>
        <v>4118.3335217599997</v>
      </c>
      <c r="AA11" s="797">
        <f t="shared" si="14"/>
        <v>4053.9733062400001</v>
      </c>
      <c r="AB11" s="797">
        <f t="shared" si="14"/>
        <v>5134.9885000000004</v>
      </c>
      <c r="AC11" s="797">
        <f t="shared" si="14"/>
        <v>5201.0204999999996</v>
      </c>
      <c r="AD11" s="797">
        <f>+AD74</f>
        <v>6855.9411999999993</v>
      </c>
      <c r="AE11" s="797">
        <f>+AE74</f>
        <v>6447.6430881400011</v>
      </c>
      <c r="AF11" s="797">
        <f>BV11+BW11</f>
        <v>8360.5109958699995</v>
      </c>
      <c r="AG11" s="797">
        <f>BX11+BY11</f>
        <v>7575.8526228929077</v>
      </c>
      <c r="AH11" s="797">
        <f>BZ11+CA11</f>
        <v>10071.618484044</v>
      </c>
      <c r="AI11" s="797">
        <f>CB11+CC11</f>
        <v>8573.9269499086004</v>
      </c>
      <c r="AJ11" s="1200"/>
      <c r="AK11" s="1200"/>
      <c r="AL11" s="1200"/>
      <c r="AM11" s="1200"/>
      <c r="AN11" s="1200"/>
      <c r="AO11" s="1200"/>
      <c r="AP11" s="1200"/>
      <c r="AQ11" s="1200"/>
      <c r="AR11" s="1200"/>
      <c r="AS11" s="1200"/>
      <c r="AT11" s="1200"/>
      <c r="AU11" s="1200"/>
      <c r="AV11" s="1200"/>
      <c r="AW11" s="1200"/>
      <c r="AX11" s="1200"/>
      <c r="AY11" s="946"/>
      <c r="AZ11" s="332" t="str">
        <f>+U11</f>
        <v>东鹏特饮</v>
      </c>
      <c r="BA11" s="364"/>
      <c r="BB11" s="649"/>
      <c r="BC11" s="649"/>
      <c r="BD11" s="388">
        <f t="shared" ref="BD11:BR11" si="15">+BD74</f>
        <v>1493.9187999999999</v>
      </c>
      <c r="BE11" s="388">
        <f t="shared" si="15"/>
        <v>888.9077000000002</v>
      </c>
      <c r="BF11" s="388">
        <f t="shared" si="15"/>
        <v>1645.0963999999999</v>
      </c>
      <c r="BG11" s="388">
        <f t="shared" si="15"/>
        <v>1902.1291999999999</v>
      </c>
      <c r="BH11" s="388">
        <f t="shared" si="15"/>
        <v>1791.1180000000004</v>
      </c>
      <c r="BI11" s="388">
        <f t="shared" si="15"/>
        <v>1253.5542791799999</v>
      </c>
      <c r="BJ11" s="388">
        <f t="shared" si="15"/>
        <v>1906.5174999999999</v>
      </c>
      <c r="BK11" s="388">
        <f t="shared" si="15"/>
        <v>2211.8160217599998</v>
      </c>
      <c r="BL11" s="388">
        <f t="shared" si="15"/>
        <v>2273.5560782400007</v>
      </c>
      <c r="BM11" s="388">
        <f t="shared" si="15"/>
        <v>1780.4172279999993</v>
      </c>
      <c r="BN11" s="388">
        <f t="shared" si="15"/>
        <v>2383.1745999999998</v>
      </c>
      <c r="BO11" s="388">
        <f t="shared" si="15"/>
        <v>2751.8139000000006</v>
      </c>
      <c r="BP11" s="388">
        <f t="shared" si="15"/>
        <v>2858.9588999999996</v>
      </c>
      <c r="BQ11" s="388">
        <f t="shared" si="15"/>
        <v>2342.0616</v>
      </c>
      <c r="BR11" s="388">
        <f t="shared" si="15"/>
        <v>3100.6925999999999</v>
      </c>
      <c r="BS11" s="388">
        <f>Quarterly!U90</f>
        <v>3755.2485999999999</v>
      </c>
      <c r="BT11" s="388">
        <f>Quarterly!V90</f>
        <v>3667.4569999999994</v>
      </c>
      <c r="BU11" s="388">
        <f>Quarterly!W90</f>
        <v>2778.0708881400005</v>
      </c>
      <c r="BV11" s="388">
        <f>Quarterly!X90</f>
        <v>3900.5288999999998</v>
      </c>
      <c r="BW11" s="388">
        <f>Quarterly!Y90</f>
        <v>4459.9820958700002</v>
      </c>
      <c r="BX11" s="388">
        <f>Quarterly!Z90</f>
        <v>4202.6446041300005</v>
      </c>
      <c r="BY11" s="388">
        <f>Quarterly!AA90</f>
        <v>3373.2080187629072</v>
      </c>
      <c r="BZ11" s="388">
        <f>Quarterly!AB90</f>
        <v>4719.6399689999998</v>
      </c>
      <c r="CA11" s="388">
        <f>Quarterly!AC90</f>
        <v>5351.9785150440002</v>
      </c>
      <c r="CB11" s="388">
        <f>Quarterly!AD90</f>
        <v>5001.1470789147006</v>
      </c>
      <c r="CC11" s="388">
        <f>Quarterly!AE90</f>
        <v>3572.7798709938997</v>
      </c>
    </row>
    <row r="12" spans="2:81" s="363" customFormat="1" hidden="1" outlineLevel="1">
      <c r="B12" s="330" t="s">
        <v>1117</v>
      </c>
      <c r="C12" s="352"/>
      <c r="D12" s="332" t="s">
        <v>1272</v>
      </c>
      <c r="E12" s="365"/>
      <c r="F12" s="797"/>
      <c r="G12" s="362">
        <f>+G177</f>
        <v>135.6807</v>
      </c>
      <c r="H12" s="362">
        <f t="shared" ref="H12:O12" si="16">+H177</f>
        <v>188.77680000000001</v>
      </c>
      <c r="I12" s="362">
        <f t="shared" si="16"/>
        <v>280.5093</v>
      </c>
      <c r="J12" s="362">
        <f>+J177</f>
        <v>371.94956093000002</v>
      </c>
      <c r="K12" s="362">
        <f>+K177</f>
        <v>319.02572300000003</v>
      </c>
      <c r="L12" s="362">
        <f>+L177</f>
        <v>914.47520785999995</v>
      </c>
      <c r="M12" s="362">
        <f>+M177</f>
        <v>2518.1798534899999</v>
      </c>
      <c r="N12" s="1490">
        <f t="shared" si="16"/>
        <v>5031.826983243719</v>
      </c>
      <c r="O12" s="362">
        <f t="shared" si="16"/>
        <v>6725.0367631052313</v>
      </c>
      <c r="P12" s="362">
        <f>+P177</f>
        <v>8490.3589134203539</v>
      </c>
      <c r="Q12" s="867"/>
      <c r="R12" s="867"/>
      <c r="S12" s="867"/>
      <c r="T12" s="946"/>
      <c r="U12" s="360" t="str">
        <f>+D12</f>
        <v>其他饮料</v>
      </c>
      <c r="V12" s="797">
        <f t="shared" ref="V12:AC12" si="17">+V177</f>
        <v>186.88729999999998</v>
      </c>
      <c r="W12" s="797">
        <f t="shared" si="17"/>
        <v>134.20440000000002</v>
      </c>
      <c r="X12" s="797">
        <f t="shared" si="17"/>
        <v>125.26</v>
      </c>
      <c r="Y12" s="797">
        <f t="shared" si="17"/>
        <v>246.68956093000003</v>
      </c>
      <c r="Z12" s="797">
        <f t="shared" si="17"/>
        <v>165.92805397000001</v>
      </c>
      <c r="AA12" s="797">
        <f t="shared" si="17"/>
        <v>153.09766903000002</v>
      </c>
      <c r="AB12" s="797">
        <f t="shared" si="17"/>
        <v>319.98480000000001</v>
      </c>
      <c r="AC12" s="797">
        <f t="shared" si="17"/>
        <v>594.49040786</v>
      </c>
      <c r="AD12" s="797">
        <f>+AD177</f>
        <v>1005.6999999999999</v>
      </c>
      <c r="AE12" s="797">
        <f>+AE177</f>
        <v>1512.4798534900001</v>
      </c>
      <c r="AF12" s="797">
        <f>BV12+BW12</f>
        <v>2370.0422648699996</v>
      </c>
      <c r="AG12" s="797">
        <f>BX12+BY12</f>
        <v>2661.7847183737194</v>
      </c>
      <c r="AH12" s="797">
        <f>BZ12+CA12</f>
        <v>3075.5482203113015</v>
      </c>
      <c r="AI12" s="797">
        <f>CB12+CC12</f>
        <v>3649.4885427939298</v>
      </c>
      <c r="AJ12" s="1200"/>
      <c r="AK12" s="1200"/>
      <c r="AL12" s="1200"/>
      <c r="AM12" s="1200"/>
      <c r="AN12" s="1200"/>
      <c r="AO12" s="1200"/>
      <c r="AP12" s="1200"/>
      <c r="AQ12" s="1200"/>
      <c r="AR12" s="1200"/>
      <c r="AS12" s="1200"/>
      <c r="AT12" s="1200"/>
      <c r="AU12" s="1200"/>
      <c r="AV12" s="1200"/>
      <c r="AW12" s="1200"/>
      <c r="AX12" s="1200"/>
      <c r="AY12" s="946"/>
      <c r="AZ12" s="332" t="str">
        <f>+U12</f>
        <v>其他饮料</v>
      </c>
      <c r="BA12" s="364"/>
      <c r="BB12" s="649"/>
      <c r="BC12" s="649"/>
      <c r="BD12" s="388">
        <f t="shared" ref="BD12:BR12" si="18">+BD177</f>
        <v>73.643599999999992</v>
      </c>
      <c r="BE12" s="388">
        <f t="shared" si="18"/>
        <v>60.560800000000029</v>
      </c>
      <c r="BF12" s="388">
        <f t="shared" si="18"/>
        <v>61.590499999999999</v>
      </c>
      <c r="BG12" s="388">
        <f t="shared" si="18"/>
        <v>63.669500000000006</v>
      </c>
      <c r="BH12" s="388">
        <f t="shared" si="18"/>
        <v>85.614999999999995</v>
      </c>
      <c r="BI12" s="388">
        <f t="shared" si="18"/>
        <v>161.07456093000002</v>
      </c>
      <c r="BJ12" s="388">
        <f t="shared" si="18"/>
        <v>92.709699999999998</v>
      </c>
      <c r="BK12" s="388">
        <f t="shared" si="18"/>
        <v>73.21835397000001</v>
      </c>
      <c r="BL12" s="388">
        <f t="shared" si="18"/>
        <v>75.190346030000001</v>
      </c>
      <c r="BM12" s="388">
        <f t="shared" si="18"/>
        <v>77.907323000000019</v>
      </c>
      <c r="BN12" s="388">
        <f t="shared" si="18"/>
        <v>105.57080000000001</v>
      </c>
      <c r="BO12" s="388">
        <f t="shared" si="18"/>
        <v>214.41399999999999</v>
      </c>
      <c r="BP12" s="388">
        <f t="shared" si="18"/>
        <v>319.81109999999995</v>
      </c>
      <c r="BQ12" s="388">
        <f t="shared" si="18"/>
        <v>274.67930786000005</v>
      </c>
      <c r="BR12" s="388">
        <f t="shared" si="18"/>
        <v>376.89359999999999</v>
      </c>
      <c r="BS12" s="388">
        <f>Quarterly!U92</f>
        <v>628.80639999999994</v>
      </c>
      <c r="BT12" s="388">
        <f>Quarterly!V92</f>
        <v>1016.293</v>
      </c>
      <c r="BU12" s="388">
        <f>Quarterly!W92</f>
        <v>498.30205348999982</v>
      </c>
      <c r="BV12" s="388">
        <f>Quarterly!X92</f>
        <v>944.63840000000005</v>
      </c>
      <c r="BW12" s="388">
        <f>Quarterly!Y92</f>
        <v>1425.4038648699996</v>
      </c>
      <c r="BX12" s="388">
        <f>Quarterly!Z92</f>
        <v>1901.0519351300006</v>
      </c>
      <c r="BY12" s="388">
        <f>Quarterly!AA92</f>
        <v>760.73278324371881</v>
      </c>
      <c r="BZ12" s="388">
        <f>Quarterly!AB92</f>
        <v>1243.4882276949011</v>
      </c>
      <c r="CA12" s="388">
        <f>Quarterly!AC92</f>
        <v>1832.0599926164005</v>
      </c>
      <c r="CB12" s="388">
        <f>Quarterly!AD92</f>
        <v>2510.881166472298</v>
      </c>
      <c r="CC12" s="388">
        <f>Quarterly!AE92</f>
        <v>1138.6073763216318</v>
      </c>
    </row>
    <row r="13" spans="2:81" s="363" customFormat="1" collapsed="1">
      <c r="B13" s="1987" t="s">
        <v>1743</v>
      </c>
      <c r="C13" s="352"/>
      <c r="D13" s="1988" t="s">
        <v>1742</v>
      </c>
      <c r="E13" s="365"/>
      <c r="F13" s="797"/>
      <c r="G13" s="362"/>
      <c r="H13" s="362"/>
      <c r="I13" s="362"/>
      <c r="J13" s="362"/>
      <c r="K13" s="362"/>
      <c r="L13" s="362"/>
      <c r="M13" s="362">
        <f>M188</f>
        <v>1495.01406929</v>
      </c>
      <c r="N13" s="1490">
        <f>N188</f>
        <v>3303.9810931308998</v>
      </c>
      <c r="O13" s="362">
        <f>O188</f>
        <v>4493.4142866580232</v>
      </c>
      <c r="P13" s="362">
        <f>P188</f>
        <v>5684.1690726223997</v>
      </c>
      <c r="Q13" s="867"/>
      <c r="R13" s="867"/>
      <c r="S13" s="867"/>
      <c r="T13" s="946"/>
      <c r="U13" s="360" t="str">
        <f>+D13</f>
        <v>电解质饮料</v>
      </c>
      <c r="V13" s="797"/>
      <c r="W13" s="797"/>
      <c r="X13" s="797"/>
      <c r="Y13" s="797"/>
      <c r="Z13" s="797"/>
      <c r="AA13" s="797"/>
      <c r="AB13" s="797"/>
      <c r="AC13" s="797"/>
      <c r="AD13" s="797"/>
      <c r="AE13" s="797"/>
      <c r="AF13" s="797"/>
      <c r="AG13" s="797"/>
      <c r="AH13" s="797"/>
      <c r="AI13" s="797"/>
      <c r="AJ13" s="1200"/>
      <c r="AK13" s="1200"/>
      <c r="AL13" s="1200"/>
      <c r="AM13" s="1200"/>
      <c r="AN13" s="1200"/>
      <c r="AO13" s="1200"/>
      <c r="AP13" s="1200"/>
      <c r="AQ13" s="1200"/>
      <c r="AR13" s="1200"/>
      <c r="AS13" s="1200"/>
      <c r="AT13" s="1200"/>
      <c r="AU13" s="1200"/>
      <c r="AV13" s="1200"/>
      <c r="AW13" s="1200"/>
      <c r="AX13" s="1200"/>
      <c r="AY13" s="946"/>
      <c r="AZ13" s="1988" t="s">
        <v>1742</v>
      </c>
      <c r="BA13" s="364"/>
      <c r="BB13" s="649"/>
      <c r="BC13" s="649"/>
      <c r="BD13" s="388"/>
      <c r="BE13" s="388"/>
      <c r="BF13" s="388"/>
      <c r="BG13" s="388"/>
      <c r="BH13" s="388"/>
      <c r="BI13" s="388"/>
      <c r="BJ13" s="388"/>
      <c r="BK13" s="388"/>
      <c r="BL13" s="388"/>
      <c r="BM13" s="388"/>
      <c r="BN13" s="388"/>
      <c r="BO13" s="388"/>
      <c r="BP13" s="388"/>
      <c r="BQ13" s="388"/>
      <c r="BR13" s="388">
        <f>Quarterly!T177</f>
        <v>157.65</v>
      </c>
      <c r="BS13" s="388">
        <f>Quarterly!U177</f>
        <v>318.18780000000004</v>
      </c>
      <c r="BT13" s="388">
        <f>Quarterly!V177</f>
        <v>736.66669999999999</v>
      </c>
      <c r="BU13" s="388">
        <f>Quarterly!W177</f>
        <v>282.50956928999994</v>
      </c>
      <c r="BV13" s="388">
        <f>Quarterly!X177</f>
        <v>569.8415</v>
      </c>
      <c r="BW13" s="388">
        <f>Quarterly!Y177</f>
        <v>922.89694311999983</v>
      </c>
      <c r="BX13" s="388">
        <f>Quarterly!Z177</f>
        <v>1354.0318568800003</v>
      </c>
      <c r="BY13" s="388">
        <f>Quarterly!AA177</f>
        <v>457.21079313089967</v>
      </c>
      <c r="BZ13" s="388">
        <f>Quarterly!AB177</f>
        <v>769.286025</v>
      </c>
      <c r="CA13" s="388">
        <f>Quarterly!AC177</f>
        <v>1236.6819037807998</v>
      </c>
      <c r="CB13" s="388">
        <f>Quarterly!AD177</f>
        <v>1787.3220510816004</v>
      </c>
      <c r="CC13" s="388">
        <f>Quarterly!AE177</f>
        <v>700.12430679562306</v>
      </c>
    </row>
    <row r="14" spans="2:81" s="363" customFormat="1" hidden="1" outlineLevel="1">
      <c r="B14" s="1987" t="s">
        <v>938</v>
      </c>
      <c r="C14" s="352"/>
      <c r="D14" s="1988" t="s">
        <v>1115</v>
      </c>
      <c r="E14" s="365"/>
      <c r="F14" s="797"/>
      <c r="G14" s="362">
        <f t="shared" ref="G14:O14" si="19">+G243</f>
        <v>36.6265</v>
      </c>
      <c r="H14" s="362">
        <f t="shared" si="19"/>
        <v>40.885199999999998</v>
      </c>
      <c r="I14" s="362">
        <f t="shared" si="19"/>
        <v>40.5824</v>
      </c>
      <c r="J14" s="362">
        <f t="shared" si="19"/>
        <v>0</v>
      </c>
      <c r="K14" s="362">
        <f t="shared" si="19"/>
        <v>0</v>
      </c>
      <c r="L14" s="362">
        <f t="shared" si="19"/>
        <v>0</v>
      </c>
      <c r="M14" s="362">
        <f>+M243</f>
        <v>0</v>
      </c>
      <c r="N14" s="1490">
        <f t="shared" si="19"/>
        <v>0</v>
      </c>
      <c r="O14" s="362">
        <f t="shared" si="19"/>
        <v>0</v>
      </c>
      <c r="P14" s="362">
        <f>+P243</f>
        <v>0</v>
      </c>
      <c r="Q14" s="867"/>
      <c r="R14" s="867"/>
      <c r="S14" s="867"/>
      <c r="T14" s="946"/>
      <c r="U14" s="360" t="str">
        <f>+D14</f>
        <v>包装饮用水</v>
      </c>
      <c r="V14" s="797">
        <f t="shared" ref="V14:AC14" si="20">+V243</f>
        <v>0</v>
      </c>
      <c r="W14" s="797">
        <f t="shared" si="20"/>
        <v>0</v>
      </c>
      <c r="X14" s="797">
        <f t="shared" si="20"/>
        <v>0</v>
      </c>
      <c r="Y14" s="797">
        <f t="shared" si="20"/>
        <v>0</v>
      </c>
      <c r="Z14" s="797">
        <f t="shared" si="20"/>
        <v>0</v>
      </c>
      <c r="AA14" s="797">
        <f t="shared" si="20"/>
        <v>0</v>
      </c>
      <c r="AB14" s="797">
        <f t="shared" si="20"/>
        <v>0</v>
      </c>
      <c r="AC14" s="797">
        <f t="shared" si="20"/>
        <v>0</v>
      </c>
      <c r="AD14" s="797">
        <f>+AD243</f>
        <v>0</v>
      </c>
      <c r="AE14" s="797">
        <f>+AE243</f>
        <v>0</v>
      </c>
      <c r="AF14" s="797">
        <f>BV14+BW14</f>
        <v>0</v>
      </c>
      <c r="AG14" s="797">
        <f>BX14+BY14</f>
        <v>0</v>
      </c>
      <c r="AH14" s="797">
        <f>BZ14+CA14</f>
        <v>0</v>
      </c>
      <c r="AI14" s="797">
        <f>CB14+CC14</f>
        <v>0</v>
      </c>
      <c r="AJ14" s="1200"/>
      <c r="AK14" s="1200"/>
      <c r="AL14" s="1200"/>
      <c r="AM14" s="1200"/>
      <c r="AN14" s="1200"/>
      <c r="AO14" s="1200"/>
      <c r="AP14" s="1200"/>
      <c r="AQ14" s="1200"/>
      <c r="AR14" s="1200"/>
      <c r="AS14" s="1200"/>
      <c r="AT14" s="1200"/>
      <c r="AU14" s="1200"/>
      <c r="AV14" s="1200"/>
      <c r="AW14" s="1200"/>
      <c r="AX14" s="1200"/>
      <c r="AY14" s="946"/>
      <c r="AZ14" s="1988" t="s">
        <v>1115</v>
      </c>
      <c r="BA14" s="364"/>
      <c r="BB14" s="649"/>
      <c r="BC14" s="649"/>
      <c r="BD14" s="649"/>
      <c r="BE14" s="388">
        <f>+W14</f>
        <v>0</v>
      </c>
      <c r="BF14" s="649"/>
      <c r="BG14" s="649"/>
      <c r="BH14" s="649"/>
      <c r="BI14" s="649"/>
      <c r="BJ14" s="649"/>
      <c r="BK14" s="649"/>
      <c r="BL14" s="649"/>
      <c r="BM14" s="649"/>
      <c r="BN14" s="649"/>
      <c r="BO14" s="649"/>
      <c r="BP14" s="649"/>
      <c r="BQ14" s="649"/>
      <c r="BR14" s="649"/>
      <c r="BS14" s="649"/>
      <c r="BT14" s="649"/>
      <c r="BU14" s="649"/>
      <c r="BV14" s="649"/>
      <c r="BW14" s="649"/>
      <c r="BX14" s="649"/>
      <c r="BY14" s="649"/>
      <c r="BZ14" s="649"/>
      <c r="CA14" s="649"/>
      <c r="CB14" s="649"/>
      <c r="CC14" s="649"/>
    </row>
    <row r="15" spans="2:81" s="363" customFormat="1" hidden="1" outlineLevel="1">
      <c r="B15" s="1987" t="s">
        <v>1337</v>
      </c>
      <c r="C15" s="352"/>
      <c r="D15" s="1988" t="s">
        <v>861</v>
      </c>
      <c r="E15" s="365"/>
      <c r="F15" s="797"/>
      <c r="G15" s="362"/>
      <c r="H15" s="362"/>
      <c r="I15" s="362"/>
      <c r="J15" s="362"/>
      <c r="K15" s="362"/>
      <c r="L15" s="362"/>
      <c r="M15" s="362">
        <f>M190</f>
        <v>1023.1657842</v>
      </c>
      <c r="N15" s="1490">
        <f>N190</f>
        <v>1727.8458901128192</v>
      </c>
      <c r="O15" s="362">
        <f>O190</f>
        <v>2231.6224764472081</v>
      </c>
      <c r="P15" s="362">
        <f>P190</f>
        <v>2806.1898407979543</v>
      </c>
      <c r="Q15" s="867"/>
      <c r="R15" s="867"/>
      <c r="S15" s="867"/>
      <c r="T15" s="946"/>
      <c r="U15" s="360" t="str">
        <f>+D15</f>
        <v>其他</v>
      </c>
      <c r="V15" s="797"/>
      <c r="W15" s="797"/>
      <c r="X15" s="797"/>
      <c r="Y15" s="797"/>
      <c r="Z15" s="797"/>
      <c r="AA15" s="797"/>
      <c r="AB15" s="797"/>
      <c r="AC15" s="797"/>
      <c r="AD15" s="797"/>
      <c r="AE15" s="797"/>
      <c r="AF15" s="797"/>
      <c r="AG15" s="797"/>
      <c r="AH15" s="797"/>
      <c r="AI15" s="797"/>
      <c r="AJ15" s="1200"/>
      <c r="AK15" s="1200"/>
      <c r="AL15" s="1200"/>
      <c r="AM15" s="1200"/>
      <c r="AN15" s="1200"/>
      <c r="AO15" s="1200"/>
      <c r="AP15" s="1200"/>
      <c r="AQ15" s="1200"/>
      <c r="AR15" s="1200"/>
      <c r="AS15" s="1200"/>
      <c r="AT15" s="1200"/>
      <c r="AU15" s="1200"/>
      <c r="AV15" s="1200"/>
      <c r="AW15" s="1200"/>
      <c r="AX15" s="1200"/>
      <c r="AY15" s="946"/>
      <c r="AZ15" s="1988" t="s">
        <v>861</v>
      </c>
      <c r="BA15" s="364"/>
      <c r="BB15" s="649"/>
      <c r="BC15" s="649"/>
      <c r="BD15" s="649"/>
      <c r="BE15" s="388"/>
      <c r="BF15" s="649"/>
      <c r="BG15" s="649"/>
      <c r="BH15" s="649"/>
      <c r="BI15" s="649"/>
      <c r="BJ15" s="649"/>
      <c r="BK15" s="649"/>
      <c r="BL15" s="649"/>
      <c r="BM15" s="649"/>
      <c r="BN15" s="649"/>
      <c r="BO15" s="649"/>
      <c r="BP15" s="649"/>
      <c r="BQ15" s="649"/>
      <c r="BR15" s="388">
        <f>Quarterly!T179</f>
        <v>217.1284</v>
      </c>
      <c r="BS15" s="388">
        <f>Quarterly!U179</f>
        <v>310.61859999999996</v>
      </c>
      <c r="BT15" s="388">
        <f>Quarterly!V179</f>
        <v>279.62630000000001</v>
      </c>
      <c r="BU15" s="388">
        <f>Quarterly!W179</f>
        <v>215.79248419999999</v>
      </c>
      <c r="BV15" s="388">
        <f>Quarterly!X179</f>
        <v>374.79690000000005</v>
      </c>
      <c r="BW15" s="388">
        <f>Quarterly!Y179</f>
        <v>502.50692174999995</v>
      </c>
      <c r="BX15" s="388">
        <f>Quarterly!Z179</f>
        <v>547.0200782500001</v>
      </c>
      <c r="BY15" s="388">
        <f>Quarterly!AA179</f>
        <v>303.52199011281914</v>
      </c>
      <c r="BZ15" s="388">
        <f>Quarterly!AB179</f>
        <v>474.20220269490108</v>
      </c>
      <c r="CA15" s="388">
        <f>Quarterly!AC179</f>
        <v>595.37808883560069</v>
      </c>
      <c r="CB15" s="388">
        <f>Quarterly!AD179</f>
        <v>723.55911539069757</v>
      </c>
      <c r="CC15" s="388">
        <f>Quarterly!AE179</f>
        <v>438.48306952600876</v>
      </c>
    </row>
    <row r="16" spans="2:81" s="363" customFormat="1" collapsed="1">
      <c r="B16" s="330" t="s">
        <v>207</v>
      </c>
      <c r="C16" s="352"/>
      <c r="D16" s="332" t="s">
        <v>861</v>
      </c>
      <c r="E16" s="365"/>
      <c r="F16" s="797"/>
      <c r="G16" s="362">
        <f>+G260</f>
        <v>16.3582</v>
      </c>
      <c r="H16" s="362">
        <f>+H260</f>
        <v>16.921099999999999</v>
      </c>
      <c r="I16" s="362">
        <f>+I260</f>
        <v>22.839400000000001</v>
      </c>
      <c r="J16" s="362">
        <f>+J260</f>
        <v>13.975034300000001</v>
      </c>
      <c r="K16" s="362">
        <f>K9-K11-K12</f>
        <v>14.057179499999336</v>
      </c>
      <c r="L16" s="362">
        <f>L9-L11-L12</f>
        <v>12.309875430000375</v>
      </c>
      <c r="M16" s="362">
        <f>M9-M11-M12</f>
        <v>17.087686640000356</v>
      </c>
      <c r="N16" s="1490">
        <f>+N260</f>
        <v>23.719901664905617</v>
      </c>
      <c r="O16" s="362">
        <f>+O260</f>
        <v>32.926267132949988</v>
      </c>
      <c r="P16" s="362">
        <f>+P260</f>
        <v>45.705883718497972</v>
      </c>
      <c r="Q16" s="867"/>
      <c r="R16" s="867"/>
      <c r="S16" s="867"/>
      <c r="T16" s="946"/>
      <c r="U16" s="360" t="str">
        <f>+D16</f>
        <v>其他</v>
      </c>
      <c r="V16" s="797">
        <f t="shared" ref="V16:AC16" si="21">+V260</f>
        <v>10.248172140000001</v>
      </c>
      <c r="W16" s="797">
        <f t="shared" si="21"/>
        <v>12.59122786</v>
      </c>
      <c r="X16" s="797">
        <f t="shared" si="21"/>
        <v>9.7761563800000015</v>
      </c>
      <c r="Y16" s="797">
        <f t="shared" si="21"/>
        <v>4.1988779199999993</v>
      </c>
      <c r="Z16" s="797">
        <f t="shared" si="21"/>
        <v>7.0124213299999996</v>
      </c>
      <c r="AA16" s="797">
        <f t="shared" si="21"/>
        <v>7.0447581699993362</v>
      </c>
      <c r="AB16" s="797">
        <f t="shared" si="21"/>
        <v>5.2116288999988569</v>
      </c>
      <c r="AC16" s="797">
        <f t="shared" si="21"/>
        <v>7.0982465300015178</v>
      </c>
      <c r="AD16" s="797">
        <f>+AD260</f>
        <v>11.646652100001006</v>
      </c>
      <c r="AE16" s="797">
        <f>+AE260</f>
        <v>5.4410345399993503</v>
      </c>
      <c r="AF16" s="797">
        <f>BV16+BW16</f>
        <v>0</v>
      </c>
      <c r="AG16" s="797">
        <f>BX16+BY16</f>
        <v>0</v>
      </c>
      <c r="AH16" s="797">
        <f>BZ16+CA16</f>
        <v>0</v>
      </c>
      <c r="AI16" s="797">
        <f>CB16+CC16</f>
        <v>0</v>
      </c>
      <c r="AJ16" s="1200"/>
      <c r="AK16" s="1200"/>
      <c r="AL16" s="1200"/>
      <c r="AM16" s="1200"/>
      <c r="AN16" s="1200"/>
      <c r="AO16" s="1200"/>
      <c r="AP16" s="1200"/>
      <c r="AQ16" s="1200"/>
      <c r="AR16" s="1200"/>
      <c r="AS16" s="1200"/>
      <c r="AT16" s="1200"/>
      <c r="AU16" s="1200"/>
      <c r="AV16" s="1200"/>
      <c r="AW16" s="1200"/>
      <c r="AX16" s="1200"/>
      <c r="AY16" s="946"/>
      <c r="AZ16" s="332" t="str">
        <f>+U16</f>
        <v>其他</v>
      </c>
      <c r="BA16" s="364"/>
      <c r="BB16" s="649"/>
      <c r="BC16" s="649"/>
      <c r="BD16" s="388">
        <f t="shared" ref="BD16:BU16" si="22">+BD260</f>
        <v>6.5718274299997574</v>
      </c>
      <c r="BE16" s="388">
        <f t="shared" si="22"/>
        <v>6.0194004300002426</v>
      </c>
      <c r="BF16" s="388">
        <f t="shared" si="22"/>
        <v>4.5748271900001996</v>
      </c>
      <c r="BG16" s="388">
        <f t="shared" si="22"/>
        <v>5.2013271500001892</v>
      </c>
      <c r="BH16" s="388">
        <f t="shared" si="22"/>
        <v>1.2177030799991968</v>
      </c>
      <c r="BI16" s="388">
        <f t="shared" si="22"/>
        <v>2.9811768800001914</v>
      </c>
      <c r="BJ16" s="388">
        <f t="shared" si="22"/>
        <v>7.3156683299999941</v>
      </c>
      <c r="BK16" s="388">
        <f t="shared" si="22"/>
        <v>-0.30324699999988525</v>
      </c>
      <c r="BL16" s="388">
        <f t="shared" si="22"/>
        <v>4.3273940499993842</v>
      </c>
      <c r="BM16" s="388">
        <f t="shared" si="22"/>
        <v>2.7173641200000702</v>
      </c>
      <c r="BN16" s="388">
        <f t="shared" si="22"/>
        <v>2.1206470100004964</v>
      </c>
      <c r="BO16" s="388">
        <f t="shared" si="22"/>
        <v>3.0909818899983748</v>
      </c>
      <c r="BP16" s="388">
        <f t="shared" si="22"/>
        <v>1.9574410200020225</v>
      </c>
      <c r="BQ16" s="388">
        <f t="shared" si="22"/>
        <v>5.1408055099994954</v>
      </c>
      <c r="BR16" s="388">
        <f t="shared" si="22"/>
        <v>4.5815627900000209</v>
      </c>
      <c r="BS16" s="388">
        <f t="shared" si="22"/>
        <v>4.1687079500001119</v>
      </c>
      <c r="BT16" s="388">
        <f t="shared" si="22"/>
        <v>4.1687079500001119</v>
      </c>
      <c r="BU16" s="388">
        <f t="shared" si="22"/>
        <v>4.1687079500001119</v>
      </c>
      <c r="BV16" s="388">
        <f>+BV260</f>
        <v>0</v>
      </c>
      <c r="BW16" s="388">
        <f>+BW260</f>
        <v>0</v>
      </c>
      <c r="BX16" s="388">
        <f>+BX260</f>
        <v>0</v>
      </c>
      <c r="BY16" s="388">
        <f t="shared" ref="BY16:CC16" si="23">+BY260</f>
        <v>0</v>
      </c>
      <c r="BZ16" s="388">
        <f t="shared" si="23"/>
        <v>0</v>
      </c>
      <c r="CA16" s="388">
        <f t="shared" si="23"/>
        <v>0</v>
      </c>
      <c r="CB16" s="388">
        <f t="shared" si="23"/>
        <v>0</v>
      </c>
      <c r="CC16" s="388">
        <f t="shared" si="23"/>
        <v>0</v>
      </c>
    </row>
    <row r="17" spans="2:81" s="1103" customFormat="1">
      <c r="B17" s="1097"/>
      <c r="C17" s="1097"/>
      <c r="D17" s="1097" t="s">
        <v>881</v>
      </c>
      <c r="E17" s="1098"/>
      <c r="F17" s="1099"/>
      <c r="G17" s="1099">
        <f t="shared" ref="G17:P17" si="24">+G9-SUM(G11:G12,G16)</f>
        <v>-3.8000007407390513E-7</v>
      </c>
      <c r="H17" s="1099">
        <f t="shared" si="24"/>
        <v>7.9270000242104288E-5</v>
      </c>
      <c r="I17" s="1099">
        <f t="shared" si="24"/>
        <v>1.1873000039486215E-4</v>
      </c>
      <c r="J17" s="1099">
        <f t="shared" si="24"/>
        <v>0</v>
      </c>
      <c r="K17" s="1099">
        <f t="shared" si="24"/>
        <v>0</v>
      </c>
      <c r="L17" s="1099">
        <f t="shared" si="24"/>
        <v>0</v>
      </c>
      <c r="M17" s="1099">
        <f t="shared" si="24"/>
        <v>0</v>
      </c>
      <c r="N17" s="1496">
        <f t="shared" si="24"/>
        <v>0</v>
      </c>
      <c r="O17" s="1099">
        <f t="shared" si="24"/>
        <v>0</v>
      </c>
      <c r="P17" s="1099">
        <f t="shared" si="24"/>
        <v>0</v>
      </c>
      <c r="Q17" s="1216"/>
      <c r="R17" s="1216"/>
      <c r="S17" s="1216"/>
      <c r="T17" s="1100"/>
      <c r="U17" s="1097"/>
      <c r="V17" s="1099">
        <f>+V9-SUM(V11:V12,V16)</f>
        <v>-7.2139999701903434E-5</v>
      </c>
      <c r="W17" s="1099">
        <f>+W9-SUM(W11:W12,W16)</f>
        <v>-40.582209130000138</v>
      </c>
      <c r="X17" s="1099">
        <f>+X9-SUM(X11:X12,X16)</f>
        <v>-2.0399997993081342E-6</v>
      </c>
      <c r="Y17" s="1099">
        <f t="shared" ref="Y17:AE17" si="25">+Y9-SUM(Y11:Y16)</f>
        <v>2.0399993445607834E-6</v>
      </c>
      <c r="Z17" s="1099">
        <f t="shared" si="25"/>
        <v>0</v>
      </c>
      <c r="AA17" s="1099">
        <f t="shared" si="25"/>
        <v>0</v>
      </c>
      <c r="AB17" s="1099">
        <f t="shared" si="25"/>
        <v>0</v>
      </c>
      <c r="AC17" s="1099">
        <f t="shared" si="25"/>
        <v>0</v>
      </c>
      <c r="AD17" s="1099">
        <f t="shared" si="25"/>
        <v>0</v>
      </c>
      <c r="AE17" s="1099">
        <f t="shared" si="25"/>
        <v>0</v>
      </c>
      <c r="AF17" s="1099"/>
      <c r="AG17" s="1099"/>
      <c r="AH17" s="1099"/>
      <c r="AI17" s="1099"/>
      <c r="AJ17" s="1216"/>
      <c r="AK17" s="1216"/>
      <c r="AL17" s="1216"/>
      <c r="AM17" s="1216"/>
      <c r="AN17" s="1216"/>
      <c r="AO17" s="1216"/>
      <c r="AP17" s="1216"/>
      <c r="AQ17" s="1216"/>
      <c r="AR17" s="1216"/>
      <c r="AS17" s="1216"/>
      <c r="AT17" s="1216"/>
      <c r="AU17" s="1216"/>
      <c r="AV17" s="1216"/>
      <c r="AW17" s="1216"/>
      <c r="AX17" s="1216"/>
      <c r="AY17" s="1100"/>
      <c r="AZ17" s="1392" t="s">
        <v>1378</v>
      </c>
      <c r="BA17" s="1101"/>
      <c r="BB17" s="1102"/>
      <c r="BC17" s="1102"/>
      <c r="BD17" s="1099">
        <f>+BD9-SUM(BD11:BD16)</f>
        <v>0</v>
      </c>
      <c r="BE17" s="1099">
        <f>+BE9-SUM(BE11:BE16)</f>
        <v>-40.582209130000479</v>
      </c>
      <c r="BF17" s="1102"/>
      <c r="BG17" s="1102"/>
      <c r="BH17" s="1099">
        <f>+BH9-SUM(BH11:BH16)</f>
        <v>0</v>
      </c>
      <c r="BI17" s="1102"/>
      <c r="BJ17" s="1102"/>
      <c r="BK17" s="1102"/>
      <c r="BL17" s="1102"/>
      <c r="BM17" s="1102"/>
      <c r="BN17" s="1102"/>
      <c r="BO17" s="1102"/>
      <c r="BP17" s="1102"/>
      <c r="BQ17" s="1102"/>
      <c r="BR17" s="1102"/>
      <c r="BS17" s="1102"/>
      <c r="BT17" s="1102"/>
      <c r="BU17" s="1102"/>
      <c r="BV17" s="1102"/>
      <c r="BW17" s="1102"/>
      <c r="BX17" s="1102"/>
      <c r="BY17" s="1102"/>
      <c r="BZ17" s="2161"/>
      <c r="CA17" s="2161"/>
      <c r="CB17" s="2161"/>
      <c r="CC17" s="2161"/>
    </row>
    <row r="18" spans="2:81" s="55" customFormat="1" ht="10.5" collapsed="1">
      <c r="B18" s="56" t="s">
        <v>101</v>
      </c>
      <c r="C18" s="56"/>
      <c r="D18" s="58" t="s">
        <v>100</v>
      </c>
      <c r="E18" s="59"/>
      <c r="F18" s="59" t="str">
        <f>IF(ISNUMBER(F9/#REF!),F9/#REF!-1,"")</f>
        <v/>
      </c>
      <c r="G18" s="59">
        <f t="shared" ref="G18:P18" si="26">IF(ISNUMBER(G9/F9),G9/F9-1,"")</f>
        <v>6.8122892568400095E-2</v>
      </c>
      <c r="H18" s="59">
        <f t="shared" si="26"/>
        <v>0.38557320136996509</v>
      </c>
      <c r="I18" s="59">
        <f t="shared" si="26"/>
        <v>0.17814742460888033</v>
      </c>
      <c r="J18" s="59">
        <f t="shared" si="26"/>
        <v>0.40724388206478346</v>
      </c>
      <c r="K18" s="59">
        <f t="shared" si="26"/>
        <v>0.21891747198959233</v>
      </c>
      <c r="L18" s="59">
        <f t="shared" si="26"/>
        <v>0.32419494463634702</v>
      </c>
      <c r="M18" s="59">
        <f t="shared" si="26"/>
        <v>0.40629862458102206</v>
      </c>
      <c r="N18" s="1497">
        <f t="shared" si="26"/>
        <v>0.32534294349569493</v>
      </c>
      <c r="O18" s="59">
        <f t="shared" si="26"/>
        <v>0.2101570488187654</v>
      </c>
      <c r="P18" s="59">
        <f t="shared" si="26"/>
        <v>0.17275086761500336</v>
      </c>
      <c r="Q18" s="1217"/>
      <c r="R18" s="1217"/>
      <c r="S18" s="1217"/>
      <c r="T18" s="947"/>
      <c r="U18" s="58" t="str">
        <f>D18</f>
        <v>收入增速</v>
      </c>
      <c r="V18" s="59" t="str">
        <f>IF(ISNUMBER(V9/#REF!),V9/#REF!-1,"")</f>
        <v/>
      </c>
      <c r="W18" s="59" t="str">
        <f>IF(ISNUMBER(W9/#REF!),W9/#REF!-1,"")</f>
        <v/>
      </c>
      <c r="X18" s="59">
        <f t="shared" ref="X18:AG18" si="27">IF(ISNUMBER(X9/V9),X9/V9-1,"")</f>
        <v>0.49111859609784747</v>
      </c>
      <c r="Y18" s="59">
        <f t="shared" si="27"/>
        <v>0.32402887365161925</v>
      </c>
      <c r="Z18" s="59">
        <f t="shared" si="27"/>
        <v>0.16539080688715391</v>
      </c>
      <c r="AA18" s="59">
        <f t="shared" si="27"/>
        <v>0.27872495499050887</v>
      </c>
      <c r="AB18" s="59">
        <f t="shared" si="27"/>
        <v>0.27239251854829916</v>
      </c>
      <c r="AC18" s="59">
        <f t="shared" si="27"/>
        <v>0.37694584615817095</v>
      </c>
      <c r="AD18" s="59">
        <f t="shared" si="27"/>
        <v>0.44194527376312531</v>
      </c>
      <c r="AE18" s="59">
        <f t="shared" si="27"/>
        <v>0.37275555947854966</v>
      </c>
      <c r="AF18" s="59">
        <f t="shared" si="27"/>
        <v>0.36367780019452445</v>
      </c>
      <c r="AG18" s="59">
        <f t="shared" si="27"/>
        <v>0.2874521723636283</v>
      </c>
      <c r="AH18" s="59">
        <f t="shared" ref="AH18" si="28">IF(ISNUMBER(AH9/AF9),AH9/AF9-1,"")</f>
        <v>0.22451545100430637</v>
      </c>
      <c r="AI18" s="59">
        <f t="shared" ref="AI18" si="29">IF(ISNUMBER(AI9/AG9),AI9/AG9-1,"")</f>
        <v>0.19512471609413407</v>
      </c>
      <c r="AJ18" s="1217"/>
      <c r="AK18" s="1217"/>
      <c r="AL18" s="1217"/>
      <c r="AM18" s="1217"/>
      <c r="AN18" s="1217"/>
      <c r="AO18" s="1217"/>
      <c r="AP18" s="1217"/>
      <c r="AQ18" s="1217"/>
      <c r="AR18" s="1217"/>
      <c r="AS18" s="1217"/>
      <c r="AT18" s="1217"/>
      <c r="AU18" s="1217"/>
      <c r="AV18" s="1217"/>
      <c r="AW18" s="1217"/>
      <c r="AX18" s="1217"/>
      <c r="AY18" s="947"/>
      <c r="AZ18" s="58" t="str">
        <f>U18</f>
        <v>收入增速</v>
      </c>
      <c r="BA18" s="58"/>
      <c r="BB18" s="416"/>
      <c r="BC18" s="416"/>
      <c r="BD18" s="416"/>
      <c r="BE18" s="416"/>
      <c r="BF18" s="416">
        <f t="shared" ref="BF18:BX18" si="30">BF9/BB9-1</f>
        <v>0.83372486025282067</v>
      </c>
      <c r="BG18" s="416">
        <f t="shared" si="30"/>
        <v>0.28299723647068897</v>
      </c>
      <c r="BH18" s="416">
        <f t="shared" si="30"/>
        <v>0.19300544410753551</v>
      </c>
      <c r="BI18" s="416">
        <f t="shared" si="30"/>
        <v>0.54946026729345387</v>
      </c>
      <c r="BJ18" s="416">
        <f t="shared" si="30"/>
        <v>0.1725517122531981</v>
      </c>
      <c r="BK18" s="416">
        <f t="shared" si="30"/>
        <v>0.15917356532645233</v>
      </c>
      <c r="BL18" s="416">
        <f t="shared" si="30"/>
        <v>0.25300084526220945</v>
      </c>
      <c r="BM18" s="416">
        <f t="shared" si="30"/>
        <v>0.31280245823286057</v>
      </c>
      <c r="BN18" s="416">
        <f t="shared" si="30"/>
        <v>0.24137195687381041</v>
      </c>
      <c r="BO18" s="416">
        <f t="shared" si="30"/>
        <v>0.2996360248046066</v>
      </c>
      <c r="BP18" s="416">
        <f t="shared" si="30"/>
        <v>0.35173296148053401</v>
      </c>
      <c r="BQ18" s="416">
        <f t="shared" si="30"/>
        <v>0.40882464390972162</v>
      </c>
      <c r="BR18" s="416">
        <f t="shared" si="30"/>
        <v>0.39797471926278161</v>
      </c>
      <c r="BS18" s="416">
        <f t="shared" si="30"/>
        <v>0.47883075680811071</v>
      </c>
      <c r="BT18" s="416">
        <f t="shared" si="30"/>
        <v>0.47293150294500186</v>
      </c>
      <c r="BU18" s="416">
        <f t="shared" si="30"/>
        <v>0.25122743306118256</v>
      </c>
      <c r="BV18" s="416">
        <f t="shared" si="30"/>
        <v>0.39225678798014152</v>
      </c>
      <c r="BW18" s="416">
        <f t="shared" si="30"/>
        <v>0.3410146008430619</v>
      </c>
      <c r="BX18" s="416">
        <f t="shared" si="30"/>
        <v>0.30359622508590234</v>
      </c>
      <c r="BY18" s="416">
        <f t="shared" ref="BY18" si="31">BY9/BU9-1</f>
        <v>0.26439679571401631</v>
      </c>
      <c r="BZ18" s="416">
        <f t="shared" ref="BZ18" si="32">BZ9/BV9-1</f>
        <v>0.22999999999999998</v>
      </c>
      <c r="CA18" s="416">
        <f t="shared" ref="CA18" si="33">CA9/BW9-1</f>
        <v>0.21999999999999997</v>
      </c>
      <c r="CB18" s="416">
        <f t="shared" ref="CB18" si="34">CB9/BX9-1</f>
        <v>0.22999999999999998</v>
      </c>
      <c r="CC18" s="416">
        <f t="shared" ref="CC18" si="35">CC9/BY9-1</f>
        <v>0.14377511032349433</v>
      </c>
    </row>
    <row r="19" spans="2:81">
      <c r="B19" s="372" t="str">
        <f>+B11</f>
        <v>Energy drinks</v>
      </c>
      <c r="C19" s="42"/>
      <c r="D19" s="372" t="str">
        <f>+D11</f>
        <v>东鹏特饮</v>
      </c>
      <c r="E19" s="41"/>
      <c r="F19" s="49"/>
      <c r="G19" s="49"/>
      <c r="H19" s="49">
        <f t="shared" ref="H19:P19" si="36">IF(ISNUMBER(H11/G11),H11/G11-1,"")</f>
        <v>0.387293198111341</v>
      </c>
      <c r="I19" s="49">
        <f t="shared" si="36"/>
        <v>0.16290740227934797</v>
      </c>
      <c r="J19" s="49">
        <f t="shared" si="36"/>
        <v>0.41604298426831776</v>
      </c>
      <c r="K19" s="49">
        <f t="shared" si="36"/>
        <v>0.2397502172798518</v>
      </c>
      <c r="L19" s="49">
        <f t="shared" si="36"/>
        <v>0.26476027118643075</v>
      </c>
      <c r="M19" s="49">
        <f t="shared" si="36"/>
        <v>0.28711036224329911</v>
      </c>
      <c r="N19" s="1498">
        <f t="shared" si="36"/>
        <v>0.19789999999999996</v>
      </c>
      <c r="O19" s="49">
        <f t="shared" si="36"/>
        <v>0.16999999999999993</v>
      </c>
      <c r="P19" s="49">
        <f t="shared" si="36"/>
        <v>0.14000000000000012</v>
      </c>
      <c r="Q19" s="1218"/>
      <c r="R19" s="1218"/>
      <c r="S19" s="1218"/>
      <c r="U19" s="360" t="str">
        <f>+D19</f>
        <v>东鹏特饮</v>
      </c>
      <c r="V19" s="49"/>
      <c r="W19" s="49"/>
      <c r="X19" s="49">
        <f t="shared" ref="X19:AG19" si="37">IF(ISNUMBER(X11/V11),X11/V11-1,"")</f>
        <v>0.56105399076972762</v>
      </c>
      <c r="Y19" s="49">
        <f t="shared" si="37"/>
        <v>0.27775659670563524</v>
      </c>
      <c r="Z19" s="49">
        <f t="shared" si="37"/>
        <v>0.16100129683322084</v>
      </c>
      <c r="AA19" s="49">
        <f t="shared" si="37"/>
        <v>0.33149742714898278</v>
      </c>
      <c r="AB19" s="49">
        <f t="shared" si="37"/>
        <v>0.24686076852889904</v>
      </c>
      <c r="AC19" s="49">
        <f t="shared" si="37"/>
        <v>0.28294394341334939</v>
      </c>
      <c r="AD19" s="49">
        <f t="shared" si="37"/>
        <v>0.33514246429178929</v>
      </c>
      <c r="AE19" s="49">
        <f t="shared" si="37"/>
        <v>0.23968807431926131</v>
      </c>
      <c r="AF19" s="49">
        <f t="shared" si="37"/>
        <v>0.21945488620439169</v>
      </c>
      <c r="AG19" s="49">
        <f t="shared" si="37"/>
        <v>0.17498014690486996</v>
      </c>
      <c r="AH19" s="49">
        <f t="shared" ref="AH19" si="38">IF(ISNUMBER(AH11/AF11),AH11/AF11-1,"")</f>
        <v>0.2046654192571804</v>
      </c>
      <c r="AI19" s="49">
        <f t="shared" ref="AI19" si="39">IF(ISNUMBER(AI11/AG11),AI11/AG11-1,"")</f>
        <v>0.13174415827463237</v>
      </c>
      <c r="AJ19" s="1218"/>
      <c r="AK19" s="1218"/>
      <c r="AL19" s="1218"/>
      <c r="AM19" s="1218"/>
      <c r="AN19" s="1218"/>
      <c r="AO19" s="1218"/>
      <c r="AP19" s="1218"/>
      <c r="AQ19" s="1218"/>
      <c r="AR19" s="1218"/>
      <c r="AS19" s="1218"/>
      <c r="AT19" s="1218"/>
      <c r="AU19" s="1218"/>
      <c r="AV19" s="1218"/>
      <c r="AW19" s="1218"/>
      <c r="AX19" s="1218"/>
      <c r="AZ19" s="332" t="str">
        <f>+U19</f>
        <v>东鹏特饮</v>
      </c>
      <c r="BA19" s="330"/>
      <c r="BB19" s="49"/>
      <c r="BC19" s="49"/>
      <c r="BD19" s="49"/>
      <c r="BE19" s="49"/>
      <c r="BF19" s="49"/>
      <c r="BG19" s="388"/>
      <c r="BH19" s="1184">
        <f t="shared" ref="BH19:BX19" si="40">BH11/BD11-1</f>
        <v>0.19893932655509827</v>
      </c>
      <c r="BI19" s="1184">
        <f t="shared" si="40"/>
        <v>0.41021872032383078</v>
      </c>
      <c r="BJ19" s="1184">
        <f t="shared" si="40"/>
        <v>0.1589092894495423</v>
      </c>
      <c r="BK19" s="1184">
        <f t="shared" si="40"/>
        <v>0.16281061336948088</v>
      </c>
      <c r="BL19" s="1184">
        <f t="shared" si="40"/>
        <v>0.26935024841467747</v>
      </c>
      <c r="BM19" s="1184">
        <f t="shared" si="40"/>
        <v>0.42029528164080898</v>
      </c>
      <c r="BN19" s="1184">
        <f t="shared" si="40"/>
        <v>0.25001454222161601</v>
      </c>
      <c r="BO19" s="1184">
        <f t="shared" si="40"/>
        <v>0.24414231243804374</v>
      </c>
      <c r="BP19" s="1184">
        <f t="shared" si="40"/>
        <v>0.25748334398383066</v>
      </c>
      <c r="BQ19" s="1184">
        <f t="shared" si="40"/>
        <v>0.3154566037483888</v>
      </c>
      <c r="BR19" s="1184">
        <f t="shared" si="40"/>
        <v>0.30107655561619362</v>
      </c>
      <c r="BS19" s="1184">
        <f t="shared" si="40"/>
        <v>0.36464482572749524</v>
      </c>
      <c r="BT19" s="1184">
        <f t="shared" si="40"/>
        <v>0.28279458651888967</v>
      </c>
      <c r="BU19" s="1184">
        <f t="shared" si="40"/>
        <v>0.18616473970624869</v>
      </c>
      <c r="BV19" s="1184">
        <f t="shared" si="40"/>
        <v>0.25795407774379187</v>
      </c>
      <c r="BW19" s="1184">
        <f t="shared" si="40"/>
        <v>0.18766626951675058</v>
      </c>
      <c r="BX19" s="1184">
        <f t="shared" si="40"/>
        <v>0.14592880138199327</v>
      </c>
      <c r="BY19" s="1184">
        <f t="shared" ref="BY19:BY20" si="41">BY11/BU11-1</f>
        <v>0.21422676187408896</v>
      </c>
      <c r="BZ19" s="1184">
        <f t="shared" ref="BZ19:BZ20" si="42">BZ11/BV11-1</f>
        <v>0.20999999999999996</v>
      </c>
      <c r="CA19" s="1184">
        <f t="shared" ref="CA19:CA20" si="43">CA11/BW11-1</f>
        <v>0.19999999999999996</v>
      </c>
      <c r="CB19" s="1184">
        <f t="shared" ref="CB19:CB20" si="44">CB11/BX11-1</f>
        <v>0.18999999999999995</v>
      </c>
      <c r="CC19" s="1184">
        <f t="shared" ref="CC19:CC20" si="45">CC11/BY11-1</f>
        <v>5.9163814126169445E-2</v>
      </c>
    </row>
    <row r="20" spans="2:81">
      <c r="B20" s="372" t="str">
        <f>+B12</f>
        <v>Other beverage</v>
      </c>
      <c r="C20" s="42"/>
      <c r="D20" s="372" t="str">
        <f>+D12</f>
        <v>其他饮料</v>
      </c>
      <c r="E20" s="41"/>
      <c r="F20" s="49"/>
      <c r="G20" s="49"/>
      <c r="H20" s="49">
        <f>IF(ISNUMBER(H12/G12),H12/G12-1,"")</f>
        <v>0.39133126524258799</v>
      </c>
      <c r="I20" s="49">
        <f>IF(ISNUMBER(I12/H12),I12/H12-1,"")</f>
        <v>0.48593100423357094</v>
      </c>
      <c r="J20" s="49">
        <f t="shared" ref="J20:O20" si="46">IF(ISNUMBER(J12/I12),J12/I12-1,"")</f>
        <v>0.32597942717050743</v>
      </c>
      <c r="K20" s="49">
        <f>IF(ISNUMBER(K12/J12),K12/J12-1,"")</f>
        <v>-0.14228767416117516</v>
      </c>
      <c r="L20" s="49">
        <f>IF(ISNUMBER(L12/K12),L12/K12-1,"")</f>
        <v>1.866462300470987</v>
      </c>
      <c r="M20" s="49">
        <f>IF(ISNUMBER(M12/L12),M12/L12-1,"")</f>
        <v>1.7536884891421969</v>
      </c>
      <c r="N20" s="1498">
        <f t="shared" si="46"/>
        <v>0.99820000000000042</v>
      </c>
      <c r="O20" s="49">
        <f t="shared" si="46"/>
        <v>0.33650000000000024</v>
      </c>
      <c r="P20" s="49">
        <f>IF(ISNUMBER(P12/O12),P12/O12-1,"")</f>
        <v>0.26249999999999996</v>
      </c>
      <c r="Q20" s="1218"/>
      <c r="R20" s="1218"/>
      <c r="S20" s="1218"/>
      <c r="U20" s="360" t="str">
        <f>+D20</f>
        <v>其他饮料</v>
      </c>
      <c r="V20" s="49"/>
      <c r="W20" s="49"/>
      <c r="X20" s="49">
        <f t="shared" ref="X20:AE20" si="47">IF(ISNUMBER(X12/V12),X12/V12-1,"")</f>
        <v>-0.32975648960630277</v>
      </c>
      <c r="Y20" s="49">
        <f t="shared" si="47"/>
        <v>0.83816298817326396</v>
      </c>
      <c r="Z20" s="49">
        <f t="shared" si="47"/>
        <v>0.32466911999041992</v>
      </c>
      <c r="AA20" s="49">
        <f t="shared" si="47"/>
        <v>-0.3793913757321794</v>
      </c>
      <c r="AB20" s="49">
        <f t="shared" si="47"/>
        <v>0.92845508847981573</v>
      </c>
      <c r="AC20" s="49">
        <f t="shared" si="47"/>
        <v>2.8830794199976197</v>
      </c>
      <c r="AD20" s="49">
        <f t="shared" si="47"/>
        <v>2.1429617906850571</v>
      </c>
      <c r="AE20" s="49">
        <f t="shared" si="47"/>
        <v>1.5441619132838604</v>
      </c>
      <c r="AF20" s="49">
        <f>IF(ISNUMBER(AF12/AD12),AF12/AD12-1,"")</f>
        <v>1.3566095902058266</v>
      </c>
      <c r="AG20" s="49">
        <f>IF(ISNUMBER(AG12/AE12),AG12/AE12-1,"")</f>
        <v>0.75988110666845188</v>
      </c>
      <c r="AH20" s="49">
        <f>IF(ISNUMBER(AH12/AF12),AH12/AF12-1,"")</f>
        <v>0.29767652919050369</v>
      </c>
      <c r="AI20" s="49">
        <f>IF(ISNUMBER(AI12/AG12),AI12/AG12-1,"")</f>
        <v>0.37106826017983585</v>
      </c>
      <c r="AJ20" s="1218"/>
      <c r="AK20" s="1218"/>
      <c r="AL20" s="1218"/>
      <c r="AM20" s="1218"/>
      <c r="AN20" s="1218"/>
      <c r="AO20" s="1218"/>
      <c r="AP20" s="1218"/>
      <c r="AQ20" s="1218"/>
      <c r="AR20" s="1218"/>
      <c r="AS20" s="1218"/>
      <c r="AT20" s="1218"/>
      <c r="AU20" s="1218"/>
      <c r="AV20" s="1218"/>
      <c r="AW20" s="1218"/>
      <c r="AX20" s="1218"/>
      <c r="AZ20" s="332" t="str">
        <f>+U20</f>
        <v>其他饮料</v>
      </c>
      <c r="BA20" s="330"/>
      <c r="BB20" s="49"/>
      <c r="BC20" s="49"/>
      <c r="BD20" s="49"/>
      <c r="BE20" s="49"/>
      <c r="BF20" s="49"/>
      <c r="BG20" s="388"/>
      <c r="BH20" s="1184">
        <f>BH12/BD12-1</f>
        <v>0.16255859300740338</v>
      </c>
      <c r="BI20" s="1184">
        <f t="shared" ref="BI20:BR20" si="48">BI12/BE12-1</f>
        <v>1.6597165316508358</v>
      </c>
      <c r="BJ20" s="1184">
        <f t="shared" si="48"/>
        <v>0.50525973973258864</v>
      </c>
      <c r="BK20" s="1184">
        <f t="shared" si="48"/>
        <v>0.1499753252342173</v>
      </c>
      <c r="BL20" s="1184">
        <f t="shared" si="48"/>
        <v>-0.12176200397126669</v>
      </c>
      <c r="BM20" s="1184">
        <f t="shared" si="48"/>
        <v>-0.51632757804718099</v>
      </c>
      <c r="BN20" s="1184">
        <f t="shared" si="48"/>
        <v>0.1387244268938419</v>
      </c>
      <c r="BO20" s="1184">
        <f t="shared" si="48"/>
        <v>1.9284187416703267</v>
      </c>
      <c r="BP20" s="1184">
        <f t="shared" si="48"/>
        <v>3.2533532146852915</v>
      </c>
      <c r="BQ20" s="1184">
        <f t="shared" si="48"/>
        <v>2.5257187294190557</v>
      </c>
      <c r="BR20" s="1184">
        <f t="shared" si="48"/>
        <v>2.570055356215923</v>
      </c>
      <c r="BS20" s="1184">
        <f t="shared" ref="BS20:BX20" si="49">BS12/BO12-1</f>
        <v>1.9326741723954592</v>
      </c>
      <c r="BT20" s="1184">
        <f t="shared" si="49"/>
        <v>2.1777915150537308</v>
      </c>
      <c r="BU20" s="1184">
        <f t="shared" si="49"/>
        <v>0.81412301265873643</v>
      </c>
      <c r="BV20" s="1184">
        <f t="shared" si="49"/>
        <v>1.5063795193126124</v>
      </c>
      <c r="BW20" s="1184">
        <f t="shared" si="49"/>
        <v>1.266840580614319</v>
      </c>
      <c r="BX20" s="1184">
        <f t="shared" si="49"/>
        <v>0.87057466215943702</v>
      </c>
      <c r="BY20" s="1184">
        <f t="shared" si="41"/>
        <v>0.52664990624804964</v>
      </c>
      <c r="BZ20" s="1184">
        <f t="shared" si="42"/>
        <v>0.31636425927095591</v>
      </c>
      <c r="CA20" s="1184">
        <f t="shared" si="43"/>
        <v>0.28529186553278296</v>
      </c>
      <c r="CB20" s="1184">
        <f t="shared" si="44"/>
        <v>0.32078515061746327</v>
      </c>
      <c r="CC20" s="1184">
        <f t="shared" si="45"/>
        <v>0.49672447592790525</v>
      </c>
    </row>
    <row r="21" spans="2:81" hidden="1" outlineLevel="1">
      <c r="B21" s="372" t="str">
        <f>+B14</f>
        <v>Water</v>
      </c>
      <c r="C21" s="42"/>
      <c r="D21" s="372" t="str">
        <f>+D14</f>
        <v>包装饮用水</v>
      </c>
      <c r="E21" s="41"/>
      <c r="F21" s="49"/>
      <c r="G21" s="49"/>
      <c r="H21" s="49">
        <f>IF(ISNUMBER(H14/G14),H14/G14-1,"")</f>
        <v>0.11627373622923276</v>
      </c>
      <c r="I21" s="49">
        <f>IF(ISNUMBER(I14/H14),I14/H14-1,"")</f>
        <v>-7.4061029418958091E-3</v>
      </c>
      <c r="J21" s="49">
        <f t="shared" ref="J21:O21" si="50">IF(ISNUMBER(J14/I14),J14/I14-1,"")</f>
        <v>-1</v>
      </c>
      <c r="K21" s="49" t="str">
        <f>IF(ISNUMBER(K14/J14),K14/J14-1,"")</f>
        <v/>
      </c>
      <c r="L21" s="49" t="str">
        <f>IF(ISNUMBER(L14/K14),L14/K14-1,"")</f>
        <v/>
      </c>
      <c r="M21" s="49" t="str">
        <f>IF(ISNUMBER(M14/L14),M14/L14-1,"")</f>
        <v/>
      </c>
      <c r="N21" s="1498" t="str">
        <f t="shared" si="50"/>
        <v/>
      </c>
      <c r="O21" s="49" t="str">
        <f t="shared" si="50"/>
        <v/>
      </c>
      <c r="P21" s="49" t="str">
        <f>IF(ISNUMBER(P14/O14),P14/O14-1,"")</f>
        <v/>
      </c>
      <c r="Q21" s="1218"/>
      <c r="R21" s="1218"/>
      <c r="S21" s="1218"/>
      <c r="U21" s="360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1218"/>
      <c r="AK21" s="1218"/>
      <c r="AL21" s="1218"/>
      <c r="AM21" s="1218"/>
      <c r="AN21" s="1218"/>
      <c r="AO21" s="1218"/>
      <c r="AP21" s="1218"/>
      <c r="AQ21" s="1218"/>
      <c r="AR21" s="1218"/>
      <c r="AS21" s="1218"/>
      <c r="AT21" s="1218"/>
      <c r="AU21" s="1218"/>
      <c r="AV21" s="1218"/>
      <c r="AW21" s="1218"/>
      <c r="AX21" s="1218"/>
      <c r="AZ21" s="332"/>
      <c r="BA21" s="330"/>
      <c r="BB21" s="49"/>
      <c r="BC21" s="49"/>
      <c r="BD21" s="49"/>
      <c r="BE21" s="49"/>
      <c r="BF21" s="49"/>
      <c r="BG21" s="388"/>
      <c r="BH21" s="1184"/>
      <c r="BI21" s="1184"/>
      <c r="BJ21" s="1184"/>
      <c r="BK21" s="1184"/>
      <c r="BL21" s="1184"/>
      <c r="BM21" s="1184"/>
      <c r="BN21" s="1184"/>
      <c r="BO21" s="1184"/>
      <c r="BP21" s="1184"/>
      <c r="BQ21" s="1184"/>
      <c r="BR21" s="1184"/>
      <c r="BS21" s="1184"/>
      <c r="BT21" s="1184"/>
      <c r="BU21" s="1184"/>
      <c r="BV21" s="1184"/>
      <c r="BW21" s="1184"/>
      <c r="BX21" s="1184"/>
      <c r="BY21" s="1184"/>
      <c r="BZ21" s="2162"/>
      <c r="CA21" s="2162"/>
      <c r="CB21" s="2162"/>
      <c r="CC21" s="2162"/>
    </row>
    <row r="22" spans="2:81" collapsed="1">
      <c r="B22" s="372" t="str">
        <f>+B16</f>
        <v>Others</v>
      </c>
      <c r="C22" s="42"/>
      <c r="D22" s="372" t="str">
        <f>+D16</f>
        <v>其他</v>
      </c>
      <c r="E22" s="41"/>
      <c r="F22" s="49"/>
      <c r="G22" s="49"/>
      <c r="H22" s="49">
        <f>IF(ISNUMBER(H16/G16),H16/G16-1,"")</f>
        <v>3.4410876502304566E-2</v>
      </c>
      <c r="I22" s="49">
        <f>IF(ISNUMBER(I16/H16),I16/H16-1,"")</f>
        <v>0.34975858543475313</v>
      </c>
      <c r="J22" s="49">
        <f t="shared" ref="J22:O22" si="51">IF(ISNUMBER(J16/I16),J16/I16-1,"")</f>
        <v>-0.38811727541003704</v>
      </c>
      <c r="K22" s="49">
        <f>IF(ISNUMBER(K16/J16),K16/J16-1,"")</f>
        <v>5.8779963065518359E-3</v>
      </c>
      <c r="L22" s="49">
        <f>IF(ISNUMBER(L16/K16),L16/K16-1,"")</f>
        <v>-0.12429976226731998</v>
      </c>
      <c r="M22" s="49">
        <f>IF(ISNUMBER(M16/L16),M16/L16-1,"")</f>
        <v>0.38812831512136881</v>
      </c>
      <c r="N22" s="1498">
        <f t="shared" si="51"/>
        <v>0.38812831512136881</v>
      </c>
      <c r="O22" s="49">
        <f t="shared" si="51"/>
        <v>0.38812831512136903</v>
      </c>
      <c r="P22" s="49">
        <f>IF(ISNUMBER(P16/O16),P16/O16-1,"")</f>
        <v>0.38812831512136881</v>
      </c>
      <c r="Q22" s="1218"/>
      <c r="R22" s="1218"/>
      <c r="S22" s="1218"/>
      <c r="U22" s="360" t="str">
        <f>+D22</f>
        <v>其他</v>
      </c>
      <c r="V22" s="49"/>
      <c r="W22" s="49"/>
      <c r="X22" s="49">
        <f t="shared" ref="X22:AE22" si="52">IF(ISNUMBER(X16/V16),X16/V16-1,"")</f>
        <v>-4.6058531565610461E-2</v>
      </c>
      <c r="Y22" s="49">
        <f t="shared" si="52"/>
        <v>-0.66652355380375117</v>
      </c>
      <c r="Z22" s="49">
        <f t="shared" si="52"/>
        <v>-0.28270159995128896</v>
      </c>
      <c r="AA22" s="49">
        <f t="shared" si="52"/>
        <v>0.67777161046857426</v>
      </c>
      <c r="AB22" s="49">
        <f t="shared" si="52"/>
        <v>-0.25680037539916944</v>
      </c>
      <c r="AC22" s="49">
        <f t="shared" si="52"/>
        <v>7.5926467185156721E-3</v>
      </c>
      <c r="AD22" s="49">
        <f t="shared" si="52"/>
        <v>1.2347431721402038</v>
      </c>
      <c r="AE22" s="49">
        <f t="shared" si="52"/>
        <v>-0.2334677984200435</v>
      </c>
      <c r="AF22" s="49"/>
      <c r="AG22" s="49"/>
      <c r="AH22" s="49"/>
      <c r="AI22" s="49"/>
      <c r="AJ22" s="1218"/>
      <c r="AK22" s="1218"/>
      <c r="AL22" s="1218"/>
      <c r="AM22" s="1218"/>
      <c r="AN22" s="1218"/>
      <c r="AO22" s="1218"/>
      <c r="AP22" s="1218"/>
      <c r="AQ22" s="1218"/>
      <c r="AR22" s="1218"/>
      <c r="AS22" s="1218"/>
      <c r="AT22" s="1218"/>
      <c r="AU22" s="1218"/>
      <c r="AV22" s="1218"/>
      <c r="AW22" s="1218"/>
      <c r="AX22" s="1218"/>
      <c r="AZ22" s="332" t="str">
        <f>+U22</f>
        <v>其他</v>
      </c>
      <c r="BA22" s="330"/>
      <c r="BB22" s="49"/>
      <c r="BC22" s="49"/>
      <c r="BD22" s="49"/>
      <c r="BE22" s="49"/>
      <c r="BF22" s="49"/>
      <c r="BG22" s="388"/>
      <c r="BH22" s="1184"/>
      <c r="BI22" s="1184"/>
      <c r="BJ22" s="1184"/>
      <c r="BK22" s="1184"/>
      <c r="BL22" s="1184"/>
      <c r="BM22" s="1184"/>
      <c r="BN22" s="1184"/>
      <c r="BO22" s="1184"/>
      <c r="BP22" s="1184"/>
      <c r="BQ22" s="1184"/>
      <c r="BR22" s="1184"/>
      <c r="BS22" s="1184"/>
      <c r="BT22" s="1184"/>
      <c r="BU22" s="1184"/>
      <c r="BV22" s="1184"/>
      <c r="BW22" s="1184"/>
      <c r="BX22" s="1184"/>
      <c r="BY22" s="1184"/>
      <c r="BZ22" s="1184"/>
      <c r="CA22" s="1184"/>
      <c r="CB22" s="1184"/>
      <c r="CC22" s="1184"/>
    </row>
    <row r="23" spans="2:81" s="37" customFormat="1">
      <c r="B23" s="45" t="s">
        <v>99</v>
      </c>
      <c r="C23" s="45"/>
      <c r="D23" s="62" t="s">
        <v>48</v>
      </c>
      <c r="E23" s="61"/>
      <c r="F23" s="1127">
        <f>-Model!C16</f>
        <v>1480.9947999999999</v>
      </c>
      <c r="G23" s="1127">
        <f>-Model!D16</f>
        <v>1641.2420573099998</v>
      </c>
      <c r="H23" s="1127">
        <f>-Model!E16</f>
        <v>2241.7192595500001</v>
      </c>
      <c r="I23" s="1127">
        <f>-Model!F16</f>
        <v>2647.8475059899997</v>
      </c>
      <c r="J23" s="1127">
        <f>-Model!G16</f>
        <v>3881.56479257</v>
      </c>
      <c r="K23" s="1127">
        <f>-Model!H16</f>
        <v>4905.4613287299999</v>
      </c>
      <c r="L23" s="1127">
        <f>-Model!I16</f>
        <v>6411.6537601099999</v>
      </c>
      <c r="M23" s="1127">
        <f>-Model!J16</f>
        <v>8741.5610026499999</v>
      </c>
      <c r="N23" s="1499">
        <f>+SUM(N24:N27)</f>
        <v>11564.399061414118</v>
      </c>
      <c r="O23" s="377">
        <f>+SUM(O24:O27)</f>
        <v>13747.298774425524</v>
      </c>
      <c r="P23" s="377">
        <f>+SUM(P24:P27)</f>
        <v>16022.730755500135</v>
      </c>
      <c r="Q23" s="756"/>
      <c r="R23" s="756"/>
      <c r="S23" s="756"/>
      <c r="T23" s="944"/>
      <c r="U23" s="62" t="str">
        <f>D23</f>
        <v>营业成本</v>
      </c>
      <c r="V23" s="653">
        <f>+SUM(BB23:BC23)</f>
        <v>1322.65</v>
      </c>
      <c r="W23" s="653">
        <f>+I23-V23</f>
        <v>1325.1975059899996</v>
      </c>
      <c r="X23" s="653">
        <f>+SUM(BF23:BG23)</f>
        <v>1852.9146081700001</v>
      </c>
      <c r="Y23" s="653">
        <f>+J23-X23</f>
        <v>2028.6501843999999</v>
      </c>
      <c r="Z23" s="653">
        <f>+SUM(BJ23:BK23)</f>
        <v>2459.742307</v>
      </c>
      <c r="AA23" s="653">
        <f>K23-Z23</f>
        <v>2445.7190217299999</v>
      </c>
      <c r="AB23" s="1237">
        <f>-'Raw Data'!Y15</f>
        <v>3106.6108371999999</v>
      </c>
      <c r="AC23" s="653">
        <f>L23-AB23</f>
        <v>3305.04292291</v>
      </c>
      <c r="AD23" s="1237">
        <f>-'Raw Data'!AC15</f>
        <v>4361.7439749599998</v>
      </c>
      <c r="AE23" s="653">
        <f>M23-AD23</f>
        <v>4379.81702769</v>
      </c>
      <c r="AF23" s="653">
        <f>BV23+BW23</f>
        <v>5889.4142337799994</v>
      </c>
      <c r="AG23" s="653">
        <f>BX23+BY23</f>
        <v>5674.984827634119</v>
      </c>
      <c r="AH23" s="653">
        <f>BZ23+CA23</f>
        <v>7063.5498278135601</v>
      </c>
      <c r="AI23" s="653">
        <f>CB23+CC23</f>
        <v>6683.7489466119623</v>
      </c>
      <c r="AJ23" s="653"/>
      <c r="AK23" s="653"/>
      <c r="AL23" s="653"/>
      <c r="AM23" s="653"/>
      <c r="AN23" s="653"/>
      <c r="AO23" s="653"/>
      <c r="AP23" s="653"/>
      <c r="AQ23" s="653"/>
      <c r="AR23" s="653"/>
      <c r="AS23" s="653"/>
      <c r="AT23" s="653"/>
      <c r="AU23" s="653"/>
      <c r="AV23" s="653"/>
      <c r="AW23" s="653"/>
      <c r="AX23" s="653"/>
      <c r="AY23" s="944"/>
      <c r="AZ23" s="62" t="str">
        <f>U23</f>
        <v>营业成本</v>
      </c>
      <c r="BA23" s="62"/>
      <c r="BB23" s="378">
        <f>+Quarterly!D46</f>
        <v>474.49274026999996</v>
      </c>
      <c r="BC23" s="378">
        <f>+Quarterly!E46</f>
        <v>848.15725973000008</v>
      </c>
      <c r="BD23" s="378">
        <f>+Quarterly!F46</f>
        <v>828.35414730000002</v>
      </c>
      <c r="BE23" s="378">
        <f>+Quarterly!G46</f>
        <v>496.8433586899996</v>
      </c>
      <c r="BF23" s="378">
        <f>+Quarterly!H46</f>
        <v>863.46210910000002</v>
      </c>
      <c r="BG23" s="378">
        <f>+Quarterly!I46</f>
        <v>989.45249907000004</v>
      </c>
      <c r="BH23" s="378">
        <f>+Quarterly!J46</f>
        <v>1011.1235660900002</v>
      </c>
      <c r="BI23" s="647">
        <f>+BI9-BI29</f>
        <v>1017.5266183099998</v>
      </c>
      <c r="BJ23" s="378">
        <f>+Quarterly!L46</f>
        <v>1139.9789286800001</v>
      </c>
      <c r="BK23" s="378">
        <f>+Quarterly!M46</f>
        <v>1319.7633783199999</v>
      </c>
      <c r="BL23" s="378">
        <f>+Quarterly!N46</f>
        <v>1410.6329676199998</v>
      </c>
      <c r="BM23" s="647">
        <f>+BM9-BM29</f>
        <v>1035.0860541100001</v>
      </c>
      <c r="BN23" s="653">
        <f t="shared" ref="BN23:BX23" si="53">BN9-BN29</f>
        <v>1406.6463015300001</v>
      </c>
      <c r="BO23" s="653">
        <f t="shared" si="53"/>
        <v>1699.9645356699998</v>
      </c>
      <c r="BP23" s="653">
        <f t="shared" si="53"/>
        <v>1860.3978788100003</v>
      </c>
      <c r="BQ23" s="653">
        <f t="shared" si="53"/>
        <v>1444.6450440999997</v>
      </c>
      <c r="BR23" s="653">
        <f t="shared" si="53"/>
        <v>1992.8200776600002</v>
      </c>
      <c r="BS23" s="653">
        <f t="shared" si="53"/>
        <v>2368.9238972999997</v>
      </c>
      <c r="BT23" s="653">
        <f t="shared" si="53"/>
        <v>2539.02238055</v>
      </c>
      <c r="BU23" s="653">
        <f t="shared" si="53"/>
        <v>1840.7946471400001</v>
      </c>
      <c r="BV23" s="653">
        <f t="shared" si="53"/>
        <v>2692.1916942500002</v>
      </c>
      <c r="BW23" s="653">
        <f t="shared" si="53"/>
        <v>3197.2225395299993</v>
      </c>
      <c r="BX23" s="653">
        <f t="shared" si="53"/>
        <v>3346.3351016200004</v>
      </c>
      <c r="BY23" s="653">
        <f t="shared" ref="BY23:CC23" si="54">BY9-BY29</f>
        <v>2328.6497260141186</v>
      </c>
      <c r="BZ23" s="653">
        <f t="shared" si="54"/>
        <v>3220.0892262152465</v>
      </c>
      <c r="CA23" s="653">
        <f t="shared" si="54"/>
        <v>3843.460601598314</v>
      </c>
      <c r="CB23" s="653">
        <f t="shared" si="54"/>
        <v>4018.9351112820441</v>
      </c>
      <c r="CC23" s="653">
        <f t="shared" si="54"/>
        <v>2664.8138353299182</v>
      </c>
    </row>
    <row r="24" spans="2:81" s="305" customFormat="1" ht="15" customHeight="1">
      <c r="B24" s="332" t="str">
        <f>+B19</f>
        <v>Energy drinks</v>
      </c>
      <c r="C24" s="333"/>
      <c r="D24" s="332" t="str">
        <f>+D19</f>
        <v>东鹏特饮</v>
      </c>
      <c r="E24" s="331"/>
      <c r="F24" s="361"/>
      <c r="G24" s="362">
        <f>+G80</f>
        <v>1498.0823</v>
      </c>
      <c r="H24" s="362">
        <f>+H80</f>
        <v>2041.0942999999997</v>
      </c>
      <c r="I24" s="362">
        <f>+I80</f>
        <v>2389.6504000000004</v>
      </c>
      <c r="J24" s="362">
        <f>J23-SUM(J25:J27)</f>
        <v>3553.77635328</v>
      </c>
      <c r="K24" s="362">
        <f>K23-SUM(K25:K27)</f>
        <v>4636.6678838799999</v>
      </c>
      <c r="L24" s="362">
        <f>L23-SUM(L25:L27)</f>
        <v>5651.2412794809998</v>
      </c>
      <c r="M24" s="362">
        <f>M23-SUM(M25:M27)</f>
        <v>6890.3194649379993</v>
      </c>
      <c r="N24" s="1490">
        <f>+N80</f>
        <v>7830.345661118311</v>
      </c>
      <c r="O24" s="362">
        <f>+O80</f>
        <v>8932.4668129207112</v>
      </c>
      <c r="P24" s="362">
        <f>+P80</f>
        <v>10183.012166729612</v>
      </c>
      <c r="Q24" s="867"/>
      <c r="R24" s="867"/>
      <c r="S24" s="867"/>
      <c r="T24" s="948"/>
      <c r="U24" s="360"/>
      <c r="V24" s="361"/>
      <c r="W24" s="331"/>
      <c r="X24" s="361"/>
      <c r="Y24" s="331"/>
      <c r="Z24" s="331"/>
      <c r="AA24" s="331"/>
      <c r="AB24" s="331"/>
      <c r="AC24" s="331"/>
      <c r="AD24" s="331"/>
      <c r="AE24" s="331"/>
      <c r="AF24" s="331"/>
      <c r="AG24" s="331"/>
      <c r="AH24" s="331"/>
      <c r="AI24" s="331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3"/>
      <c r="AY24" s="948"/>
      <c r="AZ24" s="360"/>
      <c r="BA24" s="332"/>
      <c r="BB24" s="388"/>
      <c r="BC24" s="388"/>
      <c r="BD24" s="388"/>
      <c r="BE24" s="388"/>
      <c r="BF24" s="388"/>
      <c r="BG24" s="388"/>
      <c r="BH24" s="388"/>
      <c r="BI24" s="388"/>
      <c r="BJ24" s="388"/>
      <c r="BK24" s="388"/>
      <c r="BL24" s="388"/>
      <c r="BM24" s="388"/>
      <c r="BN24" s="388"/>
      <c r="BO24" s="388"/>
      <c r="BP24" s="388"/>
      <c r="BQ24" s="388"/>
      <c r="BR24" s="388"/>
      <c r="BS24" s="388"/>
      <c r="BT24" s="388"/>
      <c r="BU24" s="388"/>
      <c r="BV24" s="388"/>
      <c r="BW24" s="388"/>
      <c r="BX24" s="388"/>
      <c r="BY24" s="388"/>
      <c r="BZ24" s="388"/>
      <c r="CA24" s="388"/>
      <c r="CB24" s="388"/>
      <c r="CC24" s="388"/>
    </row>
    <row r="25" spans="2:81">
      <c r="B25" s="332" t="str">
        <f>+B20</f>
        <v>Other beverage</v>
      </c>
      <c r="C25" s="42"/>
      <c r="D25" s="332" t="str">
        <f>+D20</f>
        <v>其他饮料</v>
      </c>
      <c r="E25" s="41"/>
      <c r="F25" s="361"/>
      <c r="G25" s="362">
        <f t="shared" ref="G25:O25" si="55">+G179</f>
        <v>139.1617</v>
      </c>
      <c r="H25" s="362">
        <f t="shared" si="55"/>
        <v>197.74680000000001</v>
      </c>
      <c r="I25" s="362">
        <f t="shared" si="55"/>
        <v>258.23829999999998</v>
      </c>
      <c r="J25" s="362">
        <f t="shared" si="55"/>
        <v>323.59592900000001</v>
      </c>
      <c r="K25" s="362">
        <f t="shared" si="55"/>
        <v>264.57629100000003</v>
      </c>
      <c r="L25" s="362">
        <f t="shared" si="55"/>
        <v>756.71951799999999</v>
      </c>
      <c r="M25" s="362">
        <f>+M179</f>
        <v>1846.1152317200001</v>
      </c>
      <c r="N25" s="1490">
        <f t="shared" si="55"/>
        <v>3726.9374297963368</v>
      </c>
      <c r="O25" s="362">
        <f t="shared" si="55"/>
        <v>4804.9540813649273</v>
      </c>
      <c r="P25" s="362">
        <f>+P179</f>
        <v>5826.0068236549741</v>
      </c>
      <c r="Q25" s="867"/>
      <c r="R25" s="867"/>
      <c r="S25" s="867"/>
      <c r="U25" s="359"/>
      <c r="V25" s="361"/>
      <c r="W25" s="331"/>
      <c r="X25" s="361"/>
      <c r="Y25" s="331"/>
      <c r="Z25" s="331"/>
      <c r="AA25" s="331"/>
      <c r="AB25" s="331"/>
      <c r="AC25" s="331"/>
      <c r="AD25" s="331"/>
      <c r="AE25" s="331"/>
      <c r="AF25" s="331"/>
      <c r="AG25" s="331"/>
      <c r="AH25" s="331"/>
      <c r="AI25" s="331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3"/>
      <c r="AZ25" s="359"/>
      <c r="BA25" s="330"/>
      <c r="BB25" s="388"/>
      <c r="BC25" s="388"/>
      <c r="BD25" s="388"/>
      <c r="BE25" s="388"/>
      <c r="BF25" s="388"/>
      <c r="BG25" s="388"/>
      <c r="BH25" s="388"/>
      <c r="BI25" s="388"/>
      <c r="BJ25" s="388"/>
      <c r="BK25" s="388"/>
      <c r="BL25" s="388"/>
      <c r="BM25" s="388"/>
      <c r="BN25" s="388"/>
      <c r="BO25" s="388"/>
      <c r="BP25" s="388"/>
      <c r="BQ25" s="388"/>
      <c r="BR25" s="388"/>
      <c r="BS25" s="388"/>
      <c r="BT25" s="388"/>
      <c r="BU25" s="388"/>
      <c r="BV25" s="388"/>
      <c r="BW25" s="388"/>
      <c r="BX25" s="388"/>
      <c r="BY25" s="388"/>
      <c r="BZ25" s="388"/>
      <c r="CA25" s="388"/>
      <c r="CB25" s="388"/>
      <c r="CC25" s="388"/>
    </row>
    <row r="26" spans="2:81" hidden="1" outlineLevel="1">
      <c r="B26" s="332" t="str">
        <f>+B21</f>
        <v>Water</v>
      </c>
      <c r="C26" s="42"/>
      <c r="D26" s="332" t="str">
        <f>+D21</f>
        <v>包装饮用水</v>
      </c>
      <c r="E26" s="41"/>
      <c r="F26" s="361"/>
      <c r="G26" s="362">
        <f t="shared" ref="G26:O26" si="56">+G244</f>
        <v>37.592799999999997</v>
      </c>
      <c r="H26" s="362">
        <f t="shared" si="56"/>
        <v>37.943100000000001</v>
      </c>
      <c r="I26" s="362">
        <f t="shared" si="56"/>
        <v>34.065199999999997</v>
      </c>
      <c r="J26" s="362">
        <f t="shared" si="56"/>
        <v>0</v>
      </c>
      <c r="K26" s="362">
        <f t="shared" si="56"/>
        <v>0</v>
      </c>
      <c r="L26" s="362">
        <f t="shared" si="56"/>
        <v>0</v>
      </c>
      <c r="M26" s="362">
        <f>+M244</f>
        <v>0</v>
      </c>
      <c r="N26" s="1490">
        <f t="shared" si="56"/>
        <v>0</v>
      </c>
      <c r="O26" s="362">
        <f t="shared" si="56"/>
        <v>0</v>
      </c>
      <c r="P26" s="362">
        <f>+P244</f>
        <v>0</v>
      </c>
      <c r="Q26" s="867"/>
      <c r="R26" s="867"/>
      <c r="S26" s="867"/>
      <c r="U26" s="359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Z26" s="359"/>
      <c r="BA26" s="330"/>
      <c r="BB26" s="388"/>
      <c r="BC26" s="388"/>
      <c r="BD26" s="388"/>
      <c r="BE26" s="388"/>
      <c r="BF26" s="388"/>
      <c r="BG26" s="388"/>
      <c r="BH26" s="388"/>
      <c r="BI26" s="388"/>
      <c r="BJ26" s="388"/>
      <c r="BK26" s="388"/>
      <c r="BL26" s="388"/>
      <c r="BM26" s="388"/>
      <c r="BN26" s="388"/>
      <c r="BO26" s="388"/>
      <c r="BP26" s="388"/>
      <c r="BQ26" s="388"/>
      <c r="BR26" s="388"/>
      <c r="BS26" s="388"/>
      <c r="BT26" s="388"/>
      <c r="BU26" s="388"/>
      <c r="BV26" s="388"/>
      <c r="BW26" s="388"/>
      <c r="BX26" s="388"/>
      <c r="BY26" s="388"/>
      <c r="BZ26" s="388"/>
      <c r="CA26" s="388"/>
      <c r="CB26" s="388"/>
      <c r="CC26" s="388"/>
    </row>
    <row r="27" spans="2:81" collapsed="1">
      <c r="B27" s="332" t="str">
        <f>+B22</f>
        <v>Others</v>
      </c>
      <c r="C27" s="42"/>
      <c r="D27" s="332" t="str">
        <f>+D22</f>
        <v>其他</v>
      </c>
      <c r="E27" s="41"/>
      <c r="F27" s="361"/>
      <c r="G27" s="362">
        <f>+G23-SUM(G24,G25)</f>
        <v>3.9980573099996946</v>
      </c>
      <c r="H27" s="362">
        <f>+H23-SUM(H24,H25)</f>
        <v>2.8781595500004187</v>
      </c>
      <c r="I27" s="362">
        <f>+I23-SUM(I24,I25)</f>
        <v>-4.1194010000708658E-2</v>
      </c>
      <c r="J27" s="362">
        <f t="shared" ref="J27:O27" si="57">+J261</f>
        <v>4.1925102900000013</v>
      </c>
      <c r="K27" s="362">
        <f t="shared" si="57"/>
        <v>4.2171538499998018</v>
      </c>
      <c r="L27" s="362">
        <f t="shared" si="57"/>
        <v>3.6929626290001138</v>
      </c>
      <c r="M27" s="362">
        <f>+M261</f>
        <v>5.1263059920001073</v>
      </c>
      <c r="N27" s="1490">
        <f t="shared" si="57"/>
        <v>7.1159704994716861</v>
      </c>
      <c r="O27" s="362">
        <f t="shared" si="57"/>
        <v>9.8778801398849971</v>
      </c>
      <c r="P27" s="362">
        <f>+P261</f>
        <v>13.711765115549394</v>
      </c>
      <c r="Q27" s="867"/>
      <c r="R27" s="867"/>
      <c r="S27" s="867"/>
      <c r="U27" s="359"/>
      <c r="V27" s="359"/>
      <c r="W27" s="359"/>
      <c r="X27" s="359"/>
      <c r="Y27" s="359"/>
      <c r="Z27" s="359"/>
      <c r="AA27" s="359"/>
      <c r="AB27" s="359"/>
      <c r="AC27" s="359"/>
      <c r="AD27" s="359"/>
      <c r="AE27" s="359"/>
      <c r="AF27" s="359"/>
      <c r="AG27" s="359"/>
      <c r="AH27" s="359"/>
      <c r="AI27" s="359"/>
      <c r="AJ27" s="789"/>
      <c r="AK27" s="789"/>
      <c r="AL27" s="789"/>
      <c r="AM27" s="789"/>
      <c r="AN27" s="789"/>
      <c r="AO27" s="789"/>
      <c r="AP27" s="789"/>
      <c r="AQ27" s="789"/>
      <c r="AR27" s="789"/>
      <c r="AS27" s="789"/>
      <c r="AT27" s="789"/>
      <c r="AU27" s="789"/>
      <c r="AV27" s="789"/>
      <c r="AW27" s="789"/>
      <c r="AX27" s="789"/>
      <c r="AZ27" s="359"/>
      <c r="BA27" s="330"/>
      <c r="BB27" s="388"/>
      <c r="BC27" s="388"/>
      <c r="BD27" s="388"/>
      <c r="BE27" s="388"/>
      <c r="BF27" s="388"/>
      <c r="BG27" s="388"/>
      <c r="BH27" s="388"/>
      <c r="BI27" s="388"/>
      <c r="BJ27" s="388"/>
      <c r="BK27" s="388"/>
      <c r="BL27" s="388"/>
      <c r="BM27" s="388"/>
      <c r="BN27" s="388"/>
      <c r="BO27" s="388"/>
      <c r="BP27" s="388"/>
      <c r="BQ27" s="388"/>
      <c r="BR27" s="388"/>
      <c r="BS27" s="388"/>
      <c r="BT27" s="388"/>
      <c r="BU27" s="388"/>
      <c r="BV27" s="388"/>
      <c r="BW27" s="388"/>
      <c r="BX27" s="388"/>
      <c r="BY27" s="388"/>
      <c r="BZ27" s="388"/>
      <c r="CA27" s="388"/>
      <c r="CB27" s="388"/>
      <c r="CC27" s="388"/>
    </row>
    <row r="28" spans="2:81" s="363" customFormat="1">
      <c r="B28" s="366"/>
      <c r="C28" s="366"/>
      <c r="D28" s="369" t="s">
        <v>881</v>
      </c>
      <c r="E28" s="365"/>
      <c r="F28" s="409"/>
      <c r="G28" s="1129">
        <f>G29-SUM(G30:G31,G33)</f>
        <v>-3.8000007407390513E-7</v>
      </c>
      <c r="H28" s="1129">
        <f>H29-SUM(H30:H31,H33)</f>
        <v>7.9270000014730613E-5</v>
      </c>
      <c r="I28" s="1129">
        <f>I29-SUM(I30:I31,I33)</f>
        <v>1.1872999994011479E-4</v>
      </c>
      <c r="J28" s="1129">
        <f t="shared" ref="J28:O28" si="58">J29-SUM(J30:J33)</f>
        <v>0</v>
      </c>
      <c r="K28" s="1129">
        <f t="shared" si="58"/>
        <v>0</v>
      </c>
      <c r="L28" s="1129">
        <f t="shared" si="58"/>
        <v>0</v>
      </c>
      <c r="M28" s="1129">
        <f>M29-SUM(M30:M33)</f>
        <v>0</v>
      </c>
      <c r="N28" s="1500">
        <f t="shared" si="58"/>
        <v>0</v>
      </c>
      <c r="O28" s="1129">
        <f t="shared" si="58"/>
        <v>0</v>
      </c>
      <c r="P28" s="1129">
        <f>P29-SUM(P30:P33)</f>
        <v>0</v>
      </c>
      <c r="Q28" s="1465"/>
      <c r="R28" s="1465"/>
      <c r="S28" s="1465"/>
      <c r="T28" s="946"/>
      <c r="U28" s="369"/>
      <c r="V28" s="1130"/>
      <c r="W28" s="1130"/>
      <c r="X28" s="1130"/>
      <c r="Y28" s="1130"/>
      <c r="Z28" s="1130"/>
      <c r="AA28" s="1130"/>
      <c r="AB28" s="1130"/>
      <c r="AC28" s="1130"/>
      <c r="AD28" s="1130"/>
      <c r="AE28" s="1130"/>
      <c r="AF28" s="1130"/>
      <c r="AG28" s="1130"/>
      <c r="AH28" s="1130"/>
      <c r="AI28" s="1130"/>
      <c r="AJ28" s="1219"/>
      <c r="AK28" s="1219"/>
      <c r="AL28" s="1219"/>
      <c r="AM28" s="1219"/>
      <c r="AN28" s="1219"/>
      <c r="AO28" s="1219"/>
      <c r="AP28" s="1219"/>
      <c r="AQ28" s="1219"/>
      <c r="AR28" s="1219"/>
      <c r="AS28" s="1219"/>
      <c r="AT28" s="1219"/>
      <c r="AU28" s="1219"/>
      <c r="AV28" s="1219"/>
      <c r="AW28" s="1219"/>
      <c r="AX28" s="1219"/>
      <c r="AY28" s="946"/>
      <c r="AZ28" s="352"/>
      <c r="BA28" s="364"/>
      <c r="BB28" s="389"/>
      <c r="BC28" s="389"/>
      <c r="BD28" s="389"/>
      <c r="BE28" s="389"/>
      <c r="BF28" s="389"/>
      <c r="BG28" s="389"/>
      <c r="BH28" s="389"/>
      <c r="BI28" s="389"/>
      <c r="BJ28" s="389"/>
      <c r="BK28" s="389"/>
      <c r="BL28" s="389"/>
      <c r="BM28" s="389"/>
      <c r="BN28" s="389"/>
      <c r="BO28" s="389"/>
      <c r="BP28" s="389"/>
      <c r="BQ28" s="389"/>
      <c r="BR28" s="389"/>
      <c r="BS28" s="389"/>
      <c r="BT28" s="389"/>
      <c r="BU28" s="389"/>
      <c r="BV28" s="389"/>
      <c r="BW28" s="389"/>
      <c r="BX28" s="389"/>
      <c r="BY28" s="389"/>
      <c r="BZ28" s="389"/>
      <c r="CA28" s="389"/>
      <c r="CB28" s="389"/>
      <c r="CC28" s="389"/>
    </row>
    <row r="29" spans="2:81" s="37" customFormat="1">
      <c r="B29" s="45" t="s">
        <v>58</v>
      </c>
      <c r="C29" s="45"/>
      <c r="D29" s="45" t="s">
        <v>50</v>
      </c>
      <c r="E29" s="60"/>
      <c r="F29" s="378">
        <f t="shared" ref="F29:P29" si="59">F9-F23</f>
        <v>1362.8128000000002</v>
      </c>
      <c r="G29" s="378">
        <f t="shared" si="59"/>
        <v>1396.2939423100001</v>
      </c>
      <c r="H29" s="378">
        <f t="shared" si="59"/>
        <v>1967.0092197200001</v>
      </c>
      <c r="I29" s="378">
        <f t="shared" si="59"/>
        <v>2310.6551127400003</v>
      </c>
      <c r="J29" s="378">
        <f t="shared" si="59"/>
        <v>3096.2576818399998</v>
      </c>
      <c r="K29" s="378">
        <f t="shared" si="59"/>
        <v>3599.9284017699993</v>
      </c>
      <c r="L29" s="378">
        <f t="shared" si="59"/>
        <v>4851.1403231800005</v>
      </c>
      <c r="M29" s="378">
        <f t="shared" si="59"/>
        <v>7097.2908256200008</v>
      </c>
      <c r="N29" s="1501">
        <f t="shared" si="59"/>
        <v>9427.5114422574115</v>
      </c>
      <c r="O29" s="378">
        <f t="shared" si="59"/>
        <v>11656.209689765257</v>
      </c>
      <c r="P29" s="378">
        <f t="shared" si="59"/>
        <v>13769.255836344684</v>
      </c>
      <c r="Q29" s="653"/>
      <c r="R29" s="653"/>
      <c r="S29" s="653"/>
      <c r="T29" s="944"/>
      <c r="U29" s="45" t="str">
        <f>D29</f>
        <v>毛利</v>
      </c>
      <c r="V29" s="378">
        <f>+SUM(BB29:BC29)</f>
        <v>1146.8126999999999</v>
      </c>
      <c r="W29" s="378">
        <f>+I29-V29</f>
        <v>1163.8424127400003</v>
      </c>
      <c r="X29" s="653">
        <f>+SUM(BF29:BG29)</f>
        <v>1829.3471461700001</v>
      </c>
      <c r="Y29" s="653">
        <f>+J29-X29</f>
        <v>1266.9105356699997</v>
      </c>
      <c r="Z29" s="653">
        <f>+SUM(BJ29:BK29)</f>
        <v>1831.5316900599998</v>
      </c>
      <c r="AA29" s="653">
        <f>K29-Z29</f>
        <v>1768.3967117099994</v>
      </c>
      <c r="AB29" s="653">
        <f>AB9-AB23</f>
        <v>2353.5740916999994</v>
      </c>
      <c r="AC29" s="653">
        <f>L29-AB29</f>
        <v>2497.5662314800011</v>
      </c>
      <c r="AD29" s="653">
        <f>AD9-AD23</f>
        <v>3511.5438771400004</v>
      </c>
      <c r="AE29" s="653">
        <f>M29-AD29</f>
        <v>3585.7469484800004</v>
      </c>
      <c r="AF29" s="653">
        <f>BV29+BW29</f>
        <v>4847.213624670002</v>
      </c>
      <c r="AG29" s="653">
        <f>BX29+BY29</f>
        <v>4580.2978175874096</v>
      </c>
      <c r="AH29" s="653">
        <f>BZ29+CA29</f>
        <v>6083.6168765417406</v>
      </c>
      <c r="AI29" s="653">
        <f>CB29+CC29</f>
        <v>5572.5928132235167</v>
      </c>
      <c r="AJ29" s="653"/>
      <c r="AK29" s="653"/>
      <c r="AL29" s="653"/>
      <c r="AM29" s="653"/>
      <c r="AN29" s="653"/>
      <c r="AO29" s="653"/>
      <c r="AP29" s="653"/>
      <c r="AQ29" s="653"/>
      <c r="AR29" s="653"/>
      <c r="AS29" s="653"/>
      <c r="AT29" s="653"/>
      <c r="AU29" s="653"/>
      <c r="AV29" s="653"/>
      <c r="AW29" s="653"/>
      <c r="AX29" s="653"/>
      <c r="AY29" s="944"/>
      <c r="AZ29" s="45" t="str">
        <f>U29</f>
        <v>毛利</v>
      </c>
      <c r="BA29" s="45"/>
      <c r="BB29" s="378">
        <f>BB9-BB23</f>
        <v>458.72344950999997</v>
      </c>
      <c r="BC29" s="378">
        <f>BC9-BC23</f>
        <v>688.08925049000004</v>
      </c>
      <c r="BD29" s="378">
        <f>BD9-BD23</f>
        <v>745.78008012999999</v>
      </c>
      <c r="BE29" s="378">
        <f>+I29-SUM(BB29:BD29)</f>
        <v>418.06233261000034</v>
      </c>
      <c r="BF29" s="378">
        <f>BF9-BF23</f>
        <v>847.79961809000008</v>
      </c>
      <c r="BG29" s="378">
        <f>BG9-BG23</f>
        <v>981.54752808000001</v>
      </c>
      <c r="BH29" s="378">
        <f>BH9-BH23</f>
        <v>866.82713698999942</v>
      </c>
      <c r="BI29" s="647">
        <f>+J29-SUM(BF29:BH29)</f>
        <v>400.0833986800003</v>
      </c>
      <c r="BJ29" s="378">
        <f>BJ9-BJ23</f>
        <v>866.56393964999984</v>
      </c>
      <c r="BK29" s="378">
        <f>BK9-BK23</f>
        <v>964.96775041000001</v>
      </c>
      <c r="BL29" s="378">
        <f>BL9-BL23</f>
        <v>942.44085070000028</v>
      </c>
      <c r="BM29" s="647">
        <f>+K29-SUM(BJ29:BL29)</f>
        <v>825.95586100999935</v>
      </c>
      <c r="BN29" s="1237">
        <f>'Raw Data'!X18</f>
        <v>1084.2197454800003</v>
      </c>
      <c r="BO29" s="647">
        <f>AB29-BN29</f>
        <v>1269.3543462199991</v>
      </c>
      <c r="BP29" s="1237">
        <f>'Raw Data'!Z18-AB29</f>
        <v>1320.3295622100013</v>
      </c>
      <c r="BQ29" s="647">
        <f>AC29-BP29</f>
        <v>1177.2366692699998</v>
      </c>
      <c r="BR29" s="647">
        <f>'Raw Data'!AB18</f>
        <v>1489.3476851299997</v>
      </c>
      <c r="BS29" s="647">
        <f>Quarterly!U47</f>
        <v>2022.1961920100007</v>
      </c>
      <c r="BT29" s="647">
        <f>Quarterly!V47</f>
        <v>2145.9712696100005</v>
      </c>
      <c r="BU29" s="647">
        <f>Quarterly!W47</f>
        <v>1439.7756788699999</v>
      </c>
      <c r="BV29" s="647">
        <f>Quarterly!X47</f>
        <v>2155.8800103800004</v>
      </c>
      <c r="BW29" s="647">
        <f>Quarterly!Y47</f>
        <v>2691.3336142900016</v>
      </c>
      <c r="BX29" s="647">
        <f>Quarterly!Z47</f>
        <v>2761.0049352799988</v>
      </c>
      <c r="BY29" s="647">
        <f>Quarterly!AA47</f>
        <v>1819.2928823074108</v>
      </c>
      <c r="BZ29" s="647">
        <f>Quarterly!AB47</f>
        <v>2743.0389704796544</v>
      </c>
      <c r="CA29" s="647">
        <f>Quarterly!AC47</f>
        <v>3340.5779060620866</v>
      </c>
      <c r="CB29" s="647">
        <f>Quarterly!AD47</f>
        <v>3493.0931341049545</v>
      </c>
      <c r="CC29" s="647">
        <f>Quarterly!AE47</f>
        <v>2079.4996791185622</v>
      </c>
    </row>
    <row r="30" spans="2:81" s="305" customFormat="1" ht="11.25" customHeight="1">
      <c r="B30" s="332" t="str">
        <f>B24</f>
        <v>Energy drinks</v>
      </c>
      <c r="C30" s="333"/>
      <c r="D30" s="332" t="str">
        <f>D24</f>
        <v>东鹏特饮</v>
      </c>
      <c r="E30" s="331"/>
      <c r="F30" s="362"/>
      <c r="G30" s="362">
        <f t="shared" ref="G30:P30" si="60">+G11-G24</f>
        <v>1387.4148</v>
      </c>
      <c r="H30" s="362">
        <f t="shared" si="60"/>
        <v>1961.9362000000006</v>
      </c>
      <c r="I30" s="362">
        <f t="shared" si="60"/>
        <v>2265.5033999999996</v>
      </c>
      <c r="J30" s="362">
        <f t="shared" si="60"/>
        <v>3038.1215259000001</v>
      </c>
      <c r="K30" s="362">
        <f t="shared" si="60"/>
        <v>3535.6389441199999</v>
      </c>
      <c r="L30" s="362">
        <f t="shared" si="60"/>
        <v>4684.7677205190002</v>
      </c>
      <c r="M30" s="362">
        <f t="shared" si="60"/>
        <v>6413.264823202001</v>
      </c>
      <c r="N30" s="1490">
        <f t="shared" si="60"/>
        <v>8106.0179576445962</v>
      </c>
      <c r="O30" s="362">
        <f t="shared" si="60"/>
        <v>9713.0786210318893</v>
      </c>
      <c r="P30" s="362">
        <f t="shared" si="60"/>
        <v>11072.909627976354</v>
      </c>
      <c r="Q30" s="867"/>
      <c r="R30" s="867"/>
      <c r="S30" s="867"/>
      <c r="T30" s="948"/>
      <c r="U30" s="360"/>
      <c r="V30" s="345"/>
      <c r="W30" s="345"/>
      <c r="X30" s="345"/>
      <c r="Y30" s="345"/>
      <c r="Z30" s="345"/>
      <c r="AA30" s="345"/>
      <c r="AB30" s="345"/>
      <c r="AC30" s="345"/>
      <c r="AD30" s="345"/>
      <c r="AE30" s="345"/>
      <c r="AF30" s="345"/>
      <c r="AG30" s="345"/>
      <c r="AH30" s="345"/>
      <c r="AI30" s="345"/>
      <c r="AJ30" s="1220"/>
      <c r="AK30" s="1220"/>
      <c r="AL30" s="1220"/>
      <c r="AM30" s="1220"/>
      <c r="AN30" s="1220"/>
      <c r="AO30" s="1220"/>
      <c r="AP30" s="1220"/>
      <c r="AQ30" s="1220"/>
      <c r="AR30" s="1220"/>
      <c r="AS30" s="1220"/>
      <c r="AT30" s="1220"/>
      <c r="AU30" s="1220"/>
      <c r="AV30" s="1220"/>
      <c r="AW30" s="1220"/>
      <c r="AX30" s="1220"/>
      <c r="AY30" s="948"/>
      <c r="AZ30" s="360"/>
      <c r="BA30" s="332"/>
      <c r="BB30" s="388"/>
      <c r="BC30" s="388"/>
      <c r="BD30" s="388"/>
      <c r="BE30" s="388"/>
      <c r="BF30" s="388"/>
      <c r="BG30" s="388"/>
      <c r="BH30" s="388"/>
      <c r="BI30" s="388"/>
      <c r="BJ30" s="388"/>
      <c r="BK30" s="388"/>
      <c r="BL30" s="388"/>
      <c r="BM30" s="388"/>
      <c r="BN30" s="388"/>
      <c r="BO30" s="388"/>
      <c r="BP30" s="388"/>
      <c r="BQ30" s="388"/>
      <c r="BR30" s="388"/>
      <c r="BS30" s="388"/>
      <c r="BT30" s="388"/>
      <c r="BU30" s="388"/>
      <c r="BV30" s="388"/>
      <c r="BW30" s="388"/>
      <c r="BX30" s="388"/>
      <c r="BY30" s="388"/>
      <c r="BZ30" s="388"/>
      <c r="CA30" s="388"/>
      <c r="CB30" s="388"/>
      <c r="CC30" s="388"/>
    </row>
    <row r="31" spans="2:81">
      <c r="B31" s="332" t="str">
        <f>B25</f>
        <v>Other beverage</v>
      </c>
      <c r="C31" s="42"/>
      <c r="D31" s="332" t="str">
        <f>D25</f>
        <v>其他饮料</v>
      </c>
      <c r="E31" s="41"/>
      <c r="F31" s="362"/>
      <c r="G31" s="362">
        <f t="shared" ref="G31:O31" si="61">+G12-G25</f>
        <v>-3.4809999999999945</v>
      </c>
      <c r="H31" s="362">
        <f t="shared" si="61"/>
        <v>-8.9699999999999989</v>
      </c>
      <c r="I31" s="362">
        <f t="shared" si="61"/>
        <v>22.271000000000015</v>
      </c>
      <c r="J31" s="362">
        <f t="shared" si="61"/>
        <v>48.353631930000006</v>
      </c>
      <c r="K31" s="362">
        <f t="shared" si="61"/>
        <v>54.449432000000002</v>
      </c>
      <c r="L31" s="362">
        <f t="shared" si="61"/>
        <v>157.75568985999996</v>
      </c>
      <c r="M31" s="362">
        <f>+M12-M25</f>
        <v>672.0646217699998</v>
      </c>
      <c r="N31" s="1490">
        <f t="shared" si="61"/>
        <v>1304.8895534473822</v>
      </c>
      <c r="O31" s="362">
        <f t="shared" si="61"/>
        <v>1920.082681740304</v>
      </c>
      <c r="P31" s="362">
        <f>+P12-P25</f>
        <v>2664.3520897653798</v>
      </c>
      <c r="Q31" s="867"/>
      <c r="R31" s="867"/>
      <c r="S31" s="867"/>
      <c r="U31" s="359"/>
      <c r="V31" s="345"/>
      <c r="W31" s="345"/>
      <c r="X31" s="345"/>
      <c r="Y31" s="345"/>
      <c r="Z31" s="345"/>
      <c r="AA31" s="345"/>
      <c r="AB31" s="345"/>
      <c r="AC31" s="345"/>
      <c r="AD31" s="345"/>
      <c r="AE31" s="345"/>
      <c r="AF31" s="345"/>
      <c r="AG31" s="345"/>
      <c r="AH31" s="345"/>
      <c r="AI31" s="345"/>
      <c r="AJ31" s="1220"/>
      <c r="AK31" s="1220"/>
      <c r="AL31" s="1220"/>
      <c r="AM31" s="1220"/>
      <c r="AN31" s="1220"/>
      <c r="AO31" s="1220"/>
      <c r="AP31" s="1220"/>
      <c r="AQ31" s="1220"/>
      <c r="AR31" s="1220"/>
      <c r="AS31" s="1220"/>
      <c r="AT31" s="1220"/>
      <c r="AU31" s="1220"/>
      <c r="AV31" s="1220"/>
      <c r="AW31" s="1220"/>
      <c r="AX31" s="1220"/>
      <c r="AZ31" s="359"/>
      <c r="BA31" s="330"/>
      <c r="BB31" s="388"/>
      <c r="BC31" s="388"/>
      <c r="BD31" s="388"/>
      <c r="BE31" s="388"/>
      <c r="BF31" s="388"/>
      <c r="BG31" s="388"/>
      <c r="BH31" s="388"/>
      <c r="BI31" s="388"/>
      <c r="BJ31" s="388"/>
      <c r="BK31" s="388"/>
      <c r="BL31" s="388"/>
      <c r="BM31" s="388"/>
      <c r="BN31" s="388"/>
      <c r="BO31" s="388"/>
      <c r="BP31" s="388"/>
      <c r="BQ31" s="388"/>
      <c r="BR31" s="388"/>
      <c r="BS31" s="388"/>
      <c r="BT31" s="388"/>
      <c r="BU31" s="388"/>
      <c r="BV31" s="388"/>
      <c r="BW31" s="388"/>
      <c r="BX31" s="388"/>
      <c r="BY31" s="388"/>
      <c r="BZ31" s="388"/>
      <c r="CA31" s="388"/>
      <c r="CB31" s="388"/>
      <c r="CC31" s="388"/>
    </row>
    <row r="32" spans="2:81" hidden="1" outlineLevel="1">
      <c r="B32" s="332" t="str">
        <f>B26</f>
        <v>Water</v>
      </c>
      <c r="C32" s="42"/>
      <c r="D32" s="332" t="str">
        <f>D26</f>
        <v>包装饮用水</v>
      </c>
      <c r="E32" s="41"/>
      <c r="F32" s="362"/>
      <c r="G32" s="362">
        <f t="shared" ref="G32:O32" si="62">+G14-G26</f>
        <v>-0.96629999999999683</v>
      </c>
      <c r="H32" s="362">
        <f t="shared" si="62"/>
        <v>2.9420999999999964</v>
      </c>
      <c r="I32" s="362">
        <f t="shared" si="62"/>
        <v>6.5172000000000025</v>
      </c>
      <c r="J32" s="362">
        <f t="shared" si="62"/>
        <v>0</v>
      </c>
      <c r="K32" s="362">
        <f t="shared" si="62"/>
        <v>0</v>
      </c>
      <c r="L32" s="362">
        <f t="shared" si="62"/>
        <v>0</v>
      </c>
      <c r="M32" s="362">
        <f>+M14-M26</f>
        <v>0</v>
      </c>
      <c r="N32" s="1490">
        <f t="shared" si="62"/>
        <v>0</v>
      </c>
      <c r="O32" s="362">
        <f t="shared" si="62"/>
        <v>0</v>
      </c>
      <c r="P32" s="362">
        <f>+P14-P26</f>
        <v>0</v>
      </c>
      <c r="Q32" s="867"/>
      <c r="R32" s="867"/>
      <c r="S32" s="867"/>
      <c r="U32" s="359"/>
      <c r="V32" s="388"/>
      <c r="W32" s="388"/>
      <c r="X32" s="345"/>
      <c r="Y32" s="786"/>
      <c r="Z32" s="786"/>
      <c r="AA32" s="786"/>
      <c r="AB32" s="786"/>
      <c r="AC32" s="786"/>
      <c r="AD32" s="786"/>
      <c r="AE32" s="786"/>
      <c r="AF32" s="786"/>
      <c r="AG32" s="786"/>
      <c r="AH32" s="786"/>
      <c r="AI32" s="786"/>
      <c r="AJ32" s="1221"/>
      <c r="AK32" s="1221"/>
      <c r="AL32" s="1221"/>
      <c r="AM32" s="1221"/>
      <c r="AN32" s="1221"/>
      <c r="AO32" s="1221"/>
      <c r="AP32" s="1221"/>
      <c r="AQ32" s="1221"/>
      <c r="AR32" s="1221"/>
      <c r="AS32" s="1221"/>
      <c r="AT32" s="1221"/>
      <c r="AU32" s="1221"/>
      <c r="AV32" s="1221"/>
      <c r="AW32" s="1221"/>
      <c r="AX32" s="1221"/>
      <c r="AZ32" s="359"/>
      <c r="BA32" s="330"/>
      <c r="BB32" s="388"/>
      <c r="BC32" s="388"/>
      <c r="BD32" s="388"/>
      <c r="BE32" s="388"/>
      <c r="BF32" s="388"/>
      <c r="BG32" s="388"/>
      <c r="BH32" s="388"/>
      <c r="BI32" s="388"/>
      <c r="BJ32" s="388"/>
      <c r="BK32" s="388"/>
      <c r="BL32" s="388"/>
      <c r="BM32" s="388"/>
      <c r="BN32" s="388"/>
      <c r="BO32" s="388"/>
      <c r="BP32" s="388"/>
      <c r="BQ32" s="388"/>
      <c r="BR32" s="388"/>
      <c r="BS32" s="388"/>
      <c r="BT32" s="388"/>
      <c r="BU32" s="388"/>
      <c r="BV32" s="388"/>
      <c r="BW32" s="388"/>
      <c r="BX32" s="388"/>
      <c r="BY32" s="388"/>
      <c r="BZ32" s="388"/>
      <c r="CA32" s="388"/>
      <c r="CB32" s="388"/>
      <c r="CC32" s="388"/>
    </row>
    <row r="33" spans="2:81" collapsed="1">
      <c r="B33" s="332" t="str">
        <f>B27</f>
        <v>Others</v>
      </c>
      <c r="C33" s="42"/>
      <c r="D33" s="332" t="str">
        <f>D27</f>
        <v>其他</v>
      </c>
      <c r="E33" s="41"/>
      <c r="F33" s="362"/>
      <c r="G33" s="362">
        <f>+G16-G27</f>
        <v>12.360142690000306</v>
      </c>
      <c r="H33" s="362">
        <f>+H16-H27</f>
        <v>14.04294044999958</v>
      </c>
      <c r="I33" s="362">
        <f>+I16-I27</f>
        <v>22.88059401000071</v>
      </c>
      <c r="J33" s="362">
        <f>J262</f>
        <v>9.7825240099999995</v>
      </c>
      <c r="K33" s="362">
        <f>K262</f>
        <v>9.840025649999534</v>
      </c>
      <c r="L33" s="362">
        <f>L262</f>
        <v>8.6169128010002609</v>
      </c>
      <c r="M33" s="362">
        <f>M262</f>
        <v>11.961380648000249</v>
      </c>
      <c r="N33" s="1490">
        <f>+N16-N27</f>
        <v>16.603931165433931</v>
      </c>
      <c r="O33" s="362">
        <f>+O16-O27</f>
        <v>23.048386993064991</v>
      </c>
      <c r="P33" s="362">
        <f>+P16-P27</f>
        <v>31.994118602948578</v>
      </c>
      <c r="Q33" s="867"/>
      <c r="R33" s="867"/>
      <c r="S33" s="867"/>
      <c r="U33" s="359"/>
      <c r="V33" s="388"/>
      <c r="W33" s="388"/>
      <c r="X33" s="345"/>
      <c r="Y33" s="786"/>
      <c r="Z33" s="786"/>
      <c r="AA33" s="786"/>
      <c r="AB33" s="786"/>
      <c r="AC33" s="786"/>
      <c r="AD33" s="786"/>
      <c r="AE33" s="786"/>
      <c r="AF33" s="786"/>
      <c r="AG33" s="786"/>
      <c r="AH33" s="786"/>
      <c r="AI33" s="786"/>
      <c r="AJ33" s="1221"/>
      <c r="AK33" s="1221"/>
      <c r="AL33" s="1221"/>
      <c r="AM33" s="1221"/>
      <c r="AN33" s="1221"/>
      <c r="AO33" s="1221"/>
      <c r="AP33" s="1221"/>
      <c r="AQ33" s="1221"/>
      <c r="AR33" s="1221"/>
      <c r="AS33" s="1221"/>
      <c r="AT33" s="1221"/>
      <c r="AU33" s="1221"/>
      <c r="AV33" s="1221"/>
      <c r="AW33" s="1221"/>
      <c r="AX33" s="1221"/>
      <c r="AZ33" s="359"/>
      <c r="BA33" s="330"/>
      <c r="BB33" s="388"/>
      <c r="BC33" s="388"/>
      <c r="BD33" s="388"/>
      <c r="BE33" s="388"/>
      <c r="BF33" s="388"/>
      <c r="BG33" s="388"/>
      <c r="BH33" s="388"/>
      <c r="BI33" s="388"/>
      <c r="BJ33" s="388"/>
      <c r="BK33" s="388"/>
      <c r="BL33" s="388"/>
      <c r="BM33" s="388"/>
      <c r="BN33" s="388"/>
      <c r="BO33" s="388"/>
      <c r="BP33" s="388"/>
      <c r="BQ33" s="388"/>
      <c r="BR33" s="388"/>
      <c r="BS33" s="388"/>
      <c r="BT33" s="388"/>
      <c r="BU33" s="388"/>
      <c r="BV33" s="388"/>
      <c r="BW33" s="388"/>
      <c r="BX33" s="388"/>
      <c r="BY33" s="388"/>
      <c r="BZ33" s="388"/>
      <c r="CA33" s="388"/>
      <c r="CB33" s="388"/>
      <c r="CC33" s="388"/>
    </row>
    <row r="34" spans="2:81">
      <c r="B34" s="332"/>
      <c r="C34" s="42"/>
      <c r="D34" s="332"/>
      <c r="E34" s="41"/>
      <c r="F34" s="362"/>
      <c r="G34" s="362"/>
      <c r="H34" s="362"/>
      <c r="I34" s="362"/>
      <c r="J34" s="362"/>
      <c r="K34" s="362"/>
      <c r="L34" s="362"/>
      <c r="M34" s="362"/>
      <c r="N34" s="1490"/>
      <c r="O34" s="362"/>
      <c r="P34" s="362"/>
      <c r="Q34" s="867"/>
      <c r="R34" s="867"/>
      <c r="S34" s="867"/>
      <c r="U34" s="359"/>
      <c r="V34" s="388"/>
      <c r="W34" s="388"/>
      <c r="X34" s="345"/>
      <c r="Y34" s="786"/>
      <c r="Z34" s="786"/>
      <c r="AA34" s="786"/>
      <c r="AB34" s="786"/>
      <c r="AC34" s="786"/>
      <c r="AD34" s="786"/>
      <c r="AE34" s="786"/>
      <c r="AF34" s="786"/>
      <c r="AG34" s="786"/>
      <c r="AH34" s="786"/>
      <c r="AI34" s="786"/>
      <c r="AJ34" s="1221"/>
      <c r="AK34" s="1221"/>
      <c r="AL34" s="1221"/>
      <c r="AM34" s="1221"/>
      <c r="AN34" s="1221"/>
      <c r="AO34" s="1221"/>
      <c r="AP34" s="1221"/>
      <c r="AQ34" s="1221"/>
      <c r="AR34" s="1221"/>
      <c r="AS34" s="1221"/>
      <c r="AT34" s="1221"/>
      <c r="AU34" s="1221"/>
      <c r="AV34" s="1221"/>
      <c r="AW34" s="1221"/>
      <c r="AX34" s="1221"/>
      <c r="AZ34" s="359"/>
      <c r="BA34" s="330"/>
      <c r="BB34" s="388"/>
      <c r="BC34" s="388"/>
      <c r="BD34" s="388"/>
      <c r="BE34" s="388"/>
      <c r="BF34" s="388"/>
      <c r="BG34" s="388"/>
      <c r="BH34" s="388"/>
      <c r="BI34" s="388"/>
      <c r="BJ34" s="388"/>
      <c r="BK34" s="388"/>
      <c r="BL34" s="388"/>
      <c r="BM34" s="388"/>
      <c r="BN34" s="388"/>
      <c r="BO34" s="388"/>
      <c r="BP34" s="388"/>
      <c r="BQ34" s="388"/>
      <c r="BR34" s="388"/>
      <c r="BS34" s="388"/>
      <c r="BT34" s="388"/>
      <c r="BU34" s="388"/>
      <c r="BV34" s="388"/>
      <c r="BW34" s="388"/>
      <c r="BX34" s="388"/>
      <c r="BY34" s="388"/>
      <c r="BZ34" s="388"/>
      <c r="CA34" s="388"/>
      <c r="CB34" s="388"/>
      <c r="CC34" s="388"/>
    </row>
    <row r="35" spans="2:81" s="55" customFormat="1" ht="10.5">
      <c r="B35" s="56" t="s">
        <v>98</v>
      </c>
      <c r="C35" s="56"/>
      <c r="D35" s="58" t="s">
        <v>97</v>
      </c>
      <c r="E35" s="59"/>
      <c r="F35" s="59"/>
      <c r="G35" s="59">
        <f t="shared" ref="G35:O35" si="63">G29/F29-1</f>
        <v>2.4567675259580701E-2</v>
      </c>
      <c r="H35" s="59">
        <f t="shared" si="63"/>
        <v>0.4087357683911601</v>
      </c>
      <c r="I35" s="59">
        <f t="shared" si="63"/>
        <v>0.17470476984796113</v>
      </c>
      <c r="J35" s="59">
        <f t="shared" si="63"/>
        <v>0.33999127120638239</v>
      </c>
      <c r="K35" s="59">
        <f>K29/J29-1</f>
        <v>0.16267080187934657</v>
      </c>
      <c r="L35" s="59">
        <f>L29/K29-1</f>
        <v>0.34756577958461898</v>
      </c>
      <c r="M35" s="59">
        <f>M29/L29-1</f>
        <v>0.46301495170265716</v>
      </c>
      <c r="N35" s="1497">
        <f t="shared" si="63"/>
        <v>0.3283253672268458</v>
      </c>
      <c r="O35" s="59">
        <f t="shared" si="63"/>
        <v>0.23640366401657587</v>
      </c>
      <c r="P35" s="59">
        <f>P29/O29-1</f>
        <v>0.18128072528025885</v>
      </c>
      <c r="Q35" s="1217"/>
      <c r="R35" s="1217"/>
      <c r="S35" s="1217"/>
      <c r="T35" s="947"/>
      <c r="U35" s="58" t="str">
        <f>D35</f>
        <v>毛利增速</v>
      </c>
      <c r="V35" s="59"/>
      <c r="W35" s="59"/>
      <c r="X35" s="59">
        <f t="shared" ref="X35:AE35" si="64">X29/V29-1</f>
        <v>0.59515773253121473</v>
      </c>
      <c r="Y35" s="59">
        <f t="shared" si="64"/>
        <v>8.8558486786324497E-2</v>
      </c>
      <c r="Z35" s="59">
        <f t="shared" si="64"/>
        <v>1.1941658501359864E-3</v>
      </c>
      <c r="AA35" s="59">
        <f t="shared" si="64"/>
        <v>0.39583392980056886</v>
      </c>
      <c r="AB35" s="59">
        <f t="shared" si="64"/>
        <v>0.28503050450789513</v>
      </c>
      <c r="AC35" s="59">
        <f t="shared" si="64"/>
        <v>0.41233367769888662</v>
      </c>
      <c r="AD35" s="59">
        <f t="shared" si="64"/>
        <v>0.49200481494236414</v>
      </c>
      <c r="AE35" s="59">
        <f t="shared" si="64"/>
        <v>0.43569644051247769</v>
      </c>
      <c r="AF35" s="59">
        <f>AF29/AD29-1</f>
        <v>0.38036538749384685</v>
      </c>
      <c r="AG35" s="59">
        <f>AG29/AE29-1</f>
        <v>0.27736225768218237</v>
      </c>
      <c r="AH35" s="59">
        <f>AH29/AF29-1</f>
        <v>0.25507504880309728</v>
      </c>
      <c r="AI35" s="59">
        <f>AI29/AG29-1</f>
        <v>0.21664420855471378</v>
      </c>
      <c r="AJ35" s="1217"/>
      <c r="AK35" s="1217"/>
      <c r="AL35" s="1217"/>
      <c r="AM35" s="1217"/>
      <c r="AN35" s="1217"/>
      <c r="AO35" s="1217"/>
      <c r="AP35" s="1217"/>
      <c r="AQ35" s="1217"/>
      <c r="AR35" s="1217"/>
      <c r="AS35" s="1217"/>
      <c r="AT35" s="1217"/>
      <c r="AU35" s="1217"/>
      <c r="AV35" s="1217"/>
      <c r="AW35" s="1217"/>
      <c r="AX35" s="1217"/>
      <c r="AY35" s="947"/>
      <c r="AZ35" s="58" t="str">
        <f>U35</f>
        <v>毛利增速</v>
      </c>
      <c r="BA35" s="58"/>
      <c r="BB35" s="59"/>
      <c r="BC35" s="59"/>
      <c r="BD35" s="59"/>
      <c r="BE35" s="59"/>
      <c r="BF35" s="59">
        <f t="shared" ref="BF35:BM35" si="65">BF29/BB29-1</f>
        <v>0.84817152686570574</v>
      </c>
      <c r="BG35" s="59">
        <f t="shared" si="65"/>
        <v>0.42648286887351228</v>
      </c>
      <c r="BH35" s="59">
        <f t="shared" si="65"/>
        <v>0.16230931890658606</v>
      </c>
      <c r="BI35" s="59">
        <f t="shared" si="65"/>
        <v>-4.3005390650135755E-2</v>
      </c>
      <c r="BJ35" s="59">
        <f t="shared" si="65"/>
        <v>2.2132967696156358E-2</v>
      </c>
      <c r="BK35" s="59">
        <f t="shared" si="65"/>
        <v>-1.689146699032662E-2</v>
      </c>
      <c r="BL35" s="59">
        <f t="shared" si="65"/>
        <v>8.7230441322550867E-2</v>
      </c>
      <c r="BM35" s="59">
        <f t="shared" si="65"/>
        <v>1.0644592195904274</v>
      </c>
      <c r="BN35" s="59">
        <f t="shared" ref="BN35:BX35" si="66">BN29/BJ29-1</f>
        <v>0.25117108602270055</v>
      </c>
      <c r="BO35" s="59">
        <f t="shared" si="66"/>
        <v>0.31543706583009623</v>
      </c>
      <c r="BP35" s="59">
        <f t="shared" si="66"/>
        <v>0.40096809389079779</v>
      </c>
      <c r="BQ35" s="59">
        <f t="shared" si="66"/>
        <v>0.42530215577191433</v>
      </c>
      <c r="BR35" s="59">
        <f t="shared" si="66"/>
        <v>0.37365851464976152</v>
      </c>
      <c r="BS35" s="59">
        <f t="shared" si="66"/>
        <v>0.59309037545889676</v>
      </c>
      <c r="BT35" s="59">
        <f t="shared" si="66"/>
        <v>0.62533001686186518</v>
      </c>
      <c r="BU35" s="59">
        <f t="shared" si="66"/>
        <v>0.22301293907434916</v>
      </c>
      <c r="BV35" s="59">
        <f t="shared" si="66"/>
        <v>0.44753305887189221</v>
      </c>
      <c r="BW35" s="59">
        <f t="shared" si="66"/>
        <v>0.33089639122250492</v>
      </c>
      <c r="BX35" s="59">
        <f t="shared" si="66"/>
        <v>0.28659920772460845</v>
      </c>
      <c r="BY35" s="59">
        <f t="shared" ref="BY35" si="67">BY29/BU29-1</f>
        <v>0.26359467589789598</v>
      </c>
      <c r="BZ35" s="59">
        <f t="shared" ref="BZ35" si="68">BZ29/BV29-1</f>
        <v>0.27235233745507004</v>
      </c>
      <c r="CA35" s="59">
        <f t="shared" ref="CA35" si="69">CA29/BW29-1</f>
        <v>0.24123515877958579</v>
      </c>
      <c r="CB35" s="59">
        <f t="shared" ref="CB35" si="70">CB29/BX29-1</f>
        <v>0.26515280341239711</v>
      </c>
      <c r="CC35" s="59">
        <f t="shared" ref="CC35" si="71">CC29/BY29-1</f>
        <v>0.14302633695852807</v>
      </c>
    </row>
    <row r="36" spans="2:81" s="355" customFormat="1" ht="13.5" customHeight="1">
      <c r="B36" s="372" t="str">
        <f>B30</f>
        <v>Energy drinks</v>
      </c>
      <c r="C36" s="358"/>
      <c r="D36" s="372" t="str">
        <f>D30</f>
        <v>东鹏特饮</v>
      </c>
      <c r="E36" s="356"/>
      <c r="F36" s="49" t="str">
        <f>IF(ISNUMBER(F30/#REF!),F30/#REF!-1,"")</f>
        <v/>
      </c>
      <c r="G36" s="49" t="str">
        <f t="shared" ref="G36:O36" si="72">IF(ISNUMBER(G30/F30),G30/F30-1,"")</f>
        <v/>
      </c>
      <c r="H36" s="49">
        <f t="shared" si="72"/>
        <v>0.41409490514300451</v>
      </c>
      <c r="I36" s="49">
        <f t="shared" si="72"/>
        <v>0.15472837495938907</v>
      </c>
      <c r="J36" s="49">
        <f t="shared" si="72"/>
        <v>0.34103595955759802</v>
      </c>
      <c r="K36" s="49">
        <f t="shared" ref="K36:M39" si="73">IF(ISNUMBER(K30/J30),K30/J30-1,"")</f>
        <v>0.16375823481011587</v>
      </c>
      <c r="L36" s="49">
        <f t="shared" si="73"/>
        <v>0.32501304419391497</v>
      </c>
      <c r="M36" s="49">
        <f t="shared" si="73"/>
        <v>0.36896111094522088</v>
      </c>
      <c r="N36" s="1498">
        <f t="shared" si="72"/>
        <v>0.2639456160173721</v>
      </c>
      <c r="O36" s="49">
        <f t="shared" si="72"/>
        <v>0.19825525575991487</v>
      </c>
      <c r="P36" s="49">
        <f t="shared" ref="P36:P39" si="74">IF(ISNUMBER(P30/O30),P30/O30-1,"")</f>
        <v>0.14000000000000012</v>
      </c>
      <c r="Q36" s="1218"/>
      <c r="R36" s="1218"/>
      <c r="S36" s="1218"/>
      <c r="T36" s="949"/>
      <c r="U36" s="357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1218"/>
      <c r="AK36" s="1218"/>
      <c r="AL36" s="1218"/>
      <c r="AM36" s="1218"/>
      <c r="AN36" s="1218"/>
      <c r="AO36" s="1218"/>
      <c r="AP36" s="1218"/>
      <c r="AQ36" s="1218"/>
      <c r="AR36" s="1218"/>
      <c r="AS36" s="1218"/>
      <c r="AT36" s="1218"/>
      <c r="AU36" s="1218"/>
      <c r="AV36" s="1218"/>
      <c r="AW36" s="1218"/>
      <c r="AX36" s="1218"/>
      <c r="AY36" s="949"/>
      <c r="AZ36" s="357"/>
      <c r="BA36" s="372"/>
      <c r="BB36" s="388"/>
      <c r="BC36" s="388"/>
      <c r="BD36" s="388"/>
      <c r="BE36" s="388"/>
      <c r="BF36" s="388"/>
      <c r="BG36" s="388"/>
      <c r="BH36" s="388"/>
      <c r="BI36" s="388"/>
      <c r="BJ36" s="388"/>
      <c r="BK36" s="388"/>
      <c r="BL36" s="388"/>
      <c r="BM36" s="388"/>
      <c r="BN36" s="388"/>
      <c r="BO36" s="388"/>
      <c r="BP36" s="388"/>
      <c r="BQ36" s="388"/>
      <c r="BR36" s="388"/>
      <c r="BS36" s="388"/>
      <c r="BT36" s="388"/>
      <c r="BU36" s="388"/>
      <c r="BV36" s="388"/>
      <c r="BW36" s="388"/>
      <c r="BX36" s="388"/>
      <c r="BY36" s="388"/>
      <c r="BZ36" s="388"/>
      <c r="CA36" s="388"/>
      <c r="CB36" s="388"/>
      <c r="CC36" s="388"/>
    </row>
    <row r="37" spans="2:81" s="38" customFormat="1">
      <c r="B37" s="372" t="str">
        <f>B31</f>
        <v>Other beverage</v>
      </c>
      <c r="C37" s="373"/>
      <c r="D37" s="372" t="str">
        <f>D31</f>
        <v>其他饮料</v>
      </c>
      <c r="E37" s="371"/>
      <c r="F37" s="49" t="str">
        <f>IF(ISNUMBER(F31/#REF!),F31/#REF!-1,"")</f>
        <v/>
      </c>
      <c r="G37" s="49" t="str">
        <f t="shared" ref="G37:O37" si="75">IF(ISNUMBER(G31/F31),G31/F31-1,"")</f>
        <v/>
      </c>
      <c r="H37" s="49">
        <f t="shared" si="75"/>
        <v>1.576845733984491</v>
      </c>
      <c r="I37" s="49">
        <f t="shared" si="75"/>
        <v>-3.4828316610925327</v>
      </c>
      <c r="J37" s="49">
        <f t="shared" si="75"/>
        <v>1.1711477675003357</v>
      </c>
      <c r="K37" s="49">
        <f t="shared" si="73"/>
        <v>0.1260670569446507</v>
      </c>
      <c r="L37" s="49">
        <f t="shared" si="73"/>
        <v>1.8972880719857641</v>
      </c>
      <c r="M37" s="49">
        <f t="shared" si="73"/>
        <v>3.2601609004811332</v>
      </c>
      <c r="N37" s="1498">
        <f t="shared" si="75"/>
        <v>0.94161321869722481</v>
      </c>
      <c r="O37" s="49">
        <f t="shared" si="75"/>
        <v>0.47145225944038383</v>
      </c>
      <c r="P37" s="49">
        <f t="shared" si="74"/>
        <v>0.3876236242860609</v>
      </c>
      <c r="Q37" s="1218"/>
      <c r="R37" s="1218"/>
      <c r="S37" s="1218"/>
      <c r="T37" s="945"/>
      <c r="U37" s="357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1218"/>
      <c r="AK37" s="1218"/>
      <c r="AL37" s="1218"/>
      <c r="AM37" s="1218"/>
      <c r="AN37" s="1218"/>
      <c r="AO37" s="1218"/>
      <c r="AP37" s="1218"/>
      <c r="AQ37" s="1218"/>
      <c r="AR37" s="1218"/>
      <c r="AS37" s="1218"/>
      <c r="AT37" s="1218"/>
      <c r="AU37" s="1218"/>
      <c r="AV37" s="1218"/>
      <c r="AW37" s="1218"/>
      <c r="AX37" s="1218"/>
      <c r="AY37" s="945"/>
      <c r="AZ37" s="353"/>
      <c r="BA37" s="370"/>
      <c r="BB37" s="388"/>
      <c r="BC37" s="388"/>
      <c r="BD37" s="388"/>
      <c r="BE37" s="388"/>
      <c r="BF37" s="388"/>
      <c r="BG37" s="388"/>
      <c r="BH37" s="388"/>
      <c r="BI37" s="388"/>
      <c r="BJ37" s="388"/>
      <c r="BK37" s="388"/>
      <c r="BL37" s="388"/>
      <c r="BM37" s="388"/>
      <c r="BN37" s="388"/>
      <c r="BO37" s="388"/>
      <c r="BP37" s="388"/>
      <c r="BQ37" s="388"/>
      <c r="BR37" s="388"/>
      <c r="BS37" s="388"/>
      <c r="BT37" s="388"/>
      <c r="BU37" s="388"/>
      <c r="BV37" s="388"/>
      <c r="BW37" s="388"/>
      <c r="BX37" s="388"/>
      <c r="BY37" s="388"/>
      <c r="BZ37" s="388"/>
      <c r="CA37" s="388"/>
      <c r="CB37" s="388"/>
      <c r="CC37" s="388"/>
    </row>
    <row r="38" spans="2:81" s="38" customFormat="1" hidden="1" outlineLevel="1">
      <c r="B38" s="372" t="str">
        <f>B32</f>
        <v>Water</v>
      </c>
      <c r="C38" s="373"/>
      <c r="D38" s="372" t="str">
        <f>D32</f>
        <v>包装饮用水</v>
      </c>
      <c r="E38" s="371"/>
      <c r="F38" s="49" t="str">
        <f>IF(ISNUMBER(F32/#REF!),F32/#REF!-1,"")</f>
        <v/>
      </c>
      <c r="G38" s="49" t="str">
        <f>IF(ISNUMBER(G32/F32),G32/F32-1,"")</f>
        <v/>
      </c>
      <c r="H38" s="49">
        <f>IF(ISNUMBER(H32/G32),H32/G32-1,"")</f>
        <v>-4.0447066128531572</v>
      </c>
      <c r="I38" s="49">
        <f>IF(ISNUMBER(I32/H32),I32/H32-1,"")</f>
        <v>1.2151524421331739</v>
      </c>
      <c r="J38" s="49">
        <f>IF(ISNUMBER(J32/I32),J32/I32-1,"")</f>
        <v>-1</v>
      </c>
      <c r="K38" s="49" t="str">
        <f t="shared" si="73"/>
        <v/>
      </c>
      <c r="L38" s="49" t="str">
        <f t="shared" si="73"/>
        <v/>
      </c>
      <c r="M38" s="49" t="str">
        <f t="shared" si="73"/>
        <v/>
      </c>
      <c r="N38" s="1498" t="str">
        <f>IF(ISNUMBER(N32/M32),N32/M32-1,"")</f>
        <v/>
      </c>
      <c r="O38" s="49" t="str">
        <f>IF(ISNUMBER(O32/N32),O32/N32-1,"")</f>
        <v/>
      </c>
      <c r="P38" s="49" t="str">
        <f t="shared" si="74"/>
        <v/>
      </c>
      <c r="Q38" s="1218"/>
      <c r="R38" s="1218"/>
      <c r="S38" s="1218"/>
      <c r="T38" s="945"/>
      <c r="U38" s="357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1218"/>
      <c r="AK38" s="1218"/>
      <c r="AL38" s="1218"/>
      <c r="AM38" s="1218"/>
      <c r="AN38" s="1218"/>
      <c r="AO38" s="1218"/>
      <c r="AP38" s="1218"/>
      <c r="AQ38" s="1218"/>
      <c r="AR38" s="1218"/>
      <c r="AS38" s="1218"/>
      <c r="AT38" s="1218"/>
      <c r="AU38" s="1218"/>
      <c r="AV38" s="1218"/>
      <c r="AW38" s="1218"/>
      <c r="AX38" s="1218"/>
      <c r="AY38" s="945"/>
      <c r="AZ38" s="353"/>
      <c r="BA38" s="370"/>
      <c r="BB38" s="388"/>
      <c r="BC38" s="388"/>
      <c r="BD38" s="388"/>
      <c r="BE38" s="388"/>
      <c r="BF38" s="388"/>
      <c r="BG38" s="388"/>
      <c r="BH38" s="388"/>
      <c r="BI38" s="388"/>
      <c r="BJ38" s="388"/>
      <c r="BK38" s="388"/>
      <c r="BL38" s="388"/>
      <c r="BM38" s="388"/>
      <c r="BN38" s="388"/>
      <c r="BO38" s="388"/>
      <c r="BP38" s="388"/>
      <c r="BQ38" s="388"/>
      <c r="BR38" s="388"/>
      <c r="BS38" s="388"/>
      <c r="BT38" s="388"/>
      <c r="BU38" s="388"/>
      <c r="BV38" s="388"/>
      <c r="BW38" s="388"/>
      <c r="BX38" s="388"/>
      <c r="BY38" s="388"/>
      <c r="BZ38" s="388"/>
      <c r="CA38" s="388"/>
      <c r="CB38" s="388"/>
      <c r="CC38" s="388"/>
    </row>
    <row r="39" spans="2:81" s="38" customFormat="1" collapsed="1">
      <c r="B39" s="372" t="str">
        <f>B33</f>
        <v>Others</v>
      </c>
      <c r="C39" s="373"/>
      <c r="D39" s="372" t="str">
        <f>D33</f>
        <v>其他</v>
      </c>
      <c r="E39" s="371"/>
      <c r="F39" s="49"/>
      <c r="G39" s="49"/>
      <c r="H39" s="49">
        <f>IF(ISNUMBER(H33/G33),H33/G33-1,"")</f>
        <v>0.13614711433393922</v>
      </c>
      <c r="I39" s="49">
        <f>IF(ISNUMBER(I33/H33),I33/H33-1,"")</f>
        <v>0.62933070117814194</v>
      </c>
      <c r="J39" s="49">
        <f>IF(ISNUMBER(J33/I33),J33/I33-1,"")</f>
        <v>-0.57245323238879953</v>
      </c>
      <c r="K39" s="49">
        <f t="shared" si="73"/>
        <v>5.8779963065518359E-3</v>
      </c>
      <c r="L39" s="49">
        <f t="shared" si="73"/>
        <v>-0.12429976226731998</v>
      </c>
      <c r="M39" s="49">
        <f t="shared" si="73"/>
        <v>0.38812831512136903</v>
      </c>
      <c r="N39" s="1498">
        <f>IF(ISNUMBER(N33/M33),N33/M33-1,"")</f>
        <v>0.38812831512136858</v>
      </c>
      <c r="O39" s="49">
        <f>IF(ISNUMBER(O33/N33),O33/N33-1,"")</f>
        <v>0.38812831512136903</v>
      </c>
      <c r="P39" s="49">
        <f t="shared" si="74"/>
        <v>0.38812831512136881</v>
      </c>
      <c r="Q39" s="1218"/>
      <c r="R39" s="1218"/>
      <c r="S39" s="1218"/>
      <c r="T39" s="945"/>
      <c r="U39" s="357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1218"/>
      <c r="AK39" s="1218"/>
      <c r="AL39" s="1218"/>
      <c r="AM39" s="1218"/>
      <c r="AN39" s="1218"/>
      <c r="AO39" s="1218"/>
      <c r="AP39" s="1218"/>
      <c r="AQ39" s="1218"/>
      <c r="AR39" s="1218"/>
      <c r="AS39" s="1218"/>
      <c r="AT39" s="1218"/>
      <c r="AU39" s="1218"/>
      <c r="AV39" s="1218"/>
      <c r="AW39" s="1218"/>
      <c r="AX39" s="1218"/>
      <c r="AY39" s="945"/>
      <c r="AZ39" s="353"/>
      <c r="BA39" s="370"/>
      <c r="BB39" s="388"/>
      <c r="BC39" s="388"/>
      <c r="BD39" s="388"/>
      <c r="BE39" s="388"/>
      <c r="BF39" s="388"/>
      <c r="BG39" s="388"/>
      <c r="BH39" s="388"/>
      <c r="BI39" s="388"/>
      <c r="BJ39" s="388"/>
      <c r="BK39" s="388"/>
      <c r="BL39" s="388"/>
      <c r="BM39" s="388"/>
      <c r="BN39" s="388"/>
      <c r="BO39" s="388"/>
      <c r="BP39" s="388"/>
      <c r="BQ39" s="388"/>
      <c r="BR39" s="388"/>
      <c r="BS39" s="388"/>
      <c r="BT39" s="388"/>
      <c r="BU39" s="388"/>
      <c r="BV39" s="388"/>
      <c r="BW39" s="388"/>
      <c r="BX39" s="388"/>
      <c r="BY39" s="388"/>
      <c r="BZ39" s="388"/>
      <c r="CA39" s="388"/>
      <c r="CB39" s="388"/>
      <c r="CC39" s="388"/>
    </row>
    <row r="40" spans="2:81" s="55" customFormat="1" ht="10.5">
      <c r="B40" s="56" t="s">
        <v>10</v>
      </c>
      <c r="C40" s="56"/>
      <c r="D40" s="58" t="s">
        <v>9</v>
      </c>
      <c r="E40" s="57"/>
      <c r="F40" s="57">
        <f t="shared" ref="F40:P40" si="76">F29/F9</f>
        <v>0.47922116812684518</v>
      </c>
      <c r="G40" s="57">
        <f t="shared" si="76"/>
        <v>0.45967980049773188</v>
      </c>
      <c r="H40" s="57">
        <f t="shared" si="76"/>
        <v>0.46736424775522128</v>
      </c>
      <c r="I40" s="57">
        <f t="shared" si="76"/>
        <v>0.46599856658577676</v>
      </c>
      <c r="J40" s="57">
        <f t="shared" si="76"/>
        <v>0.44372835410975392</v>
      </c>
      <c r="K40" s="57">
        <f t="shared" si="76"/>
        <v>0.42325260991401664</v>
      </c>
      <c r="L40" s="57">
        <f t="shared" si="76"/>
        <v>0.4307226330611314</v>
      </c>
      <c r="M40" s="57">
        <f t="shared" si="76"/>
        <v>0.44809376983705279</v>
      </c>
      <c r="N40" s="2096">
        <f t="shared" si="76"/>
        <v>0.44910211677057787</v>
      </c>
      <c r="O40" s="57">
        <f t="shared" si="76"/>
        <v>0.45884251406438797</v>
      </c>
      <c r="P40" s="57">
        <f t="shared" si="76"/>
        <v>0.46217984805732437</v>
      </c>
      <c r="Q40" s="1222"/>
      <c r="R40" s="1222"/>
      <c r="S40" s="1222"/>
      <c r="T40" s="947"/>
      <c r="U40" s="58" t="str">
        <f>D40</f>
        <v>毛利率</v>
      </c>
      <c r="V40" s="57">
        <f t="shared" ref="V40:AG40" si="77">V29/V9</f>
        <v>0.46439766026836521</v>
      </c>
      <c r="W40" s="57">
        <f t="shared" si="77"/>
        <v>0.46758688118342262</v>
      </c>
      <c r="X40" s="57">
        <f t="shared" si="77"/>
        <v>0.49679986601003817</v>
      </c>
      <c r="Y40" s="57">
        <f t="shared" si="77"/>
        <v>0.38442943197935975</v>
      </c>
      <c r="Z40" s="57">
        <f t="shared" si="77"/>
        <v>0.42680371640561821</v>
      </c>
      <c r="AA40" s="57">
        <f t="shared" si="77"/>
        <v>0.41963648451260027</v>
      </c>
      <c r="AB40" s="57">
        <f t="shared" si="77"/>
        <v>0.43104292663108518</v>
      </c>
      <c r="AC40" s="57">
        <f t="shared" si="77"/>
        <v>0.43042124069143128</v>
      </c>
      <c r="AD40" s="57">
        <f t="shared" si="77"/>
        <v>0.4460073025532002</v>
      </c>
      <c r="AE40" s="57">
        <f t="shared" si="77"/>
        <v>0.45015606668996938</v>
      </c>
      <c r="AF40" s="57">
        <f t="shared" si="77"/>
        <v>0.45146517962389099</v>
      </c>
      <c r="AG40" s="57">
        <f t="shared" si="77"/>
        <v>0.44662814044638832</v>
      </c>
      <c r="AH40" s="57">
        <f t="shared" ref="AH40:AI40" si="78">AH29/AH9</f>
        <v>0.46273216224803798</v>
      </c>
      <c r="AI40" s="57">
        <f t="shared" si="78"/>
        <v>0.45467015545251238</v>
      </c>
      <c r="AJ40" s="1222"/>
      <c r="AK40" s="1222"/>
      <c r="AL40" s="1222"/>
      <c r="AM40" s="1222"/>
      <c r="AN40" s="1222"/>
      <c r="AO40" s="1222"/>
      <c r="AP40" s="1222"/>
      <c r="AQ40" s="1222"/>
      <c r="AR40" s="1222"/>
      <c r="AS40" s="1222"/>
      <c r="AT40" s="1222"/>
      <c r="AU40" s="1222"/>
      <c r="AV40" s="1222"/>
      <c r="AW40" s="1222"/>
      <c r="AX40" s="1222"/>
      <c r="AY40" s="947"/>
      <c r="AZ40" s="58" t="str">
        <f>U40</f>
        <v>毛利率</v>
      </c>
      <c r="BA40" s="58"/>
      <c r="BB40" s="416">
        <f t="shared" ref="BB40:BH40" si="79">BB29/BB9</f>
        <v>0.49155110523547735</v>
      </c>
      <c r="BC40" s="416">
        <f t="shared" si="79"/>
        <v>0.4479028892254156</v>
      </c>
      <c r="BD40" s="416">
        <f t="shared" si="79"/>
        <v>0.47377159274885533</v>
      </c>
      <c r="BE40" s="416">
        <f t="shared" si="79"/>
        <v>0.45694582139495799</v>
      </c>
      <c r="BF40" s="416">
        <f t="shared" si="79"/>
        <v>0.49542370089824928</v>
      </c>
      <c r="BG40" s="416">
        <f t="shared" si="79"/>
        <v>0.497994680141778</v>
      </c>
      <c r="BH40" s="416">
        <f t="shared" si="79"/>
        <v>0.46158141189133922</v>
      </c>
      <c r="BI40" s="781">
        <f>+BI29/BI9</f>
        <v>0.28222387954727784</v>
      </c>
      <c r="BJ40" s="416">
        <f t="shared" ref="BJ40:BX40" si="80">BJ29/BJ9</f>
        <v>0.43186913837092417</v>
      </c>
      <c r="BK40" s="416">
        <f t="shared" si="80"/>
        <v>0.42235505888449593</v>
      </c>
      <c r="BL40" s="416">
        <f t="shared" si="80"/>
        <v>0.40051478341332492</v>
      </c>
      <c r="BM40" s="416">
        <f t="shared" si="80"/>
        <v>0.44381368001415594</v>
      </c>
      <c r="BN40" s="416">
        <f t="shared" si="80"/>
        <v>0.43527822252083048</v>
      </c>
      <c r="BO40" s="416">
        <f t="shared" si="80"/>
        <v>0.42749007321572796</v>
      </c>
      <c r="BP40" s="416">
        <f t="shared" si="80"/>
        <v>0.41510301863104482</v>
      </c>
      <c r="BQ40" s="416">
        <f t="shared" si="80"/>
        <v>0.44900449294367856</v>
      </c>
      <c r="BR40" s="416">
        <f t="shared" si="80"/>
        <v>0.42770704531957904</v>
      </c>
      <c r="BS40" s="416">
        <f t="shared" si="80"/>
        <v>0.46051944626450853</v>
      </c>
      <c r="BT40" s="416">
        <f t="shared" si="80"/>
        <v>0.45805211913931027</v>
      </c>
      <c r="BU40" s="416">
        <f t="shared" si="80"/>
        <v>0.4388796873076426</v>
      </c>
      <c r="BV40" s="416">
        <f t="shared" si="80"/>
        <v>0.44468814442680255</v>
      </c>
      <c r="BW40" s="416">
        <f t="shared" si="80"/>
        <v>0.45704473965898929</v>
      </c>
      <c r="BX40" s="416">
        <f t="shared" si="80"/>
        <v>0.4520797791834506</v>
      </c>
      <c r="BY40" s="416">
        <f t="shared" ref="BY40:CC40" si="81">BY29/BY9</f>
        <v>0.43860126672379157</v>
      </c>
      <c r="BZ40" s="416">
        <f t="shared" si="81"/>
        <v>0.46</v>
      </c>
      <c r="CA40" s="416">
        <f t="shared" si="81"/>
        <v>0.46500000000000002</v>
      </c>
      <c r="CB40" s="416">
        <f t="shared" si="81"/>
        <v>0.46500000000000002</v>
      </c>
      <c r="CC40" s="416">
        <f t="shared" si="81"/>
        <v>0.43831413602528352</v>
      </c>
    </row>
    <row r="41" spans="2:81" s="55" customFormat="1">
      <c r="B41" s="332" t="str">
        <f>+B36</f>
        <v>Energy drinks</v>
      </c>
      <c r="C41" s="42"/>
      <c r="D41" s="332" t="str">
        <f>+D36</f>
        <v>东鹏特饮</v>
      </c>
      <c r="E41" s="57"/>
      <c r="F41" s="796"/>
      <c r="G41" s="847">
        <f t="shared" ref="G41:P41" si="82">+G30/G11</f>
        <v>0.48082349484946629</v>
      </c>
      <c r="H41" s="847">
        <f t="shared" si="82"/>
        <v>0.49011272834418834</v>
      </c>
      <c r="I41" s="847">
        <f t="shared" si="82"/>
        <v>0.48666563927490419</v>
      </c>
      <c r="J41" s="847">
        <f t="shared" si="82"/>
        <v>0.46088722574050672</v>
      </c>
      <c r="K41" s="847">
        <f t="shared" si="82"/>
        <v>0.43263658824044338</v>
      </c>
      <c r="L41" s="847">
        <f t="shared" si="82"/>
        <v>0.45324725631711432</v>
      </c>
      <c r="M41" s="847">
        <f t="shared" si="82"/>
        <v>0.48207044690349776</v>
      </c>
      <c r="N41" s="1502">
        <f t="shared" si="82"/>
        <v>0.50864915934152377</v>
      </c>
      <c r="O41" s="847">
        <f t="shared" si="82"/>
        <v>0.52093293035798571</v>
      </c>
      <c r="P41" s="847">
        <f t="shared" si="82"/>
        <v>0.52093293035798571</v>
      </c>
      <c r="Q41" s="1466"/>
      <c r="R41" s="1466"/>
      <c r="S41" s="1466"/>
      <c r="T41" s="947"/>
      <c r="U41" s="795"/>
      <c r="V41" s="796"/>
      <c r="W41" s="796"/>
      <c r="X41" s="796"/>
      <c r="Y41" s="796"/>
      <c r="Z41" s="796"/>
      <c r="AA41" s="796"/>
      <c r="AB41" s="796"/>
      <c r="AC41" s="796"/>
      <c r="AD41" s="796"/>
      <c r="AE41" s="796"/>
      <c r="AF41" s="796"/>
      <c r="AG41" s="796"/>
      <c r="AH41" s="796"/>
      <c r="AI41" s="796"/>
      <c r="AJ41" s="1223"/>
      <c r="AK41" s="1223"/>
      <c r="AL41" s="1223"/>
      <c r="AM41" s="1223"/>
      <c r="AN41" s="1223"/>
      <c r="AO41" s="1223"/>
      <c r="AP41" s="1223"/>
      <c r="AQ41" s="1223"/>
      <c r="AR41" s="1223"/>
      <c r="AS41" s="1223"/>
      <c r="AT41" s="1223"/>
      <c r="AU41" s="1223"/>
      <c r="AV41" s="1223"/>
      <c r="AW41" s="1223"/>
      <c r="AX41" s="1223"/>
      <c r="AY41" s="947"/>
      <c r="AZ41" s="58"/>
      <c r="BA41" s="58"/>
      <c r="BB41" s="416"/>
      <c r="BC41" s="416"/>
      <c r="BD41" s="416"/>
      <c r="BE41" s="416"/>
      <c r="BF41" s="416"/>
      <c r="BG41" s="416"/>
      <c r="BH41" s="780"/>
      <c r="BI41" s="781"/>
      <c r="BJ41" s="416"/>
      <c r="BK41" s="416"/>
      <c r="BL41" s="416"/>
      <c r="BM41" s="416"/>
      <c r="BN41" s="416"/>
      <c r="BO41" s="416"/>
      <c r="BP41" s="416"/>
      <c r="BQ41" s="416"/>
      <c r="BR41" s="416"/>
      <c r="BS41" s="416"/>
      <c r="BT41" s="416"/>
      <c r="BU41" s="416"/>
      <c r="BV41" s="416"/>
      <c r="BW41" s="416"/>
      <c r="BX41" s="416"/>
      <c r="BY41" s="416"/>
      <c r="BZ41" s="416"/>
      <c r="CA41" s="416"/>
      <c r="CB41" s="416"/>
      <c r="CC41" s="416"/>
    </row>
    <row r="42" spans="2:81" s="38" customFormat="1">
      <c r="B42" s="332" t="str">
        <f>+B37</f>
        <v>Other beverage</v>
      </c>
      <c r="C42" s="42"/>
      <c r="D42" s="332" t="str">
        <f>+D37</f>
        <v>其他饮料</v>
      </c>
      <c r="E42" s="371"/>
      <c r="F42" s="354"/>
      <c r="G42" s="847">
        <f t="shared" ref="G42:O42" si="83">+G31/G12</f>
        <v>-2.5655822825206492E-2</v>
      </c>
      <c r="H42" s="847">
        <f t="shared" si="83"/>
        <v>-4.7516432103944968E-2</v>
      </c>
      <c r="I42" s="847">
        <f t="shared" si="83"/>
        <v>7.9394872112974565E-2</v>
      </c>
      <c r="J42" s="847">
        <f t="shared" si="83"/>
        <v>0.13000050815787906</v>
      </c>
      <c r="K42" s="847">
        <f t="shared" si="83"/>
        <v>0.1706741120683864</v>
      </c>
      <c r="L42" s="847">
        <f t="shared" si="83"/>
        <v>0.17250953170088706</v>
      </c>
      <c r="M42" s="847">
        <f>+M31/M12</f>
        <v>0.26688507607531325</v>
      </c>
      <c r="N42" s="1502">
        <f t="shared" si="83"/>
        <v>0.25932719026165674</v>
      </c>
      <c r="O42" s="847">
        <f t="shared" si="83"/>
        <v>0.2855125926261437</v>
      </c>
      <c r="P42" s="847">
        <f>+P31/P12</f>
        <v>0.31380912361124691</v>
      </c>
      <c r="Q42" s="1466"/>
      <c r="R42" s="1466"/>
      <c r="S42" s="1466"/>
      <c r="T42" s="945"/>
      <c r="U42" s="795"/>
      <c r="V42" s="354"/>
      <c r="W42" s="354"/>
      <c r="X42" s="354"/>
      <c r="Y42" s="354"/>
      <c r="Z42" s="354"/>
      <c r="AA42" s="354"/>
      <c r="AB42" s="354"/>
      <c r="AC42" s="354"/>
      <c r="AD42" s="354"/>
      <c r="AE42" s="354"/>
      <c r="AF42" s="354"/>
      <c r="AG42" s="354"/>
      <c r="AH42" s="354"/>
      <c r="AI42" s="354"/>
      <c r="AJ42" s="347"/>
      <c r="AK42" s="347"/>
      <c r="AL42" s="347"/>
      <c r="AM42" s="347"/>
      <c r="AN42" s="347"/>
      <c r="AO42" s="347"/>
      <c r="AP42" s="347"/>
      <c r="AQ42" s="347"/>
      <c r="AR42" s="347"/>
      <c r="AS42" s="347"/>
      <c r="AT42" s="347"/>
      <c r="AU42" s="347"/>
      <c r="AV42" s="347"/>
      <c r="AW42" s="347"/>
      <c r="AX42" s="347"/>
      <c r="AY42" s="945"/>
      <c r="AZ42" s="353"/>
      <c r="BA42" s="370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</row>
    <row r="43" spans="2:81" s="38" customFormat="1" hidden="1" outlineLevel="1">
      <c r="B43" s="332" t="str">
        <f>+B38</f>
        <v>Water</v>
      </c>
      <c r="C43" s="373"/>
      <c r="D43" s="332" t="str">
        <f>+D38</f>
        <v>包装饮用水</v>
      </c>
      <c r="E43" s="371"/>
      <c r="F43" s="354"/>
      <c r="G43" s="847">
        <f t="shared" ref="G43:O43" si="84">+G32/G14</f>
        <v>-2.6382537233969851E-2</v>
      </c>
      <c r="H43" s="847">
        <f t="shared" si="84"/>
        <v>7.1960024654398089E-2</v>
      </c>
      <c r="I43" s="847">
        <f t="shared" si="84"/>
        <v>0.16059178363034229</v>
      </c>
      <c r="J43" s="847" t="e">
        <f t="shared" si="84"/>
        <v>#DIV/0!</v>
      </c>
      <c r="K43" s="847" t="e">
        <f t="shared" si="84"/>
        <v>#DIV/0!</v>
      </c>
      <c r="L43" s="847" t="e">
        <f t="shared" si="84"/>
        <v>#DIV/0!</v>
      </c>
      <c r="M43" s="847" t="e">
        <f>+M32/M14</f>
        <v>#DIV/0!</v>
      </c>
      <c r="N43" s="1502" t="e">
        <f t="shared" si="84"/>
        <v>#DIV/0!</v>
      </c>
      <c r="O43" s="847" t="e">
        <f t="shared" si="84"/>
        <v>#DIV/0!</v>
      </c>
      <c r="P43" s="847" t="e">
        <f>+P32/P14</f>
        <v>#DIV/0!</v>
      </c>
      <c r="Q43" s="1466"/>
      <c r="R43" s="1466"/>
      <c r="S43" s="1466"/>
      <c r="T43" s="945"/>
      <c r="U43" s="357"/>
      <c r="V43" s="49"/>
      <c r="W43" s="49"/>
      <c r="X43" s="787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1224"/>
      <c r="AK43" s="1224"/>
      <c r="AL43" s="1224"/>
      <c r="AM43" s="1224"/>
      <c r="AN43" s="1224"/>
      <c r="AO43" s="1224"/>
      <c r="AP43" s="1224"/>
      <c r="AQ43" s="1224"/>
      <c r="AR43" s="1224"/>
      <c r="AS43" s="1224"/>
      <c r="AT43" s="1224"/>
      <c r="AU43" s="1224"/>
      <c r="AV43" s="1224"/>
      <c r="AW43" s="1224"/>
      <c r="AX43" s="1224"/>
      <c r="AY43" s="945"/>
      <c r="AZ43" s="353"/>
      <c r="BA43" s="370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</row>
    <row r="44" spans="2:81" s="38" customFormat="1" collapsed="1">
      <c r="B44" s="332" t="str">
        <f>+B39</f>
        <v>Others</v>
      </c>
      <c r="C44" s="373"/>
      <c r="D44" s="332" t="str">
        <f>+D39</f>
        <v>其他</v>
      </c>
      <c r="E44" s="371"/>
      <c r="F44" s="354"/>
      <c r="G44" s="847">
        <f t="shared" ref="G44:O44" si="85">+G33/G16</f>
        <v>0.75559307808929499</v>
      </c>
      <c r="H44" s="847">
        <f t="shared" si="85"/>
        <v>0.82990706573447237</v>
      </c>
      <c r="I44" s="847">
        <f t="shared" si="85"/>
        <v>1.0018036380115374</v>
      </c>
      <c r="J44" s="847">
        <f t="shared" si="85"/>
        <v>0.7</v>
      </c>
      <c r="K44" s="847">
        <f t="shared" si="85"/>
        <v>0.7</v>
      </c>
      <c r="L44" s="847">
        <f t="shared" si="85"/>
        <v>0.69999999999999984</v>
      </c>
      <c r="M44" s="847">
        <f>+M33/M16</f>
        <v>0.7</v>
      </c>
      <c r="N44" s="1502">
        <f t="shared" si="85"/>
        <v>0.7</v>
      </c>
      <c r="O44" s="847">
        <f t="shared" si="85"/>
        <v>0.7</v>
      </c>
      <c r="P44" s="847">
        <f>+P33/P16</f>
        <v>0.7</v>
      </c>
      <c r="Q44" s="1466"/>
      <c r="R44" s="1466"/>
      <c r="S44" s="1466"/>
      <c r="T44" s="945"/>
      <c r="U44" s="357"/>
      <c r="V44" s="49"/>
      <c r="W44" s="49"/>
      <c r="X44" s="787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1224"/>
      <c r="AK44" s="1224"/>
      <c r="AL44" s="1224"/>
      <c r="AM44" s="1224"/>
      <c r="AN44" s="1224"/>
      <c r="AO44" s="1224"/>
      <c r="AP44" s="1224"/>
      <c r="AQ44" s="1224"/>
      <c r="AR44" s="1224"/>
      <c r="AS44" s="1224"/>
      <c r="AT44" s="1224"/>
      <c r="AU44" s="1224"/>
      <c r="AV44" s="1224"/>
      <c r="AW44" s="1224"/>
      <c r="AX44" s="1224"/>
      <c r="AY44" s="945"/>
      <c r="AZ44" s="353"/>
      <c r="BA44" s="370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</row>
    <row r="45" spans="2:81" s="382" customFormat="1" hidden="1" outlineLevel="1">
      <c r="B45" s="379" t="s">
        <v>96</v>
      </c>
      <c r="C45" s="379"/>
      <c r="D45" s="380" t="s">
        <v>95</v>
      </c>
      <c r="E45" s="381"/>
      <c r="F45" s="1121">
        <f>-Model!C24</f>
        <v>45.944600000000001</v>
      </c>
      <c r="G45" s="1121">
        <f>-Model!D24</f>
        <v>39.569061850000004</v>
      </c>
      <c r="H45" s="1121">
        <f>-Model!E24</f>
        <v>44.306298130000002</v>
      </c>
      <c r="I45" s="1121">
        <f>-Model!F24</f>
        <v>50.357577460000002</v>
      </c>
      <c r="J45" s="1121">
        <f>-Model!G24</f>
        <v>76.810518270000003</v>
      </c>
      <c r="K45" s="1121">
        <f>-Model!H24</f>
        <v>92.639167099999995</v>
      </c>
      <c r="L45" s="1121">
        <f>-Model!I24</f>
        <v>121.0108417</v>
      </c>
      <c r="M45" s="1121">
        <f>-Model!J24</f>
        <v>159.79274697</v>
      </c>
      <c r="N45" s="1503">
        <f>N46*N9</f>
        <v>211.78018961848255</v>
      </c>
      <c r="O45" s="381">
        <f>O46*O9</f>
        <v>256.28728926698142</v>
      </c>
      <c r="P45" s="381">
        <f>P46*P9</f>
        <v>300.56114084654973</v>
      </c>
      <c r="T45" s="950"/>
      <c r="U45" s="380" t="str">
        <f>D45</f>
        <v>营业税金及附加</v>
      </c>
      <c r="V45" s="382">
        <f>+SUM(BB45:BC45)</f>
        <v>23.738</v>
      </c>
      <c r="W45" s="382">
        <f>+I45-V45</f>
        <v>26.619577460000002</v>
      </c>
      <c r="X45" s="382">
        <f>+SUM(BF45:BG45)</f>
        <v>41.581896969999995</v>
      </c>
      <c r="Y45" s="382">
        <f>+J45-X45</f>
        <v>35.228621300000007</v>
      </c>
      <c r="Z45" s="382">
        <f>+SUM(BJ45:BK45)</f>
        <v>47.650708159999994</v>
      </c>
      <c r="AA45" s="382">
        <f>+K45-Z45</f>
        <v>44.988458940000001</v>
      </c>
      <c r="AB45" s="1239">
        <f>-'Raw Data'!Y20</f>
        <v>59.469350920000004</v>
      </c>
      <c r="AC45" s="382">
        <f>+L45-AB45</f>
        <v>61.541490779999997</v>
      </c>
      <c r="AD45" s="1239">
        <f>-'Raw Data'!AC20</f>
        <v>84.274324879999995</v>
      </c>
      <c r="AE45" s="382">
        <f>+M45-AD45</f>
        <v>75.518422090000001</v>
      </c>
      <c r="AF45" s="382">
        <f>BV45+BW45</f>
        <v>109.32921087999999</v>
      </c>
      <c r="AG45" s="382">
        <f>BX45+BY45</f>
        <v>102.45097873848256</v>
      </c>
      <c r="AH45" s="382">
        <f>BZ45+CA45</f>
        <v>133.84925458779998</v>
      </c>
      <c r="AI45" s="382">
        <f>CB45+CC45</f>
        <v>122.43803467918143</v>
      </c>
      <c r="AY45" s="950"/>
      <c r="AZ45" s="380" t="str">
        <f t="shared" ref="AZ45:AZ50" si="86">U45</f>
        <v>营业税金及附加</v>
      </c>
      <c r="BA45" s="380"/>
      <c r="BB45" s="410">
        <f>+Quarterly!D50</f>
        <v>6.7925628600000003</v>
      </c>
      <c r="BC45" s="410">
        <f>+Quarterly!E50</f>
        <v>16.945437139999999</v>
      </c>
      <c r="BD45" s="410">
        <f>+Quarterly!F50</f>
        <v>15.863016619999996</v>
      </c>
      <c r="BE45" s="648">
        <f>+I45-SUM(BB45:BD45)</f>
        <v>10.756560840000006</v>
      </c>
      <c r="BF45" s="410">
        <f>+Quarterly!H50</f>
        <v>18.12164478</v>
      </c>
      <c r="BG45" s="410">
        <f>+Quarterly!I50</f>
        <v>23.460252189999995</v>
      </c>
      <c r="BH45" s="410">
        <f>+Quarterly!J50</f>
        <v>18.539143330000002</v>
      </c>
      <c r="BI45" s="648">
        <f>+J45-SUM(BF45:BH45)</f>
        <v>16.689477970000006</v>
      </c>
      <c r="BJ45" s="410">
        <f>+Quarterly!L50</f>
        <v>20.785871149999998</v>
      </c>
      <c r="BK45" s="410">
        <f>+Quarterly!M50</f>
        <v>26.864837009999995</v>
      </c>
      <c r="BL45" s="410">
        <f>+Quarterly!N50</f>
        <v>21.403183930000012</v>
      </c>
      <c r="BM45" s="410">
        <f>+Quarterly!O50</f>
        <v>23.585275009999989</v>
      </c>
      <c r="BN45" s="410">
        <f>+Quarterly!P50</f>
        <v>25.100383230000002</v>
      </c>
      <c r="BO45" s="410">
        <f>+Quarterly!Q50</f>
        <v>34.368967690000005</v>
      </c>
      <c r="BP45" s="410">
        <f>+Quarterly!R50</f>
        <v>33.363331019999997</v>
      </c>
      <c r="BQ45" s="410">
        <f>+Quarterly!S50</f>
        <v>28.17815976</v>
      </c>
      <c r="BR45" s="410">
        <f>+Quarterly!T50</f>
        <v>36.832629600000004</v>
      </c>
      <c r="BS45" s="410">
        <f>+Quarterly!U50</f>
        <v>47.44169527999999</v>
      </c>
      <c r="BT45" s="410">
        <f>+Quarterly!V50</f>
        <v>39.432601040000009</v>
      </c>
      <c r="BU45" s="410">
        <f>+Quarterly!W50</f>
        <v>36.085821049999993</v>
      </c>
      <c r="BV45" s="410">
        <f>+Quarterly!X50</f>
        <v>46.761731420000004</v>
      </c>
      <c r="BW45" s="410">
        <f>+Quarterly!Y50</f>
        <v>62.567479459999987</v>
      </c>
      <c r="BX45" s="2283">
        <f>+Quarterly!Z50</f>
        <v>62.995386159999995</v>
      </c>
      <c r="BY45" s="410">
        <f>+Quarterly!AA50</f>
        <v>39.455592578482566</v>
      </c>
      <c r="BZ45" s="410">
        <f>+Quarterly!AB50</f>
        <v>57.516929646600005</v>
      </c>
      <c r="CA45" s="410">
        <f>+Quarterly!AC50</f>
        <v>76.332324941199971</v>
      </c>
      <c r="CB45" s="410">
        <f>+Quarterly!AD50</f>
        <v>77.484324976799982</v>
      </c>
      <c r="CC45" s="410">
        <f>+Quarterly!AE50</f>
        <v>44.953709702381445</v>
      </c>
    </row>
    <row r="46" spans="2:81" s="38" customFormat="1" hidden="1" outlineLevel="1">
      <c r="B46" s="44" t="s">
        <v>59</v>
      </c>
      <c r="C46" s="44"/>
      <c r="D46" s="613" t="s">
        <v>91</v>
      </c>
      <c r="E46" s="54"/>
      <c r="F46" s="54">
        <f t="shared" ref="F46:M46" si="87">F45/F9</f>
        <v>1.615601561793421E-2</v>
      </c>
      <c r="G46" s="54">
        <f t="shared" si="87"/>
        <v>1.3026697249003847E-2</v>
      </c>
      <c r="H46" s="54">
        <f t="shared" si="87"/>
        <v>1.0527240792137032E-2</v>
      </c>
      <c r="I46" s="54">
        <f t="shared" si="87"/>
        <v>1.0155803340666153E-2</v>
      </c>
      <c r="J46" s="54">
        <f t="shared" si="87"/>
        <v>1.1007806310878467E-2</v>
      </c>
      <c r="K46" s="54">
        <f t="shared" si="87"/>
        <v>1.0891819191753145E-2</v>
      </c>
      <c r="L46" s="54">
        <f t="shared" si="87"/>
        <v>1.0744300286865517E-2</v>
      </c>
      <c r="M46" s="54">
        <f t="shared" si="87"/>
        <v>1.0088657227337252E-2</v>
      </c>
      <c r="N46" s="1504">
        <f>M46</f>
        <v>1.0088657227337252E-2</v>
      </c>
      <c r="O46" s="1504">
        <f>N46</f>
        <v>1.0088657227337252E-2</v>
      </c>
      <c r="P46" s="1504">
        <f>O46</f>
        <v>1.0088657227337252E-2</v>
      </c>
      <c r="Q46" s="1467"/>
      <c r="R46" s="1467"/>
      <c r="S46" s="1467"/>
      <c r="T46" s="945"/>
      <c r="U46" s="53" t="str">
        <f>D46</f>
        <v>占营业收入比重</v>
      </c>
      <c r="V46" s="54">
        <f t="shared" ref="V46:AG46" si="88">V45/V9</f>
        <v>9.6126173519446145E-3</v>
      </c>
      <c r="W46" s="54">
        <f t="shared" si="88"/>
        <v>1.0694716970864129E-2</v>
      </c>
      <c r="X46" s="54">
        <f t="shared" si="88"/>
        <v>1.1292488080455061E-2</v>
      </c>
      <c r="Y46" s="54">
        <f t="shared" si="88"/>
        <v>1.0689719987696579E-2</v>
      </c>
      <c r="Z46" s="54">
        <f t="shared" si="88"/>
        <v>1.1104093607783151E-2</v>
      </c>
      <c r="AA46" s="54">
        <f t="shared" si="88"/>
        <v>1.0675658141755813E-2</v>
      </c>
      <c r="AB46" s="54">
        <f t="shared" si="88"/>
        <v>1.0891453621879545E-2</v>
      </c>
      <c r="AC46" s="54">
        <f t="shared" si="88"/>
        <v>1.0605830781044488E-2</v>
      </c>
      <c r="AD46" s="54">
        <f t="shared" si="88"/>
        <v>1.0703828751481752E-2</v>
      </c>
      <c r="AE46" s="54">
        <f t="shared" si="88"/>
        <v>9.4806120842068405E-3</v>
      </c>
      <c r="AF46" s="54">
        <f t="shared" si="88"/>
        <v>1.0182825773732588E-2</v>
      </c>
      <c r="AG46" s="54">
        <f t="shared" si="88"/>
        <v>9.9900687560493338E-3</v>
      </c>
      <c r="AH46" s="54">
        <f t="shared" ref="AH46:AI46" si="89">AH45/AH9</f>
        <v>1.0180844101068507E-2</v>
      </c>
      <c r="AI46" s="54">
        <f t="shared" si="89"/>
        <v>9.9897699556988333E-3</v>
      </c>
      <c r="AJ46" s="1225"/>
      <c r="AK46" s="1225"/>
      <c r="AL46" s="1225"/>
      <c r="AM46" s="1225"/>
      <c r="AN46" s="1225"/>
      <c r="AO46" s="1225"/>
      <c r="AP46" s="1225"/>
      <c r="AQ46" s="1225"/>
      <c r="AR46" s="1225"/>
      <c r="AS46" s="1225"/>
      <c r="AT46" s="1225"/>
      <c r="AU46" s="1225"/>
      <c r="AV46" s="1225"/>
      <c r="AW46" s="1225"/>
      <c r="AX46" s="1225"/>
      <c r="AY46" s="945"/>
      <c r="AZ46" s="53" t="str">
        <f t="shared" si="86"/>
        <v>占营业收入比重</v>
      </c>
      <c r="BA46" s="53"/>
      <c r="BB46" s="54">
        <f t="shared" ref="BB46:BR46" si="90">BB45/BB$9</f>
        <v>7.2786594728937414E-3</v>
      </c>
      <c r="BC46" s="54">
        <f t="shared" si="90"/>
        <v>1.1030415384034497E-2</v>
      </c>
      <c r="BD46" s="54">
        <f t="shared" si="90"/>
        <v>1.0077296042217852E-2</v>
      </c>
      <c r="BE46" s="54">
        <f t="shared" si="90"/>
        <v>1.1757015987861968E-2</v>
      </c>
      <c r="BF46" s="54">
        <f t="shared" si="90"/>
        <v>1.0589639499363365E-2</v>
      </c>
      <c r="BG46" s="54">
        <f t="shared" si="90"/>
        <v>1.1902715305348185E-2</v>
      </c>
      <c r="BH46" s="54">
        <f t="shared" si="90"/>
        <v>9.8720074491807606E-3</v>
      </c>
      <c r="BI46" s="54">
        <f t="shared" si="90"/>
        <v>1.1772968425714597E-2</v>
      </c>
      <c r="BJ46" s="54">
        <f t="shared" si="90"/>
        <v>1.0359046635918428E-2</v>
      </c>
      <c r="BK46" s="54">
        <f t="shared" si="90"/>
        <v>1.1758423856610731E-2</v>
      </c>
      <c r="BL46" s="54">
        <f t="shared" si="90"/>
        <v>9.0958404123849465E-3</v>
      </c>
      <c r="BM46" s="54">
        <f t="shared" si="90"/>
        <v>1.2673156267132876E-2</v>
      </c>
      <c r="BN46" s="54">
        <f t="shared" si="90"/>
        <v>1.0076970321278472E-2</v>
      </c>
      <c r="BO46" s="54">
        <f t="shared" si="90"/>
        <v>1.1574697449848782E-2</v>
      </c>
      <c r="BP46" s="54">
        <f t="shared" si="90"/>
        <v>1.0489214067741994E-2</v>
      </c>
      <c r="BQ46" s="54">
        <f t="shared" si="90"/>
        <v>1.0747303974969027E-2</v>
      </c>
      <c r="BR46" s="54">
        <f t="shared" si="90"/>
        <v>1.0577500025584287E-2</v>
      </c>
      <c r="BS46" s="54">
        <f t="shared" ref="BS46:BX46" si="91">BS45/BS$9</f>
        <v>1.0804007705344891E-2</v>
      </c>
      <c r="BT46" s="54">
        <f t="shared" si="91"/>
        <v>8.416788577430263E-3</v>
      </c>
      <c r="BU46" s="54">
        <f t="shared" si="91"/>
        <v>1.0999862055659525E-2</v>
      </c>
      <c r="BV46" s="54">
        <f t="shared" si="91"/>
        <v>9.6454290012545942E-3</v>
      </c>
      <c r="BW46" s="54">
        <f t="shared" si="91"/>
        <v>1.0625266674142431E-2</v>
      </c>
      <c r="BX46" s="54">
        <f t="shared" si="91"/>
        <v>1.031470096300313E-2</v>
      </c>
      <c r="BY46" s="54">
        <f t="shared" ref="BY46:CC46" si="92">BY45/BY$9</f>
        <v>9.5120873898610486E-3</v>
      </c>
      <c r="BZ46" s="54">
        <f t="shared" si="92"/>
        <v>9.6454290012545942E-3</v>
      </c>
      <c r="CA46" s="54">
        <f t="shared" si="92"/>
        <v>1.0625266674142431E-2</v>
      </c>
      <c r="CB46" s="54">
        <f t="shared" si="92"/>
        <v>1.031470096300313E-2</v>
      </c>
      <c r="CC46" s="54">
        <f t="shared" si="92"/>
        <v>9.4752822648583434E-3</v>
      </c>
    </row>
    <row r="47" spans="2:81" s="382" customFormat="1" hidden="1" outlineLevel="1">
      <c r="B47" s="379" t="s">
        <v>63</v>
      </c>
      <c r="C47" s="379"/>
      <c r="D47" s="380" t="s">
        <v>94</v>
      </c>
      <c r="E47" s="381"/>
      <c r="F47" s="1121">
        <f>-Model!C25</f>
        <v>825.24980000000005</v>
      </c>
      <c r="G47" s="1121">
        <f>-Model!D25</f>
        <v>969.45033685999999</v>
      </c>
      <c r="H47" s="1121">
        <f>-Model!E25</f>
        <v>983.59316214</v>
      </c>
      <c r="I47" s="1121">
        <f>-Model!F25</f>
        <v>1040.3472948200001</v>
      </c>
      <c r="J47" s="1121">
        <f>-Model!G25</f>
        <v>1368.3843670599999</v>
      </c>
      <c r="K47" s="1121">
        <f>-Model!H25</f>
        <v>1449.2760845799999</v>
      </c>
      <c r="L47" s="1121">
        <f>-Model!I25</f>
        <v>1955.6713750699998</v>
      </c>
      <c r="M47" s="1121">
        <f>-Model!J25</f>
        <v>2681.0797873299998</v>
      </c>
      <c r="N47" s="1503">
        <f>N564</f>
        <v>3370.7205557048114</v>
      </c>
      <c r="O47" s="381">
        <f>O564</f>
        <v>3972.4065045348821</v>
      </c>
      <c r="P47" s="381">
        <f>P564</f>
        <v>4584.1632082331544</v>
      </c>
      <c r="T47" s="950"/>
      <c r="U47" s="380" t="str">
        <f>D47</f>
        <v>销售费用</v>
      </c>
      <c r="V47" s="382">
        <f>+SUM(BB47:BC47)</f>
        <v>452.20800000000003</v>
      </c>
      <c r="W47" s="382">
        <f>+I47-V47</f>
        <v>588.13929482000003</v>
      </c>
      <c r="X47" s="382">
        <f>+SUM(BF47:BG47)</f>
        <v>798.65826103999996</v>
      </c>
      <c r="Y47" s="382">
        <f>+J47-X47</f>
        <v>569.72610601999997</v>
      </c>
      <c r="Z47" s="382">
        <f>+SUM(BJ47:BK47)</f>
        <v>702.69818498000006</v>
      </c>
      <c r="AA47" s="382">
        <f>+K47-Z47</f>
        <v>746.5778995999998</v>
      </c>
      <c r="AB47" s="1239">
        <f>-'Raw Data'!Y21</f>
        <v>863.23476495</v>
      </c>
      <c r="AC47" s="382">
        <f>L47-AB47</f>
        <v>1092.4366101199998</v>
      </c>
      <c r="AD47" s="1239">
        <f>-'Raw Data'!AC21</f>
        <v>1225.0040971800001</v>
      </c>
      <c r="AE47" s="382">
        <f>M47-AD47</f>
        <v>1456.0756901499997</v>
      </c>
      <c r="AF47" s="382">
        <f>BV47+BW47</f>
        <v>1681.5190578499999</v>
      </c>
      <c r="AG47" s="382">
        <f>BX47+BY47</f>
        <v>1689.2014978548116</v>
      </c>
      <c r="AH47" s="382">
        <f>BZ47+CA47</f>
        <v>2085.3744413904983</v>
      </c>
      <c r="AI47" s="382">
        <f>CB47+CC47</f>
        <v>1887.0320631443835</v>
      </c>
      <c r="AY47" s="950"/>
      <c r="AZ47" s="380" t="str">
        <f t="shared" si="86"/>
        <v>销售费用</v>
      </c>
      <c r="BA47" s="380"/>
      <c r="BB47" s="410">
        <f>+Quarterly!D52</f>
        <v>201.55927403000001</v>
      </c>
      <c r="BC47" s="648">
        <f>+Quarterly!E52</f>
        <v>250.64872597000002</v>
      </c>
      <c r="BD47" s="648">
        <f>+Quarterly!F52</f>
        <v>360.37018244000006</v>
      </c>
      <c r="BE47" s="648">
        <f>+I47-SUM(BB47:BD47)</f>
        <v>227.76911238000002</v>
      </c>
      <c r="BF47" s="410">
        <f>+Quarterly!H52</f>
        <v>336.21724452999996</v>
      </c>
      <c r="BG47" s="410">
        <f>+Quarterly!I52</f>
        <v>462.44101651</v>
      </c>
      <c r="BH47" s="410">
        <f>+Quarterly!J52</f>
        <v>399.24317549</v>
      </c>
      <c r="BI47" s="648">
        <f>+J47-SUM(BF47:BH47)</f>
        <v>170.48293052999998</v>
      </c>
      <c r="BJ47" s="410">
        <f>+Quarterly!L52</f>
        <v>337.96501925999996</v>
      </c>
      <c r="BK47" s="410">
        <f>+Quarterly!M52</f>
        <v>364.7331657200001</v>
      </c>
      <c r="BL47" s="410">
        <f>+Quarterly!N52</f>
        <v>382.90616486999977</v>
      </c>
      <c r="BM47" s="410">
        <f>+Quarterly!O52</f>
        <v>363.67173473000003</v>
      </c>
      <c r="BN47" s="410">
        <f>+Quarterly!P52</f>
        <v>390.70786656999996</v>
      </c>
      <c r="BO47" s="410">
        <f>+Quarterly!Q52</f>
        <v>472.52689838000003</v>
      </c>
      <c r="BP47" s="410">
        <f>+Quarterly!R52</f>
        <v>557.67118565999999</v>
      </c>
      <c r="BQ47" s="410">
        <f>+Quarterly!S52</f>
        <v>534.76542445999985</v>
      </c>
      <c r="BR47" s="410">
        <f>+Quarterly!T52</f>
        <v>595.94921475000001</v>
      </c>
      <c r="BS47" s="410">
        <f>+Quarterly!U52</f>
        <v>629.05488243000013</v>
      </c>
      <c r="BT47" s="410">
        <f>+Quarterly!V52</f>
        <v>836.92043326999988</v>
      </c>
      <c r="BU47" s="410">
        <f>+Quarterly!W52</f>
        <v>619.1552568799998</v>
      </c>
      <c r="BV47" s="410">
        <f>+Quarterly!X52</f>
        <v>808.75510908000001</v>
      </c>
      <c r="BW47" s="410">
        <f>+Quarterly!Y52</f>
        <v>872.76394876999984</v>
      </c>
      <c r="BX47" s="410">
        <f>+Quarterly!Z52</f>
        <v>931.82558820000054</v>
      </c>
      <c r="BY47" s="410">
        <f>+Quarterly!AA52</f>
        <v>757.37590965481104</v>
      </c>
      <c r="BZ47" s="410">
        <f>+Quarterly!AB52</f>
        <v>1007.7686652414383</v>
      </c>
      <c r="CA47" s="410">
        <f>+Quarterly!AC52</f>
        <v>1077.6057761490601</v>
      </c>
      <c r="CB47" s="410">
        <f>+Quarterly!AD52</f>
        <v>1329.6289994334986</v>
      </c>
      <c r="CC47" s="410">
        <f>+Quarterly!AE52</f>
        <v>557.40306371088491</v>
      </c>
    </row>
    <row r="48" spans="2:81" s="38" customFormat="1" hidden="1" outlineLevel="1">
      <c r="B48" s="44" t="s">
        <v>59</v>
      </c>
      <c r="C48" s="44"/>
      <c r="D48" s="613" t="s">
        <v>91</v>
      </c>
      <c r="E48" s="52"/>
      <c r="F48" s="52">
        <f t="shared" ref="F48:P48" si="93">F47/F9</f>
        <v>0.29019185404807274</v>
      </c>
      <c r="G48" s="52">
        <f t="shared" si="93"/>
        <v>0.31915682216812563</v>
      </c>
      <c r="H48" s="52">
        <f t="shared" si="93"/>
        <v>0.23370316402796393</v>
      </c>
      <c r="I48" s="52">
        <f t="shared" si="93"/>
        <v>0.20981077853831201</v>
      </c>
      <c r="J48" s="52">
        <f t="shared" si="93"/>
        <v>0.19610478370269829</v>
      </c>
      <c r="K48" s="52">
        <f t="shared" si="93"/>
        <v>0.17039502368515247</v>
      </c>
      <c r="L48" s="52">
        <f t="shared" si="93"/>
        <v>0.17363998317003096</v>
      </c>
      <c r="M48" s="52">
        <f t="shared" si="93"/>
        <v>0.16927235739049407</v>
      </c>
      <c r="N48" s="1505">
        <f t="shared" si="93"/>
        <v>0.16057235739049408</v>
      </c>
      <c r="O48" s="52">
        <f t="shared" si="93"/>
        <v>0.15637235739049407</v>
      </c>
      <c r="P48" s="52">
        <f t="shared" si="93"/>
        <v>0.1538723573904941</v>
      </c>
      <c r="Q48" s="1226"/>
      <c r="R48" s="1226"/>
      <c r="S48" s="1226"/>
      <c r="T48" s="945"/>
      <c r="U48" s="53" t="str">
        <f>D48</f>
        <v>占营业收入比重</v>
      </c>
      <c r="V48" s="52">
        <f t="shared" ref="V48:AG48" si="94">V47/V9</f>
        <v>0.18311999610279597</v>
      </c>
      <c r="W48" s="52">
        <f t="shared" si="94"/>
        <v>0.23629162810698931</v>
      </c>
      <c r="X48" s="52">
        <f t="shared" si="94"/>
        <v>0.2168933971352478</v>
      </c>
      <c r="Y48" s="52">
        <f t="shared" si="94"/>
        <v>0.17287683475238735</v>
      </c>
      <c r="Z48" s="52">
        <f t="shared" si="94"/>
        <v>0.16375048189918112</v>
      </c>
      <c r="AA48" s="52">
        <f t="shared" si="94"/>
        <v>0.17716122356956848</v>
      </c>
      <c r="AB48" s="52">
        <f t="shared" si="94"/>
        <v>0.15809625061983129</v>
      </c>
      <c r="AC48" s="52">
        <f t="shared" si="94"/>
        <v>0.18826644722288591</v>
      </c>
      <c r="AD48" s="52">
        <f t="shared" si="94"/>
        <v>0.15558990350559346</v>
      </c>
      <c r="AE48" s="52">
        <f t="shared" si="94"/>
        <v>0.18279630852329296</v>
      </c>
      <c r="AF48" s="52">
        <f t="shared" si="94"/>
        <v>0.15661519426945597</v>
      </c>
      <c r="AG48" s="52">
        <f t="shared" si="94"/>
        <v>0.16471525518040195</v>
      </c>
      <c r="AH48" s="52">
        <f t="shared" ref="AH48:AI48" si="95">AH47/AH9</f>
        <v>0.1586177834574555</v>
      </c>
      <c r="AI48" s="52">
        <f t="shared" si="95"/>
        <v>0.15396372752335144</v>
      </c>
      <c r="AJ48" s="1226"/>
      <c r="AK48" s="1226"/>
      <c r="AL48" s="1226"/>
      <c r="AM48" s="1226"/>
      <c r="AN48" s="1226"/>
      <c r="AO48" s="1226"/>
      <c r="AP48" s="1226"/>
      <c r="AQ48" s="1226"/>
      <c r="AR48" s="1226"/>
      <c r="AS48" s="1226"/>
      <c r="AT48" s="1226"/>
      <c r="AU48" s="1226"/>
      <c r="AV48" s="1226"/>
      <c r="AW48" s="1226"/>
      <c r="AX48" s="1226"/>
      <c r="AY48" s="945"/>
      <c r="AZ48" s="53" t="str">
        <f t="shared" si="86"/>
        <v>占营业收入比重</v>
      </c>
      <c r="BA48" s="53"/>
      <c r="BB48" s="52">
        <f t="shared" ref="BB48:BK48" si="96">BB47/BB$9</f>
        <v>0.21598347332306397</v>
      </c>
      <c r="BC48" s="52">
        <f t="shared" si="96"/>
        <v>0.16315657956098825</v>
      </c>
      <c r="BD48" s="52">
        <f t="shared" si="96"/>
        <v>0.22893230841461093</v>
      </c>
      <c r="BE48" s="52">
        <f t="shared" si="96"/>
        <v>0.24895365122973526</v>
      </c>
      <c r="BF48" s="52">
        <f t="shared" si="96"/>
        <v>0.19647330340408531</v>
      </c>
      <c r="BG48" s="52">
        <f t="shared" si="96"/>
        <v>0.23462253178082104</v>
      </c>
      <c r="BH48" s="52">
        <f t="shared" si="96"/>
        <v>0.21259513087069171</v>
      </c>
      <c r="BI48" s="52">
        <f t="shared" si="96"/>
        <v>0.12026081114465106</v>
      </c>
      <c r="BJ48" s="52">
        <f t="shared" si="96"/>
        <v>0.16843149707600344</v>
      </c>
      <c r="BK48" s="52">
        <f t="shared" si="96"/>
        <v>0.15963942589723554</v>
      </c>
      <c r="BL48" s="52">
        <f t="shared" ref="BL48:BQ48" si="97">BL47/BL$9</f>
        <v>0.16272594675477683</v>
      </c>
      <c r="BM48" s="52">
        <f t="shared" si="97"/>
        <v>0.19541297365489513</v>
      </c>
      <c r="BN48" s="52">
        <f t="shared" si="97"/>
        <v>0.15685623361360601</v>
      </c>
      <c r="BO48" s="52">
        <f t="shared" si="97"/>
        <v>0.15913646097829423</v>
      </c>
      <c r="BP48" s="52">
        <f t="shared" si="97"/>
        <v>0.17532819017059978</v>
      </c>
      <c r="BQ48" s="52">
        <f t="shared" si="97"/>
        <v>0.20396245251378883</v>
      </c>
      <c r="BR48" s="52">
        <f t="shared" ref="BR48:BX48" si="98">BR47/BR$9</f>
        <v>0.17114316579408873</v>
      </c>
      <c r="BS48" s="52">
        <f t="shared" si="98"/>
        <v>0.14325613274877363</v>
      </c>
      <c r="BT48" s="52">
        <f t="shared" si="98"/>
        <v>0.17863854164272297</v>
      </c>
      <c r="BU48" s="52">
        <f t="shared" si="98"/>
        <v>0.18873402955913723</v>
      </c>
      <c r="BV48" s="52">
        <f t="shared" si="98"/>
        <v>0.16681995612969658</v>
      </c>
      <c r="BW48" s="52">
        <f t="shared" si="98"/>
        <v>0.14821357323795306</v>
      </c>
      <c r="BX48" s="52">
        <f t="shared" si="98"/>
        <v>0.15257470233685927</v>
      </c>
      <c r="BY48" s="52">
        <f t="shared" ref="BY48:CC48" si="99">BY47/BY$9</f>
        <v>0.18259073983699217</v>
      </c>
      <c r="BZ48" s="52">
        <f t="shared" si="99"/>
        <v>0.16900000000000001</v>
      </c>
      <c r="CA48" s="52">
        <f t="shared" si="99"/>
        <v>0.15</v>
      </c>
      <c r="CB48" s="52">
        <f t="shared" si="99"/>
        <v>0.17699999999999999</v>
      </c>
      <c r="CC48" s="52">
        <f t="shared" si="99"/>
        <v>0.11748866553893461</v>
      </c>
    </row>
    <row r="49" spans="2:81" s="382" customFormat="1" hidden="1" outlineLevel="1">
      <c r="B49" s="379" t="s">
        <v>93</v>
      </c>
      <c r="C49" s="383"/>
      <c r="D49" s="380" t="s">
        <v>92</v>
      </c>
      <c r="E49" s="381"/>
      <c r="F49" s="1121">
        <f>-Model!C26</f>
        <v>110.78879999999999</v>
      </c>
      <c r="G49" s="1121">
        <f>-Model!D26</f>
        <v>143.62835716000001</v>
      </c>
      <c r="H49" s="1121">
        <f>-Model!E26</f>
        <v>229.257563</v>
      </c>
      <c r="I49" s="1121">
        <f>-Model!F26</f>
        <v>219.43897251999999</v>
      </c>
      <c r="J49" s="1121">
        <f>-Model!G26</f>
        <v>294.44154993999996</v>
      </c>
      <c r="K49" s="1121">
        <f>-Model!H26</f>
        <v>299.27980732999998</v>
      </c>
      <c r="L49" s="1121">
        <f>-Model!I26</f>
        <v>422.98510952000004</v>
      </c>
      <c r="M49" s="1121">
        <f>-Model!J26</f>
        <v>488.32507577000001</v>
      </c>
      <c r="N49" s="1503">
        <f>N594</f>
        <v>609.41275439716128</v>
      </c>
      <c r="O49" s="381">
        <f>O594</f>
        <v>709.54128106317376</v>
      </c>
      <c r="P49" s="381">
        <f>P594</f>
        <v>799.34396772446871</v>
      </c>
      <c r="T49" s="950"/>
      <c r="U49" s="380" t="str">
        <f>D49</f>
        <v>管理费用</v>
      </c>
      <c r="V49" s="382">
        <f>+SUM(BB49:BC49)</f>
        <v>103.3502</v>
      </c>
      <c r="W49" s="382">
        <f>+I49-V49</f>
        <v>116.08877251999999</v>
      </c>
      <c r="X49" s="382">
        <f>+SUM(BF49:BG49)</f>
        <v>152.51555503</v>
      </c>
      <c r="Y49" s="382">
        <f>+J49-X49</f>
        <v>141.92599490999996</v>
      </c>
      <c r="Z49" s="382">
        <f>+SUM(BJ49:BK49)</f>
        <v>151.35686418</v>
      </c>
      <c r="AA49" s="382">
        <f>+K49-Z49</f>
        <v>147.92294314999998</v>
      </c>
      <c r="AB49" s="1213">
        <f>163.734055+25.433219</f>
        <v>189.16727400000002</v>
      </c>
      <c r="AC49" s="382">
        <f>L49-AB49</f>
        <v>233.81783552000002</v>
      </c>
      <c r="AD49" s="1213">
        <f>193.218982+29.61955</f>
        <v>222.83853200000001</v>
      </c>
      <c r="AE49" s="382">
        <f>M49-AD49</f>
        <v>265.48654377000003</v>
      </c>
      <c r="AF49" s="382">
        <f>BV49+BW49</f>
        <v>291.43502235</v>
      </c>
      <c r="AG49" s="382">
        <f>BX49+BY49</f>
        <v>317.97773204716128</v>
      </c>
      <c r="AH49" s="382">
        <f>BZ49+CA49</f>
        <v>338.16360338034133</v>
      </c>
      <c r="AI49" s="382">
        <f>CB49+CC49</f>
        <v>371.37767768283237</v>
      </c>
      <c r="AY49" s="950"/>
      <c r="AZ49" s="380" t="str">
        <f t="shared" si="86"/>
        <v>管理费用</v>
      </c>
      <c r="BA49" s="380"/>
      <c r="BB49" s="410">
        <f>+Quarterly!D54</f>
        <v>45.432064320000002</v>
      </c>
      <c r="BC49" s="648">
        <f>+Quarterly!E54</f>
        <v>57.918135679999999</v>
      </c>
      <c r="BD49" s="648">
        <f>+Quarterly!F54</f>
        <v>53.414127820000004</v>
      </c>
      <c r="BE49" s="648">
        <f>+I49-SUM(BB49:BD49)</f>
        <v>62.674644699999988</v>
      </c>
      <c r="BF49" s="410">
        <f>+Quarterly!H54</f>
        <v>63.642068700000003</v>
      </c>
      <c r="BG49" s="410">
        <f>+Quarterly!I54</f>
        <v>88.873486329999992</v>
      </c>
      <c r="BH49" s="410">
        <f>+Quarterly!J54</f>
        <v>71.52961646</v>
      </c>
      <c r="BI49" s="648">
        <f>+J49-SUM(BF49:BH49)</f>
        <v>70.396378449999958</v>
      </c>
      <c r="BJ49" s="410">
        <f>+Quarterly!L54</f>
        <v>78.921320660000006</v>
      </c>
      <c r="BK49" s="410">
        <f>+Quarterly!M54</f>
        <v>72.435543519999996</v>
      </c>
      <c r="BL49" s="410">
        <f>+Quarterly!N54</f>
        <v>84.184480250000007</v>
      </c>
      <c r="BM49" s="410">
        <f>+Quarterly!O54</f>
        <v>63.738462899999973</v>
      </c>
      <c r="BN49" s="410">
        <f>+Quarterly!P54</f>
        <v>91.260641199999995</v>
      </c>
      <c r="BO49" s="410">
        <f>+Quarterly!Q54</f>
        <v>97.906632600000009</v>
      </c>
      <c r="BP49" s="410">
        <f>+Quarterly!R54</f>
        <v>112.31041306</v>
      </c>
      <c r="BQ49" s="410">
        <f>+Quarterly!S54</f>
        <v>121.50742266000003</v>
      </c>
      <c r="BR49" s="410">
        <f>+Quarterly!T54</f>
        <v>113.74836514</v>
      </c>
      <c r="BS49" s="410">
        <f>+Quarterly!U54</f>
        <v>109.09016826999996</v>
      </c>
      <c r="BT49" s="410">
        <f>+Quarterly!V54</f>
        <v>133.54334941000002</v>
      </c>
      <c r="BU49" s="410">
        <f>+Quarterly!W54</f>
        <v>131.94319295000003</v>
      </c>
      <c r="BV49" s="410">
        <f>+Quarterly!X54</f>
        <v>136.94042983</v>
      </c>
      <c r="BW49" s="410">
        <f>+Quarterly!Y54</f>
        <v>154.49459252</v>
      </c>
      <c r="BX49" s="410">
        <f>+Quarterly!Z54</f>
        <v>173.62912742999998</v>
      </c>
      <c r="BY49" s="410">
        <f>+Quarterly!AA54</f>
        <v>144.3486046171613</v>
      </c>
      <c r="BZ49" s="410">
        <f>+Quarterly!AB54</f>
        <v>172.93071770415213</v>
      </c>
      <c r="CA49" s="410">
        <f>+Quarterly!AC54</f>
        <v>165.23288567618923</v>
      </c>
      <c r="CB49" s="410">
        <f>+Quarterly!AD54</f>
        <v>195.31273438006195</v>
      </c>
      <c r="CC49" s="410">
        <f>+Quarterly!AE54</f>
        <v>176.06494330277042</v>
      </c>
    </row>
    <row r="50" spans="2:81" s="38" customFormat="1" hidden="1" outlineLevel="1">
      <c r="B50" s="44" t="s">
        <v>59</v>
      </c>
      <c r="C50" s="44"/>
      <c r="D50" s="613" t="s">
        <v>91</v>
      </c>
      <c r="E50" s="52"/>
      <c r="F50" s="52">
        <f t="shared" ref="F50:P50" si="100">F49/F9</f>
        <v>3.8957909810776223E-2</v>
      </c>
      <c r="G50" s="52">
        <f t="shared" si="100"/>
        <v>4.7284495452224476E-2</v>
      </c>
      <c r="H50" s="52">
        <f t="shared" si="100"/>
        <v>5.4471929973435709E-2</v>
      </c>
      <c r="I50" s="52">
        <f t="shared" si="100"/>
        <v>4.4255088560627591E-2</v>
      </c>
      <c r="J50" s="52">
        <f t="shared" si="100"/>
        <v>4.2196767117509117E-2</v>
      </c>
      <c r="K50" s="52">
        <f t="shared" si="100"/>
        <v>3.5187077466514456E-2</v>
      </c>
      <c r="L50" s="52">
        <f t="shared" si="100"/>
        <v>3.7555965810256643E-2</v>
      </c>
      <c r="M50" s="52">
        <f t="shared" si="100"/>
        <v>3.0830838059764672E-2</v>
      </c>
      <c r="N50" s="1505">
        <f t="shared" si="100"/>
        <v>2.9030838059764676E-2</v>
      </c>
      <c r="O50" s="52">
        <f t="shared" si="100"/>
        <v>2.7930838059764668E-2</v>
      </c>
      <c r="P50" s="52">
        <f t="shared" si="100"/>
        <v>2.6830838059764668E-2</v>
      </c>
      <c r="Q50" s="1226"/>
      <c r="R50" s="1226"/>
      <c r="S50" s="1226"/>
      <c r="T50" s="945"/>
      <c r="U50" s="53" t="str">
        <f>D50</f>
        <v>占营业收入比重</v>
      </c>
      <c r="V50" s="52">
        <f t="shared" ref="V50:AG50" si="101">V49/V9</f>
        <v>4.185129016121604E-2</v>
      </c>
      <c r="W50" s="52">
        <f t="shared" si="101"/>
        <v>4.663998019735769E-2</v>
      </c>
      <c r="X50" s="52">
        <f t="shared" si="101"/>
        <v>4.1418987895209133E-2</v>
      </c>
      <c r="Y50" s="52">
        <f t="shared" si="101"/>
        <v>4.3065810939446253E-2</v>
      </c>
      <c r="Z50" s="52">
        <f t="shared" si="101"/>
        <v>3.5270845973409369E-2</v>
      </c>
      <c r="AA50" s="52">
        <f t="shared" si="101"/>
        <v>3.5101775201899804E-2</v>
      </c>
      <c r="AB50" s="52">
        <f t="shared" si="101"/>
        <v>3.4644847466385971E-2</v>
      </c>
      <c r="AC50" s="52">
        <f t="shared" si="101"/>
        <v>4.0295292910277031E-2</v>
      </c>
      <c r="AD50" s="52">
        <f t="shared" si="101"/>
        <v>2.8303109982262806E-2</v>
      </c>
      <c r="AE50" s="52">
        <f t="shared" si="101"/>
        <v>3.3329283973393076E-2</v>
      </c>
      <c r="AF50" s="52">
        <f t="shared" si="101"/>
        <v>2.7143999605111876E-2</v>
      </c>
      <c r="AG50" s="52">
        <f t="shared" si="101"/>
        <v>3.1006237765209103E-2</v>
      </c>
      <c r="AH50" s="52">
        <f t="shared" ref="AH50:AI50" si="102">AH49/AH9</f>
        <v>2.5721405302354373E-2</v>
      </c>
      <c r="AI50" s="52">
        <f t="shared" si="102"/>
        <v>3.0300858523695205E-2</v>
      </c>
      <c r="AJ50" s="1226"/>
      <c r="AK50" s="1226"/>
      <c r="AL50" s="1226"/>
      <c r="AM50" s="1226"/>
      <c r="AN50" s="1226"/>
      <c r="AO50" s="1226"/>
      <c r="AP50" s="1226"/>
      <c r="AQ50" s="1226"/>
      <c r="AR50" s="1226"/>
      <c r="AS50" s="1226"/>
      <c r="AT50" s="1226"/>
      <c r="AU50" s="1226"/>
      <c r="AV50" s="1226"/>
      <c r="AW50" s="1226"/>
      <c r="AX50" s="1226"/>
      <c r="AY50" s="945"/>
      <c r="AZ50" s="53" t="str">
        <f t="shared" si="86"/>
        <v>占营业收入比重</v>
      </c>
      <c r="BA50" s="53"/>
      <c r="BB50" s="52">
        <f t="shared" ref="BB50:BK50" si="103">BB49/BB$9</f>
        <v>4.8683322061429661E-2</v>
      </c>
      <c r="BC50" s="52">
        <f t="shared" si="103"/>
        <v>3.7701068998168635E-2</v>
      </c>
      <c r="BD50" s="52">
        <f t="shared" si="103"/>
        <v>3.3932384474738363E-2</v>
      </c>
      <c r="BE50" s="52">
        <f t="shared" si="103"/>
        <v>6.8503940128457244E-2</v>
      </c>
      <c r="BF50" s="52">
        <f t="shared" si="103"/>
        <v>3.7190143207669522E-2</v>
      </c>
      <c r="BG50" s="52">
        <f t="shared" si="103"/>
        <v>4.5090555609229532E-2</v>
      </c>
      <c r="BH50" s="52">
        <f t="shared" si="103"/>
        <v>3.8089187507789911E-2</v>
      </c>
      <c r="BI50" s="52">
        <f t="shared" si="103"/>
        <v>4.9658493948478169E-2</v>
      </c>
      <c r="BJ50" s="52">
        <f t="shared" si="103"/>
        <v>3.9331988319633776E-2</v>
      </c>
      <c r="BK50" s="52">
        <f t="shared" si="103"/>
        <v>3.170418724949238E-2</v>
      </c>
      <c r="BL50" s="52">
        <f t="shared" ref="BL50:BQ50" si="104">BL49/BL$9</f>
        <v>3.5776387291625356E-2</v>
      </c>
      <c r="BM50" s="52">
        <f t="shared" si="104"/>
        <v>3.4248805672864244E-2</v>
      </c>
      <c r="BN50" s="52">
        <f t="shared" si="104"/>
        <v>3.6638116814650852E-2</v>
      </c>
      <c r="BO50" s="52">
        <f t="shared" si="104"/>
        <v>3.2972757893110334E-2</v>
      </c>
      <c r="BP50" s="52">
        <f t="shared" si="104"/>
        <v>3.5309662692753103E-2</v>
      </c>
      <c r="BQ50" s="52">
        <f t="shared" si="104"/>
        <v>4.634359438886438E-2</v>
      </c>
      <c r="BR50" s="52">
        <f t="shared" ref="BR50:BX50" si="105">BR49/BR$9</f>
        <v>3.2665963528667546E-2</v>
      </c>
      <c r="BS50" s="52">
        <f t="shared" si="105"/>
        <v>2.4843357970458484E-2</v>
      </c>
      <c r="BT50" s="52">
        <f t="shared" si="105"/>
        <v>2.8504488881311352E-2</v>
      </c>
      <c r="BU50" s="52">
        <f t="shared" si="105"/>
        <v>4.0219589838964433E-2</v>
      </c>
      <c r="BV50" s="52">
        <f t="shared" si="105"/>
        <v>2.824637055166063E-2</v>
      </c>
      <c r="BW50" s="52">
        <f t="shared" si="105"/>
        <v>2.6236413219864922E-2</v>
      </c>
      <c r="BX50" s="52">
        <f t="shared" si="105"/>
        <v>2.8429582499246549E-2</v>
      </c>
      <c r="BY50" s="52">
        <f t="shared" ref="BY50:CC50" si="106">BY49/BY$9</f>
        <v>3.4800048662093748E-2</v>
      </c>
      <c r="BZ50" s="52">
        <f t="shared" si="106"/>
        <v>2.9000000000000001E-2</v>
      </c>
      <c r="CA50" s="52">
        <f t="shared" si="106"/>
        <v>2.3000000000000003E-2</v>
      </c>
      <c r="CB50" s="52">
        <f t="shared" si="106"/>
        <v>2.5999999999999999E-2</v>
      </c>
      <c r="CC50" s="52">
        <f t="shared" si="106"/>
        <v>3.7110731145101758E-2</v>
      </c>
    </row>
    <row r="51" spans="2:81" s="55" customFormat="1" hidden="1" outlineLevel="1">
      <c r="B51" s="45" t="s">
        <v>1091</v>
      </c>
      <c r="C51" s="769"/>
      <c r="D51" s="770"/>
      <c r="E51" s="771"/>
      <c r="F51" s="772">
        <f t="shared" ref="F51:L51" si="107">+F29-F47-F49-F45+F55+F54</f>
        <v>380.29420000000016</v>
      </c>
      <c r="G51" s="772">
        <f t="shared" si="107"/>
        <v>241.36157556000015</v>
      </c>
      <c r="H51" s="772">
        <f t="shared" si="107"/>
        <v>703.29121155000018</v>
      </c>
      <c r="I51" s="772">
        <f t="shared" si="107"/>
        <v>1001.1287886400003</v>
      </c>
      <c r="J51" s="772">
        <f t="shared" si="107"/>
        <v>1472.5063020599998</v>
      </c>
      <c r="K51" s="772">
        <f t="shared" si="107"/>
        <v>1771.1630328099993</v>
      </c>
      <c r="L51" s="772">
        <f t="shared" si="107"/>
        <v>2379.15301021</v>
      </c>
      <c r="M51" s="772">
        <f>+M29-M47-M49-M45+M55+M54</f>
        <v>3800.0838701400012</v>
      </c>
      <c r="N51" s="2097">
        <f>+N29-N47-N49-N45+N55+N54</f>
        <v>5435.6400154569565</v>
      </c>
      <c r="O51" s="772">
        <f>+O29-O47-O49-O45+O55+O54</f>
        <v>6767.0166878202208</v>
      </c>
      <c r="P51" s="772">
        <f>+P29-P47-P49-P45+P55+P54</f>
        <v>8139.2295924605096</v>
      </c>
      <c r="Q51" s="1227"/>
      <c r="R51" s="1227"/>
      <c r="S51" s="1227"/>
      <c r="T51" s="947"/>
      <c r="U51" s="45" t="s">
        <v>1091</v>
      </c>
      <c r="V51" s="772">
        <f t="shared" ref="V51:AA51" si="108">+V29-V47-V49-V45+V55+V54</f>
        <v>566.52359999999999</v>
      </c>
      <c r="W51" s="772">
        <f t="shared" si="108"/>
        <v>434.60518864000028</v>
      </c>
      <c r="X51" s="772">
        <f t="shared" si="108"/>
        <v>842.03182900000013</v>
      </c>
      <c r="Y51" s="772">
        <f t="shared" si="108"/>
        <v>630.4744730599997</v>
      </c>
      <c r="Z51" s="772">
        <f t="shared" si="108"/>
        <v>961.8459887199997</v>
      </c>
      <c r="AA51" s="772">
        <f t="shared" si="108"/>
        <v>809.31704408999974</v>
      </c>
      <c r="AB51" s="772">
        <f t="shared" ref="AB51:AG51" si="109">+AB29-AB47-AB49-AB45+AB55+AB54</f>
        <v>1312.7724508299993</v>
      </c>
      <c r="AC51" s="772">
        <f t="shared" si="109"/>
        <v>1066.3805593800014</v>
      </c>
      <c r="AD51" s="772">
        <f t="shared" si="109"/>
        <v>1992.3363840800002</v>
      </c>
      <c r="AE51" s="772">
        <f t="shared" si="109"/>
        <v>1807.7474860600005</v>
      </c>
      <c r="AF51" s="772">
        <f t="shared" si="109"/>
        <v>2842.298607300002</v>
      </c>
      <c r="AG51" s="772">
        <f t="shared" si="109"/>
        <v>2593.3414081569545</v>
      </c>
      <c r="AH51" s="772">
        <f t="shared" ref="AH51:AI51" si="110">+AH29-AH47-AH49-AH45+AH55+AH54</f>
        <v>3603.5978508931012</v>
      </c>
      <c r="AI51" s="772">
        <f t="shared" si="110"/>
        <v>3163.4188369271196</v>
      </c>
      <c r="AJ51" s="1227"/>
      <c r="AK51" s="1227"/>
      <c r="AL51" s="1227"/>
      <c r="AM51" s="1227"/>
      <c r="AN51" s="1227"/>
      <c r="AO51" s="1227"/>
      <c r="AP51" s="1227"/>
      <c r="AQ51" s="1227"/>
      <c r="AR51" s="1227"/>
      <c r="AS51" s="1227"/>
      <c r="AT51" s="1227"/>
      <c r="AU51" s="1227"/>
      <c r="AV51" s="1227"/>
      <c r="AW51" s="1227"/>
      <c r="AX51" s="1227"/>
      <c r="AY51" s="947"/>
      <c r="AZ51" s="773" t="s">
        <v>1091</v>
      </c>
      <c r="BA51" s="773"/>
      <c r="BB51" s="772">
        <f t="shared" ref="BB51:BI51" si="111">+BB29-BB47-BB49-BB45</f>
        <v>204.93954829999993</v>
      </c>
      <c r="BC51" s="772">
        <f t="shared" si="111"/>
        <v>362.57695170000005</v>
      </c>
      <c r="BD51" s="772">
        <f t="shared" si="111"/>
        <v>316.13275324999989</v>
      </c>
      <c r="BE51" s="772">
        <f t="shared" si="111"/>
        <v>116.86201469000032</v>
      </c>
      <c r="BF51" s="772">
        <f t="shared" si="111"/>
        <v>429.81866008000014</v>
      </c>
      <c r="BG51" s="772">
        <f t="shared" si="111"/>
        <v>406.77277305000007</v>
      </c>
      <c r="BH51" s="772">
        <f t="shared" si="111"/>
        <v>377.51520170999942</v>
      </c>
      <c r="BI51" s="772">
        <f t="shared" si="111"/>
        <v>142.51461173000035</v>
      </c>
      <c r="BJ51" s="772">
        <f>+BJ29-BJ47-BJ49-BJ45+BJ55+BJ54</f>
        <v>437.71609525999992</v>
      </c>
      <c r="BK51" s="772">
        <f t="shared" ref="BK51:BX51" si="112">+BK29-BK47-BK49-BK45+BK55+BK54</f>
        <v>524.12989345999995</v>
      </c>
      <c r="BL51" s="772">
        <f t="shared" si="112"/>
        <v>466.56922695000048</v>
      </c>
      <c r="BM51" s="772">
        <f t="shared" si="112"/>
        <v>342.74781713999943</v>
      </c>
      <c r="BN51" s="772">
        <f t="shared" si="112"/>
        <v>607.19977640000025</v>
      </c>
      <c r="BO51" s="772">
        <f t="shared" si="112"/>
        <v>705.57267377999915</v>
      </c>
      <c r="BP51" s="772">
        <f t="shared" si="112"/>
        <v>606.64280765000137</v>
      </c>
      <c r="BQ51" s="772">
        <f t="shared" si="112"/>
        <v>459.73775237999996</v>
      </c>
      <c r="BR51" s="772">
        <f t="shared" si="112"/>
        <v>769.54839082999956</v>
      </c>
      <c r="BS51" s="772">
        <f t="shared" si="112"/>
        <v>1222.7879919700006</v>
      </c>
      <c r="BT51" s="772">
        <f t="shared" si="112"/>
        <v>1149.9494523400006</v>
      </c>
      <c r="BU51" s="772">
        <f t="shared" si="112"/>
        <v>657.79803500000014</v>
      </c>
      <c r="BV51" s="772">
        <f t="shared" si="112"/>
        <v>1186.7698960500002</v>
      </c>
      <c r="BW51" s="772">
        <f t="shared" si="112"/>
        <v>1655.5287112500018</v>
      </c>
      <c r="BX51" s="772">
        <f t="shared" si="112"/>
        <v>1713.2458303999983</v>
      </c>
      <c r="BY51" s="772">
        <f t="shared" ref="BY51:CC51" si="113">+BY29-BY47-BY49-BY45+BY55+BY54</f>
        <v>880.09557775695589</v>
      </c>
      <c r="BZ51" s="772">
        <f t="shared" si="113"/>
        <v>1528.169813887464</v>
      </c>
      <c r="CA51" s="772">
        <f t="shared" si="113"/>
        <v>2075.4280370056376</v>
      </c>
      <c r="CB51" s="772">
        <f t="shared" si="113"/>
        <v>2011.358072224594</v>
      </c>
      <c r="CC51" s="772">
        <f t="shared" si="113"/>
        <v>1152.0607647025254</v>
      </c>
    </row>
    <row r="52" spans="2:81" s="38" customFormat="1" hidden="1" outlineLevel="1">
      <c r="B52" s="45" t="s">
        <v>942</v>
      </c>
      <c r="C52" s="44"/>
      <c r="D52" s="613"/>
      <c r="E52" s="52"/>
      <c r="F52" s="52">
        <f t="shared" ref="F52:N52" si="114">F51/F$9</f>
        <v>0.13372711993596195</v>
      </c>
      <c r="G52" s="52">
        <f t="shared" si="114"/>
        <v>7.9459659273238184E-2</v>
      </c>
      <c r="H52" s="52">
        <f t="shared" si="114"/>
        <v>0.16710301341938441</v>
      </c>
      <c r="I52" s="52">
        <f t="shared" si="114"/>
        <v>0.20190143388417028</v>
      </c>
      <c r="J52" s="52">
        <f t="shared" si="114"/>
        <v>0.21102662147971965</v>
      </c>
      <c r="K52" s="52">
        <f>K51/K$9</f>
        <v>0.20824007940032155</v>
      </c>
      <c r="L52" s="52">
        <f>L51/L$9</f>
        <v>0.21124003445466707</v>
      </c>
      <c r="M52" s="52">
        <f>M51/M$9</f>
        <v>0.23992167559503369</v>
      </c>
      <c r="N52" s="1505">
        <f t="shared" si="114"/>
        <v>0.25893974798083536</v>
      </c>
      <c r="O52" s="52">
        <f>O51/O$9</f>
        <v>0.26638118499888008</v>
      </c>
      <c r="P52" s="52">
        <f>P51/P$9</f>
        <v>0.27320197555031528</v>
      </c>
      <c r="Q52" s="1226"/>
      <c r="R52" s="1226"/>
      <c r="S52" s="1226"/>
      <c r="T52" s="945"/>
      <c r="U52" s="45" t="s">
        <v>942</v>
      </c>
      <c r="V52" s="52">
        <f t="shared" ref="V52:AC52" si="115">V51/V$9</f>
        <v>0.22941168538403109</v>
      </c>
      <c r="W52" s="52">
        <f t="shared" si="115"/>
        <v>0.17460756067815572</v>
      </c>
      <c r="X52" s="52">
        <f t="shared" si="115"/>
        <v>0.22867245328433311</v>
      </c>
      <c r="Y52" s="52">
        <f t="shared" si="115"/>
        <v>0.19131022809575424</v>
      </c>
      <c r="Z52" s="52">
        <f t="shared" si="115"/>
        <v>0.22413996155430096</v>
      </c>
      <c r="AA52" s="52">
        <f t="shared" si="115"/>
        <v>0.19204907868758295</v>
      </c>
      <c r="AB52" s="52">
        <f t="shared" si="115"/>
        <v>0.24042637162006683</v>
      </c>
      <c r="AC52" s="52">
        <f t="shared" si="115"/>
        <v>0.18377604470796113</v>
      </c>
      <c r="AD52" s="52">
        <f t="shared" ref="AD52:AI52" si="116">AD51/AD$9</f>
        <v>0.25305011343496031</v>
      </c>
      <c r="AE52" s="52">
        <f t="shared" si="116"/>
        <v>0.22694532257453551</v>
      </c>
      <c r="AF52" s="52">
        <f t="shared" si="116"/>
        <v>0.26472917239680988</v>
      </c>
      <c r="AG52" s="52">
        <f t="shared" si="116"/>
        <v>0.25287858929615437</v>
      </c>
      <c r="AH52" s="52">
        <f t="shared" si="116"/>
        <v>0.27409691623514032</v>
      </c>
      <c r="AI52" s="52">
        <f t="shared" si="116"/>
        <v>0.25810465299635893</v>
      </c>
      <c r="AJ52" s="1226"/>
      <c r="AK52" s="1226"/>
      <c r="AL52" s="1226"/>
      <c r="AM52" s="1226"/>
      <c r="AN52" s="1226"/>
      <c r="AO52" s="1226"/>
      <c r="AP52" s="1226"/>
      <c r="AQ52" s="1226"/>
      <c r="AR52" s="1226"/>
      <c r="AS52" s="1226"/>
      <c r="AT52" s="1226"/>
      <c r="AU52" s="1226"/>
      <c r="AV52" s="1226"/>
      <c r="AW52" s="1226"/>
      <c r="AX52" s="1226"/>
      <c r="AY52" s="945"/>
      <c r="AZ52" s="53" t="s">
        <v>942</v>
      </c>
      <c r="BA52" s="53"/>
      <c r="BB52" s="52">
        <f t="shared" ref="BB52:BI52" si="117">BB51/BB$9</f>
        <v>0.21960565037808999</v>
      </c>
      <c r="BC52" s="52">
        <f t="shared" si="117"/>
        <v>0.23601482528222426</v>
      </c>
      <c r="BD52" s="52">
        <f t="shared" si="117"/>
        <v>0.20082960381728818</v>
      </c>
      <c r="BE52" s="52">
        <f t="shared" si="117"/>
        <v>0.1277312140489035</v>
      </c>
      <c r="BF52" s="52">
        <f t="shared" si="117"/>
        <v>0.2511706147871311</v>
      </c>
      <c r="BG52" s="52">
        <f>BG51/BG$9</f>
        <v>0.20637887744637926</v>
      </c>
      <c r="BH52" s="52">
        <f>BH51/BH$9</f>
        <v>0.20102508606367689</v>
      </c>
      <c r="BI52" s="52">
        <f t="shared" si="117"/>
        <v>0.10053160602843403</v>
      </c>
      <c r="BJ52" s="52">
        <f>BJ51/BJ$9</f>
        <v>0.21814440257850115</v>
      </c>
      <c r="BK52" s="52">
        <f>BK51/BK$9</f>
        <v>0.22940550284853209</v>
      </c>
      <c r="BL52" s="52">
        <f t="shared" ref="BL52:BQ52" si="118">BL51/BL$9</f>
        <v>0.19828074381581115</v>
      </c>
      <c r="BM52" s="52">
        <f t="shared" si="118"/>
        <v>0.18416985364776114</v>
      </c>
      <c r="BN52" s="52">
        <f t="shared" si="118"/>
        <v>0.24377054604316201</v>
      </c>
      <c r="BO52" s="52">
        <f t="shared" si="118"/>
        <v>0.23762105110478926</v>
      </c>
      <c r="BP52" s="52">
        <f t="shared" si="118"/>
        <v>0.19072454930481628</v>
      </c>
      <c r="BQ52" s="52">
        <f t="shared" si="118"/>
        <v>0.17534648875867187</v>
      </c>
      <c r="BR52" s="52">
        <f t="shared" ref="BR52:BX52" si="119">BR51/BR$9</f>
        <v>0.22099693158190004</v>
      </c>
      <c r="BS52" s="52">
        <f t="shared" si="119"/>
        <v>0.27846835593196989</v>
      </c>
      <c r="BT52" s="52">
        <f t="shared" si="119"/>
        <v>0.24545379102076859</v>
      </c>
      <c r="BU52" s="52">
        <f t="shared" si="119"/>
        <v>0.20051331617086479</v>
      </c>
      <c r="BV52" s="52">
        <f t="shared" si="119"/>
        <v>0.24479215002464019</v>
      </c>
      <c r="BW52" s="52">
        <f t="shared" si="119"/>
        <v>0.28114340222025969</v>
      </c>
      <c r="BX52" s="52">
        <f t="shared" si="119"/>
        <v>0.28052242384552378</v>
      </c>
      <c r="BY52" s="52">
        <f t="shared" ref="BY52:CC52" si="120">BY51/BY$9</f>
        <v>0.21217641150369912</v>
      </c>
      <c r="BZ52" s="52">
        <f t="shared" si="120"/>
        <v>0.2562698240722816</v>
      </c>
      <c r="CA52" s="52">
        <f t="shared" si="120"/>
        <v>0.28889433635309603</v>
      </c>
      <c r="CB52" s="52">
        <f t="shared" si="120"/>
        <v>0.26775166526560024</v>
      </c>
      <c r="CC52" s="52">
        <f t="shared" si="120"/>
        <v>0.24282981324779729</v>
      </c>
    </row>
    <row r="53" spans="2:81" s="382" customFormat="1" hidden="1" outlineLevel="1">
      <c r="B53" s="379" t="s">
        <v>90</v>
      </c>
      <c r="C53" s="379"/>
      <c r="D53" s="380" t="s">
        <v>29</v>
      </c>
      <c r="E53" s="381"/>
      <c r="F53" s="1121">
        <f>Model!C38</f>
        <v>-10.454000000000001</v>
      </c>
      <c r="G53" s="1121">
        <f>Model!D38</f>
        <v>-5.0820752200000001</v>
      </c>
      <c r="H53" s="1121">
        <f>Model!E38</f>
        <v>13.965657160000001</v>
      </c>
      <c r="I53" s="1121">
        <f>Model!F38</f>
        <v>15.930939990000001</v>
      </c>
      <c r="J53" s="1121">
        <f>Model!G38</f>
        <v>11.39395732</v>
      </c>
      <c r="K53" s="1121">
        <f>Model!H38</f>
        <v>-41.039483529999998</v>
      </c>
      <c r="L53" s="1121">
        <f>Model!I38</f>
        <v>-2.28561682</v>
      </c>
      <c r="M53" s="1121">
        <f>Model!J38</f>
        <v>190.5357315</v>
      </c>
      <c r="N53" s="1506">
        <f>Model!K38</f>
        <v>139.04710740294567</v>
      </c>
      <c r="O53" s="1121">
        <f>Model!L38</f>
        <v>191.45247511645945</v>
      </c>
      <c r="P53" s="1121">
        <f>Model!M38</f>
        <v>208.22261531516895</v>
      </c>
      <c r="Q53" s="1468"/>
      <c r="R53" s="1468"/>
      <c r="S53" s="1468"/>
      <c r="T53" s="950"/>
      <c r="U53" s="380" t="str">
        <f>D53</f>
        <v>财务费用</v>
      </c>
      <c r="V53" s="851">
        <f t="shared" ref="V53:V65" si="121">+SUM(BB53:BC53)</f>
        <v>-6.8220000000000001</v>
      </c>
      <c r="W53" s="381">
        <f>+I53-V53</f>
        <v>22.752939990000002</v>
      </c>
      <c r="X53" s="381">
        <f>+SUM(BF53:BG53)</f>
        <v>-4.2964605499999999</v>
      </c>
      <c r="Y53" s="381">
        <f>+J53-X53</f>
        <v>15.690417870000001</v>
      </c>
      <c r="Z53" s="381">
        <f>+SUM(BJ53:BK53)</f>
        <v>20.767388030000003</v>
      </c>
      <c r="AA53" s="381">
        <f>+K53-Z53</f>
        <v>-61.806871560000005</v>
      </c>
      <c r="AB53" s="1236">
        <v>-5.2930758400000002</v>
      </c>
      <c r="AC53" s="381">
        <f>+L53-AB53</f>
        <v>3.0074590200000002</v>
      </c>
      <c r="AD53" s="1236">
        <v>-104.44443699999999</v>
      </c>
      <c r="AE53" s="381">
        <f>+M53-AD53</f>
        <v>294.98016849999999</v>
      </c>
      <c r="AF53" s="381">
        <f>-BV53-+BW53</f>
        <v>64.222622189999996</v>
      </c>
      <c r="AG53" s="381">
        <f>-BX53-+BY53</f>
        <v>74.824485212945675</v>
      </c>
      <c r="AH53" s="381">
        <f>-BZ53-+CA53</f>
        <v>64.222622189999996</v>
      </c>
      <c r="AI53" s="381">
        <f>-CB53-+CC53</f>
        <v>127.22985292645946</v>
      </c>
      <c r="AY53" s="950"/>
      <c r="AZ53" s="380" t="str">
        <f>U53</f>
        <v>财务费用</v>
      </c>
      <c r="BA53" s="380"/>
      <c r="BB53" s="410">
        <f>+Quarterly!D58</f>
        <v>-3.7269526499999999</v>
      </c>
      <c r="BC53" s="410">
        <f>+Quarterly!E58</f>
        <v>-3.0950473500000002</v>
      </c>
      <c r="BD53" s="410">
        <f>+Quarterly!F58</f>
        <v>-4.619569470000001</v>
      </c>
      <c r="BE53" s="410">
        <f>+I53-SUM(BB53:BD53)</f>
        <v>27.372509460000003</v>
      </c>
      <c r="BF53" s="410">
        <f>+Quarterly!H58</f>
        <v>-2.3103463500000001</v>
      </c>
      <c r="BG53" s="410">
        <f>+Quarterly!I58</f>
        <v>-1.9861141999999998</v>
      </c>
      <c r="BH53" s="410">
        <f>+Quarterly!J58</f>
        <v>-6.3750548500000006</v>
      </c>
      <c r="BI53" s="410">
        <f>+J53-SUM(BF53:BH53)</f>
        <v>22.065472720000002</v>
      </c>
      <c r="BJ53" s="410">
        <f>+Quarterly!L58</f>
        <v>7.1531040399999997</v>
      </c>
      <c r="BK53" s="410">
        <f>+Quarterly!M58</f>
        <v>13.614283990000004</v>
      </c>
      <c r="BL53" s="410">
        <f>+Quarterly!N58</f>
        <v>13.885305319999997</v>
      </c>
      <c r="BM53" s="410">
        <f>+Quarterly!O58</f>
        <v>6.3867901799999984</v>
      </c>
      <c r="BN53" s="410">
        <f>+Quarterly!P58</f>
        <v>-5.9037631100000008</v>
      </c>
      <c r="BO53" s="410">
        <f>+Quarterly!Q58</f>
        <v>0.61068727000000056</v>
      </c>
      <c r="BP53" s="410">
        <f>+Quarterly!R58</f>
        <v>-18.629631809999999</v>
      </c>
      <c r="BQ53" s="410">
        <f>+Quarterly!S58</f>
        <v>26.208324470000001</v>
      </c>
      <c r="BR53" s="410">
        <f>+Quarterly!T58</f>
        <v>-45.066576090000005</v>
      </c>
      <c r="BS53" s="410">
        <f>+Quarterly!U58</f>
        <v>-59.377861069999987</v>
      </c>
      <c r="BT53" s="410">
        <f>+Quarterly!V58</f>
        <v>-30.469263840000011</v>
      </c>
      <c r="BU53" s="410">
        <f>+Quarterly!W58</f>
        <v>-55.622030499999994</v>
      </c>
      <c r="BV53" s="410">
        <f>+Quarterly!X58</f>
        <v>-18.06672721</v>
      </c>
      <c r="BW53" s="410">
        <f>+Quarterly!Y58</f>
        <v>-46.155894979999999</v>
      </c>
      <c r="BX53" s="410">
        <f>+Quarterly!Z58</f>
        <v>-9.4679810700000075</v>
      </c>
      <c r="BY53" s="410">
        <f>+Quarterly!AA58</f>
        <v>-65.356504142945667</v>
      </c>
      <c r="BZ53" s="410">
        <f>+Quarterly!AB58</f>
        <v>-18.06672721</v>
      </c>
      <c r="CA53" s="410">
        <f>+Quarterly!AC58</f>
        <v>-46.155894979999999</v>
      </c>
      <c r="CB53" s="410">
        <f>+Quarterly!AD58</f>
        <v>-9.4679810700000075</v>
      </c>
      <c r="CC53" s="410">
        <f>+Quarterly!AE58</f>
        <v>-117.76187185645945</v>
      </c>
    </row>
    <row r="54" spans="2:81" s="382" customFormat="1" hidden="1" outlineLevel="1">
      <c r="B54" s="379" t="s">
        <v>89</v>
      </c>
      <c r="C54" s="379"/>
      <c r="D54" s="380" t="s">
        <v>88</v>
      </c>
      <c r="E54" s="381"/>
      <c r="F54" s="1121">
        <f>Model!C28</f>
        <v>-0.53539999999999999</v>
      </c>
      <c r="G54" s="1121">
        <f>Model!D28</f>
        <v>-2.2846108799999998</v>
      </c>
      <c r="H54" s="1121">
        <f>Model!E28</f>
        <v>-6.5609849000000002</v>
      </c>
      <c r="I54" s="1121">
        <f>Model!F28</f>
        <v>0.61752069999999992</v>
      </c>
      <c r="J54" s="1121">
        <f>Model!G28</f>
        <v>-0.78503443999999989</v>
      </c>
      <c r="K54" s="1121">
        <f>Model!H28</f>
        <v>-0.35814104999999996</v>
      </c>
      <c r="L54" s="1121">
        <f>Model!I28</f>
        <v>-1.6924195800000001</v>
      </c>
      <c r="M54" s="1121">
        <f>Model!J28</f>
        <v>-0.95792707999999993</v>
      </c>
      <c r="N54" s="1506">
        <f>Model!K28</f>
        <v>-0.95792707999999993</v>
      </c>
      <c r="O54" s="1121">
        <f>Model!L28</f>
        <v>-0.95792707999999993</v>
      </c>
      <c r="P54" s="1121">
        <f>Model!M28</f>
        <v>-0.95792707999999993</v>
      </c>
      <c r="Q54" s="1468"/>
      <c r="R54" s="1468"/>
      <c r="S54" s="1468"/>
      <c r="T54" s="950"/>
      <c r="U54" s="380" t="str">
        <f>D54</f>
        <v>资产减值损失</v>
      </c>
      <c r="V54" s="851">
        <f t="shared" si="121"/>
        <v>-0.99290000000000012</v>
      </c>
      <c r="W54" s="381">
        <f>+I54-V54</f>
        <v>1.6104207000000001</v>
      </c>
      <c r="X54" s="381">
        <f>+SUM(BF54:BG54)</f>
        <v>-0.76998363999999997</v>
      </c>
      <c r="Y54" s="381">
        <f>+J54-X54</f>
        <v>-1.505079999999992E-2</v>
      </c>
      <c r="Z54" s="381">
        <f t="shared" ref="Z54:Z62" si="122">+SUM(BJ54:BK54)</f>
        <v>-0.85894649999999995</v>
      </c>
      <c r="AA54" s="381">
        <f>+K54-Z54</f>
        <v>0.50080544999999999</v>
      </c>
      <c r="AB54" s="1236">
        <v>-1.2481800000000001</v>
      </c>
      <c r="AC54" s="381">
        <f>+L54-AB54</f>
        <v>-0.44423958000000008</v>
      </c>
      <c r="AD54" s="1236">
        <v>-1.6200829999999999</v>
      </c>
      <c r="AE54" s="381">
        <f>+M54-AD54</f>
        <v>0.66215592000000001</v>
      </c>
      <c r="AF54" s="381">
        <f t="shared" ref="AF54:AF60" si="123">BV54+BW54</f>
        <v>-1.9277011800000001</v>
      </c>
      <c r="AG54" s="381">
        <f t="shared" ref="AG54:AG60" si="124">BX54+BY54</f>
        <v>0.96977409999999997</v>
      </c>
      <c r="AH54" s="381">
        <f t="shared" ref="AH54:AH60" si="125">BZ54+CA54</f>
        <v>-1.9277011800000001</v>
      </c>
      <c r="AI54" s="381">
        <f t="shared" ref="AI54:AI60" si="126">CB54+CC54</f>
        <v>0.96977410000000019</v>
      </c>
      <c r="AY54" s="950"/>
      <c r="AZ54" s="380" t="str">
        <f>U54</f>
        <v>资产减值损失</v>
      </c>
      <c r="BA54" s="380"/>
      <c r="BB54" s="388">
        <f>+Quarterly!D59</f>
        <v>0.13945005999999999</v>
      </c>
      <c r="BC54" s="410">
        <f>+Quarterly!E59</f>
        <v>-1.13235006</v>
      </c>
      <c r="BD54" s="410">
        <f>+Quarterly!F59</f>
        <v>0.50023401999999995</v>
      </c>
      <c r="BE54" s="410">
        <f>I54-SUM(BB54:BD54)</f>
        <v>1.11018668</v>
      </c>
      <c r="BF54" s="410">
        <f>+Quarterly!H59</f>
        <v>-0.54270748000000002</v>
      </c>
      <c r="BG54" s="410">
        <f>+Quarterly!I59</f>
        <v>-0.22727615999999995</v>
      </c>
      <c r="BH54" s="410">
        <f>+Quarterly!J59</f>
        <v>0.10801010999999994</v>
      </c>
      <c r="BI54" s="410">
        <f>+J54-SUM(BF54:BH54)</f>
        <v>-0.12306090999999986</v>
      </c>
      <c r="BJ54" s="410">
        <f>+Quarterly!L59</f>
        <v>-0.21463557</v>
      </c>
      <c r="BK54" s="410">
        <f>+Quarterly!M59</f>
        <v>-0.64431092999999995</v>
      </c>
      <c r="BL54" s="410">
        <f>+Quarterly!N59</f>
        <v>0.57204188</v>
      </c>
      <c r="BM54" s="410">
        <f>+Quarterly!O59</f>
        <v>-7.1236429999999962E-2</v>
      </c>
      <c r="BN54" s="410">
        <f>+Quarterly!P59</f>
        <v>-1.5557318600000001</v>
      </c>
      <c r="BO54" s="410">
        <f>+Quarterly!Q59</f>
        <v>0.30755085000000015</v>
      </c>
      <c r="BP54" s="410">
        <f>+Quarterly!R59</f>
        <v>-0.86074776999999991</v>
      </c>
      <c r="BQ54" s="410">
        <f>+Quarterly!S59</f>
        <v>0.41650919999999969</v>
      </c>
      <c r="BR54" s="410">
        <f>+Quarterly!T59</f>
        <v>-0.62299958</v>
      </c>
      <c r="BS54" s="410">
        <f>+Quarterly!U59</f>
        <v>-0.99708322000000005</v>
      </c>
      <c r="BT54" s="410">
        <f>+Quarterly!V59</f>
        <v>-1.3708698200000002</v>
      </c>
      <c r="BU54" s="410">
        <f>+Quarterly!W59</f>
        <v>2.0330255400000006</v>
      </c>
      <c r="BV54" s="410">
        <f>+Quarterly!X59</f>
        <v>1.1868386599999998</v>
      </c>
      <c r="BW54" s="410">
        <f>+Quarterly!Y59</f>
        <v>-3.1145398399999999</v>
      </c>
      <c r="BX54" s="2283">
        <f>+Quarterly!Z59</f>
        <v>0.37406512999999975</v>
      </c>
      <c r="BY54" s="410">
        <f>+Quarterly!AA59</f>
        <v>0.59570897000000023</v>
      </c>
      <c r="BZ54" s="410">
        <f>+Quarterly!AB59</f>
        <v>1.1868386599999998</v>
      </c>
      <c r="CA54" s="410">
        <f>+Quarterly!AC59</f>
        <v>-3.1145398399999999</v>
      </c>
      <c r="CB54" s="410">
        <f>+Quarterly!AD59</f>
        <v>0.37406512999999975</v>
      </c>
      <c r="CC54" s="410">
        <f>+Quarterly!AE59</f>
        <v>0.59570897000000045</v>
      </c>
    </row>
    <row r="55" spans="2:81" s="382" customFormat="1" ht="14.25" hidden="1" customHeight="1" outlineLevel="1">
      <c r="B55" s="379" t="s">
        <v>1084</v>
      </c>
      <c r="C55" s="379"/>
      <c r="D55" s="380" t="s">
        <v>87</v>
      </c>
      <c r="E55" s="381"/>
      <c r="F55" s="1121">
        <f>Model!C29</f>
        <v>0</v>
      </c>
      <c r="G55" s="1121">
        <f>Model!D29</f>
        <v>0</v>
      </c>
      <c r="H55" s="1121">
        <f>Model!E29</f>
        <v>0</v>
      </c>
      <c r="I55" s="1121">
        <f>Model!F29</f>
        <v>0</v>
      </c>
      <c r="J55" s="1121">
        <f>Model!G29</f>
        <v>116.67008993</v>
      </c>
      <c r="K55" s="1121">
        <f>Model!H29</f>
        <v>12.7878311</v>
      </c>
      <c r="L55" s="1121">
        <f>Model!I29</f>
        <v>29.3724329</v>
      </c>
      <c r="M55" s="1121">
        <f>Model!J29</f>
        <v>32.948581670000003</v>
      </c>
      <c r="N55" s="1506">
        <f>Model!K29</f>
        <v>201</v>
      </c>
      <c r="O55" s="1121">
        <f>Model!L29</f>
        <v>50</v>
      </c>
      <c r="P55" s="1121">
        <f>Model!M29</f>
        <v>55.000000000000007</v>
      </c>
      <c r="Q55" s="1468"/>
      <c r="R55" s="1468"/>
      <c r="S55" s="1468"/>
      <c r="T55" s="950"/>
      <c r="U55" s="380" t="str">
        <f>D55</f>
        <v>公允价值变动净收益</v>
      </c>
      <c r="V55" s="851">
        <f t="shared" si="121"/>
        <v>0</v>
      </c>
      <c r="W55" s="381">
        <f>+I55-V55</f>
        <v>0</v>
      </c>
      <c r="X55" s="381">
        <f>+SUM(BF55:BG55)</f>
        <v>6.2103795100000001</v>
      </c>
      <c r="Y55" s="381">
        <f>+J55-X55</f>
        <v>110.45971042000001</v>
      </c>
      <c r="Z55" s="381">
        <f t="shared" si="122"/>
        <v>32.879002479999997</v>
      </c>
      <c r="AA55" s="381">
        <f>+K55-Z55</f>
        <v>-20.091171379999999</v>
      </c>
      <c r="AB55" s="1236">
        <v>72.317929000000007</v>
      </c>
      <c r="AC55" s="381">
        <f>+L55-AB55</f>
        <v>-42.945496100000007</v>
      </c>
      <c r="AD55" s="1236">
        <v>14.529544</v>
      </c>
      <c r="AE55" s="381">
        <f>+M55-AD55</f>
        <v>18.419037670000002</v>
      </c>
      <c r="AF55" s="381">
        <f t="shared" si="123"/>
        <v>79.295974889999997</v>
      </c>
      <c r="AG55" s="381">
        <f t="shared" si="124"/>
        <v>121.70402511</v>
      </c>
      <c r="AH55" s="381">
        <f t="shared" si="125"/>
        <v>79.295974889999997</v>
      </c>
      <c r="AI55" s="381">
        <f t="shared" si="126"/>
        <v>-29.295974889999997</v>
      </c>
      <c r="AY55" s="950"/>
      <c r="AZ55" s="380" t="str">
        <f>U55</f>
        <v>公允价值变动净收益</v>
      </c>
      <c r="BA55" s="380"/>
      <c r="BB55" s="388">
        <f>+Quarterly!D56</f>
        <v>0</v>
      </c>
      <c r="BC55" s="410">
        <f>+Quarterly!E56</f>
        <v>0</v>
      </c>
      <c r="BD55" s="410">
        <f>+Quarterly!F56</f>
        <v>0</v>
      </c>
      <c r="BE55" s="410">
        <f>+I55-SUM(BB55:BD55)</f>
        <v>0</v>
      </c>
      <c r="BF55" s="410">
        <f>+Quarterly!H56</f>
        <v>0</v>
      </c>
      <c r="BG55" s="410">
        <f>+Quarterly!I56</f>
        <v>6.2103795100000001</v>
      </c>
      <c r="BH55" s="410">
        <f>+Quarterly!J56</f>
        <v>12.194791560000002</v>
      </c>
      <c r="BI55" s="410">
        <f>+J55-SUM(BF55:BH55)</f>
        <v>98.264918859999995</v>
      </c>
      <c r="BJ55" s="410">
        <f>+Quarterly!L56</f>
        <v>9.0390022499999993</v>
      </c>
      <c r="BK55" s="410">
        <f>+Quarterly!M56</f>
        <v>23.840000229999998</v>
      </c>
      <c r="BL55" s="410">
        <f>+Quarterly!N56</f>
        <v>12.050163420000004</v>
      </c>
      <c r="BM55" s="410">
        <f>+Quarterly!O56</f>
        <v>-32.141334800000003</v>
      </c>
      <c r="BN55" s="410">
        <f>+Quarterly!P56</f>
        <v>31.60465378</v>
      </c>
      <c r="BO55" s="410">
        <f>+Quarterly!Q56</f>
        <v>40.713275379999992</v>
      </c>
      <c r="BP55" s="410">
        <f>+Quarterly!R56</f>
        <v>-9.481077049999989</v>
      </c>
      <c r="BQ55" s="410">
        <f>+Quarterly!S56</f>
        <v>-33.464419210000003</v>
      </c>
      <c r="BR55" s="410">
        <f>+Quarterly!T56</f>
        <v>27.353914769999999</v>
      </c>
      <c r="BS55" s="410">
        <f>+Quarterly!U56</f>
        <v>-12.82437084</v>
      </c>
      <c r="BT55" s="410">
        <f>+Quarterly!V56</f>
        <v>15.245436269999999</v>
      </c>
      <c r="BU55" s="410">
        <f>+Quarterly!W56</f>
        <v>3.1736014700000048</v>
      </c>
      <c r="BV55" s="410">
        <f>+Quarterly!X56</f>
        <v>22.160317339999999</v>
      </c>
      <c r="BW55" s="410">
        <f>+Quarterly!Y56</f>
        <v>57.135657549999998</v>
      </c>
      <c r="BX55" s="2283">
        <f>+Quarterly!Z56</f>
        <v>120.31693178</v>
      </c>
      <c r="BY55" s="410">
        <f>+Quarterly!AA56</f>
        <v>1.387093329999999</v>
      </c>
      <c r="BZ55" s="410">
        <f>+Quarterly!AB56</f>
        <v>22.160317339999999</v>
      </c>
      <c r="CA55" s="410">
        <f>+Quarterly!AC56</f>
        <v>57.135657549999998</v>
      </c>
      <c r="CB55" s="410">
        <f>+Quarterly!AD56</f>
        <v>120.31693178</v>
      </c>
      <c r="CC55" s="410">
        <f>+Quarterly!AE56</f>
        <v>-149.61290667</v>
      </c>
    </row>
    <row r="56" spans="2:81" s="382" customFormat="1" hidden="1" outlineLevel="1">
      <c r="B56" s="379" t="s">
        <v>1081</v>
      </c>
      <c r="C56" s="379"/>
      <c r="D56" s="380" t="s">
        <v>85</v>
      </c>
      <c r="E56" s="381"/>
      <c r="F56" s="1121">
        <f>Model!C43</f>
        <v>19.021000000000001</v>
      </c>
      <c r="G56" s="1121">
        <f>Model!D43</f>
        <v>13.060715949999999</v>
      </c>
      <c r="H56" s="1121">
        <f>Model!E43</f>
        <v>7.1893000999999996</v>
      </c>
      <c r="I56" s="1121">
        <f>Model!F43</f>
        <v>9.8371245799999993</v>
      </c>
      <c r="J56" s="1121">
        <f>Model!G43</f>
        <v>22.52671557</v>
      </c>
      <c r="K56" s="1121">
        <f>Model!H43</f>
        <v>70.018458499999994</v>
      </c>
      <c r="L56" s="1121">
        <f>Model!I43</f>
        <v>141.56359981</v>
      </c>
      <c r="M56" s="1121">
        <f>Model!J43</f>
        <v>95.315854420000008</v>
      </c>
      <c r="N56" s="1506">
        <f>Model!K43</f>
        <v>110</v>
      </c>
      <c r="O56" s="1121">
        <f>Model!L43</f>
        <v>110</v>
      </c>
      <c r="P56" s="1121">
        <f>Model!M43</f>
        <v>110</v>
      </c>
      <c r="Q56" s="1468"/>
      <c r="R56" s="1468"/>
      <c r="S56" s="1468"/>
      <c r="T56" s="950"/>
      <c r="U56" s="380" t="str">
        <f>D56</f>
        <v>投资净收益</v>
      </c>
      <c r="V56" s="851">
        <f t="shared" si="121"/>
        <v>3.9174000000000002</v>
      </c>
      <c r="W56" s="381">
        <f>+I56-V56</f>
        <v>5.9197245799999987</v>
      </c>
      <c r="X56" s="381">
        <f>+SUM(BF56:BG56)</f>
        <v>9.5305684100000008</v>
      </c>
      <c r="Y56" s="381">
        <f>+J56-X56</f>
        <v>12.99614716</v>
      </c>
      <c r="Z56" s="381">
        <f t="shared" si="122"/>
        <v>15.019116070000003</v>
      </c>
      <c r="AA56" s="381">
        <f>+K56-Z56</f>
        <v>54.999342429999992</v>
      </c>
      <c r="AB56" s="1240">
        <f>'Raw Data'!Y46</f>
        <v>72.838272590000003</v>
      </c>
      <c r="AC56" s="381">
        <f>+L56-AB56</f>
        <v>68.725327219999997</v>
      </c>
      <c r="AD56" s="1240">
        <f>'Raw Data'!AC46</f>
        <v>35.853332039999998</v>
      </c>
      <c r="AE56" s="381">
        <f>+M56-AD56</f>
        <v>59.46252238000001</v>
      </c>
      <c r="AF56" s="381">
        <f t="shared" si="123"/>
        <v>56.706210219999996</v>
      </c>
      <c r="AG56" s="381">
        <f t="shared" si="124"/>
        <v>53.293789780000004</v>
      </c>
      <c r="AH56" s="381">
        <f t="shared" si="125"/>
        <v>56.706210219999996</v>
      </c>
      <c r="AI56" s="381">
        <f t="shared" si="126"/>
        <v>53.293789780000004</v>
      </c>
      <c r="AY56" s="950"/>
      <c r="AZ56" s="380" t="str">
        <f>U56</f>
        <v>投资净收益</v>
      </c>
      <c r="BA56" s="380"/>
      <c r="BB56" s="388">
        <f>+Quarterly!D60</f>
        <v>1.09064915</v>
      </c>
      <c r="BC56" s="410">
        <f>+Quarterly!E60</f>
        <v>2.8267508500000003</v>
      </c>
      <c r="BD56" s="410">
        <f>+Quarterly!F60</f>
        <v>2.4244718299999994</v>
      </c>
      <c r="BE56" s="410">
        <f>+I56-SUM(BB56:BD56)</f>
        <v>3.4952527499999997</v>
      </c>
      <c r="BF56" s="410">
        <f>+Quarterly!H60</f>
        <v>3.9421580199999999</v>
      </c>
      <c r="BG56" s="410">
        <f>+Quarterly!I60</f>
        <v>5.5884103900000008</v>
      </c>
      <c r="BH56" s="410">
        <f>+Quarterly!J60</f>
        <v>6.5574395099999983</v>
      </c>
      <c r="BI56" s="410">
        <f>+J56-SUM(BF56:BH56)</f>
        <v>6.4387076500000013</v>
      </c>
      <c r="BJ56" s="410">
        <f>+Quarterly!L60</f>
        <v>4.6209256999999999</v>
      </c>
      <c r="BK56" s="410">
        <f>+Quarterly!M60</f>
        <v>10.398190370000002</v>
      </c>
      <c r="BL56" s="410">
        <f>+Quarterly!N60</f>
        <v>32.316248969999997</v>
      </c>
      <c r="BM56" s="410">
        <f>+Quarterly!O60</f>
        <v>22.683093459999995</v>
      </c>
      <c r="BN56" s="410">
        <f>+Quarterly!P60</f>
        <v>19.176182390000001</v>
      </c>
      <c r="BO56" s="410">
        <f>+Quarterly!Q60</f>
        <v>53.662090200000002</v>
      </c>
      <c r="BP56" s="410">
        <f>+Quarterly!R60</f>
        <v>48.318441419999999</v>
      </c>
      <c r="BQ56" s="410">
        <f>+Quarterly!S60</f>
        <v>20.406885799999998</v>
      </c>
      <c r="BR56" s="410">
        <f>+Quarterly!T60</f>
        <v>8.6223378800000017</v>
      </c>
      <c r="BS56" s="410">
        <f>+Quarterly!U60</f>
        <v>27.230994159999995</v>
      </c>
      <c r="BT56" s="410">
        <f>+Quarterly!V60</f>
        <v>30.859406550000003</v>
      </c>
      <c r="BU56" s="410">
        <f>+Quarterly!W60</f>
        <v>28.603115830000007</v>
      </c>
      <c r="BV56" s="410">
        <f>+Quarterly!X60</f>
        <v>26.18870961</v>
      </c>
      <c r="BW56" s="410">
        <f>+Quarterly!Y60</f>
        <v>30.517500609999995</v>
      </c>
      <c r="BX56" s="410">
        <f>+Quarterly!Z60</f>
        <v>33.951054030000002</v>
      </c>
      <c r="BY56" s="410">
        <f>+Quarterly!AA60</f>
        <v>19.342735750000003</v>
      </c>
      <c r="BZ56" s="410">
        <f>+Quarterly!AB60</f>
        <v>26.18870961</v>
      </c>
      <c r="CA56" s="410">
        <f>+Quarterly!AC60</f>
        <v>30.517500609999995</v>
      </c>
      <c r="CB56" s="410">
        <f>+Quarterly!AD60</f>
        <v>33.951054030000002</v>
      </c>
      <c r="CC56" s="410">
        <f>+Quarterly!AE60</f>
        <v>19.342735750000003</v>
      </c>
    </row>
    <row r="57" spans="2:81" s="382" customFormat="1" ht="33.75" hidden="1" customHeight="1" outlineLevel="1">
      <c r="B57" s="384" t="s">
        <v>84</v>
      </c>
      <c r="C57" s="384"/>
      <c r="D57" s="380" t="s">
        <v>83</v>
      </c>
      <c r="E57" s="381"/>
      <c r="F57" s="1122">
        <f>Model!C44</f>
        <v>0</v>
      </c>
      <c r="G57" s="1122">
        <f>Model!D44</f>
        <v>0</v>
      </c>
      <c r="H57" s="1122">
        <f>Model!E44</f>
        <v>0</v>
      </c>
      <c r="I57" s="1122">
        <f>Model!F44</f>
        <v>0</v>
      </c>
      <c r="J57" s="1122">
        <f>Model!G44</f>
        <v>0</v>
      </c>
      <c r="K57" s="1122">
        <f>Model!H44</f>
        <v>0</v>
      </c>
      <c r="L57" s="1122">
        <f>Model!I44</f>
        <v>0</v>
      </c>
      <c r="M57" s="1122">
        <f>Model!J44</f>
        <v>0</v>
      </c>
      <c r="N57" s="1507">
        <f>Model!K44</f>
        <v>0</v>
      </c>
      <c r="O57" s="1122">
        <f>Model!L44</f>
        <v>0</v>
      </c>
      <c r="P57" s="1122">
        <f>Model!M44</f>
        <v>0</v>
      </c>
      <c r="Q57" s="1469"/>
      <c r="R57" s="1469"/>
      <c r="S57" s="1469"/>
      <c r="T57" s="950"/>
      <c r="U57" s="380" t="str">
        <f>D57</f>
        <v>其中：对联营企业和合营企业的投资收益</v>
      </c>
      <c r="V57" s="851">
        <f t="shared" si="121"/>
        <v>0</v>
      </c>
      <c r="W57" s="381">
        <f>+I57-V57</f>
        <v>0</v>
      </c>
      <c r="X57" s="381">
        <f t="shared" ref="X57:X62" si="127">+SUM(BF57:BG57)</f>
        <v>0</v>
      </c>
      <c r="Y57" s="381">
        <f>+J57-X57</f>
        <v>0</v>
      </c>
      <c r="Z57" s="381">
        <f t="shared" si="122"/>
        <v>0</v>
      </c>
      <c r="AA57" s="381">
        <f>+K57-Z57</f>
        <v>0</v>
      </c>
      <c r="AB57" s="1236">
        <v>0</v>
      </c>
      <c r="AC57" s="381">
        <f>+L57-AB57</f>
        <v>0</v>
      </c>
      <c r="AD57" s="1236">
        <v>0</v>
      </c>
      <c r="AE57" s="381">
        <f>+M57-AD57</f>
        <v>0</v>
      </c>
      <c r="AF57" s="381">
        <f t="shared" si="123"/>
        <v>0</v>
      </c>
      <c r="AG57" s="381">
        <f t="shared" si="124"/>
        <v>0</v>
      </c>
      <c r="AH57" s="381">
        <f t="shared" si="125"/>
        <v>0</v>
      </c>
      <c r="AI57" s="381">
        <f t="shared" si="126"/>
        <v>0</v>
      </c>
      <c r="AY57" s="950"/>
      <c r="AZ57" s="380" t="str">
        <f>U57</f>
        <v>其中：对联营企业和合营企业的投资收益</v>
      </c>
      <c r="BA57" s="380"/>
      <c r="BB57" s="410"/>
      <c r="BC57" s="410"/>
      <c r="BD57" s="410"/>
      <c r="BE57" s="410"/>
      <c r="BF57" s="410"/>
      <c r="BG57" s="410"/>
      <c r="BH57" s="410"/>
      <c r="BI57" s="410"/>
      <c r="BJ57" s="410"/>
      <c r="BK57" s="410"/>
      <c r="BL57" s="410"/>
      <c r="BM57" s="410"/>
      <c r="BN57" s="1123"/>
      <c r="BO57" s="410"/>
      <c r="BP57" s="1123"/>
      <c r="BQ57" s="410"/>
      <c r="BR57" s="410"/>
      <c r="BS57" s="410"/>
      <c r="BT57" s="410"/>
      <c r="BU57" s="410"/>
      <c r="BV57" s="410"/>
      <c r="BW57" s="410"/>
      <c r="BX57" s="410"/>
      <c r="BY57" s="410"/>
      <c r="BZ57" s="410"/>
      <c r="CA57" s="410"/>
      <c r="CB57" s="410"/>
      <c r="CC57" s="410"/>
    </row>
    <row r="58" spans="2:81" s="382" customFormat="1" hidden="1" outlineLevel="1">
      <c r="B58" s="379" t="s">
        <v>1049</v>
      </c>
      <c r="C58" s="384"/>
      <c r="D58" s="380" t="s">
        <v>992</v>
      </c>
      <c r="E58" s="381"/>
      <c r="F58" s="1122">
        <f>+Model!C46</f>
        <v>10.3</v>
      </c>
      <c r="G58" s="1122">
        <f>+Model!D46</f>
        <v>25.5671</v>
      </c>
      <c r="H58" s="1122">
        <f>+Model!E46</f>
        <v>16.186299999999999</v>
      </c>
      <c r="I58" s="1122">
        <f>+Model!F46</f>
        <v>23.403700000000001</v>
      </c>
      <c r="J58" s="1122">
        <f>+Model!G46</f>
        <v>22.13032961</v>
      </c>
      <c r="K58" s="1122">
        <f>+Model!H46</f>
        <v>54.124659340000001</v>
      </c>
      <c r="L58" s="1122">
        <f>+Model!I46</f>
        <v>69.936746679999999</v>
      </c>
      <c r="M58" s="1122">
        <f>+Model!J46</f>
        <v>58.834579660000003</v>
      </c>
      <c r="N58" s="1508">
        <v>76</v>
      </c>
      <c r="O58" s="1123">
        <f>+N58</f>
        <v>76</v>
      </c>
      <c r="P58" s="1123">
        <f>+O58*0.9</f>
        <v>68.400000000000006</v>
      </c>
      <c r="Q58" s="1470"/>
      <c r="R58" s="1470"/>
      <c r="S58" s="1470"/>
      <c r="T58" s="950"/>
      <c r="U58" s="380" t="s">
        <v>992</v>
      </c>
      <c r="V58" s="851">
        <f t="shared" si="121"/>
        <v>6.93</v>
      </c>
      <c r="W58" s="381">
        <f>+I58-V58</f>
        <v>16.473700000000001</v>
      </c>
      <c r="X58" s="381">
        <f t="shared" si="127"/>
        <v>11.25573007</v>
      </c>
      <c r="Y58" s="381">
        <f>+J58-X58</f>
        <v>10.87459954</v>
      </c>
      <c r="Z58" s="381">
        <f t="shared" si="122"/>
        <v>9.1197664499999984</v>
      </c>
      <c r="AA58" s="381">
        <f>+K58-Z58</f>
        <v>45.004892890000001</v>
      </c>
      <c r="AB58" s="1236">
        <v>10.470394000000001</v>
      </c>
      <c r="AC58" s="381">
        <f>+L58-AB58</f>
        <v>59.46635268</v>
      </c>
      <c r="AD58" s="1236">
        <v>17.2865</v>
      </c>
      <c r="AE58" s="381">
        <f>+M58-AD58</f>
        <v>41.548079659999999</v>
      </c>
      <c r="AF58" s="381">
        <f t="shared" si="123"/>
        <v>43.539441240000002</v>
      </c>
      <c r="AG58" s="381">
        <f t="shared" si="124"/>
        <v>41.460558759999998</v>
      </c>
      <c r="AH58" s="381">
        <f t="shared" si="125"/>
        <v>43.539441240000002</v>
      </c>
      <c r="AI58" s="381">
        <f t="shared" si="126"/>
        <v>32.460558759999998</v>
      </c>
      <c r="AY58" s="950"/>
      <c r="AZ58" s="380" t="s">
        <v>992</v>
      </c>
      <c r="BA58" s="380"/>
      <c r="BB58" s="388">
        <f>Quarterly!D62</f>
        <v>1.1299999999999999</v>
      </c>
      <c r="BC58" s="410">
        <f>Quarterly!E62</f>
        <v>5.8</v>
      </c>
      <c r="BD58" s="410">
        <f>Quarterly!F62</f>
        <v>9.3099999999999987</v>
      </c>
      <c r="BE58" s="410">
        <f>+I58-SUM(BB58:BD58)</f>
        <v>7.1637000000000022</v>
      </c>
      <c r="BF58" s="410">
        <f>Quarterly!H62</f>
        <v>3.4330098000000002</v>
      </c>
      <c r="BG58" s="410">
        <f>Quarterly!I62</f>
        <v>7.8227202699999996</v>
      </c>
      <c r="BH58" s="410">
        <f>Quarterly!J62</f>
        <v>3.2973250299999997</v>
      </c>
      <c r="BI58" s="410">
        <f>+J58-SUM(BF58:BH58)</f>
        <v>7.5772745100000005</v>
      </c>
      <c r="BJ58" s="410">
        <f>Quarterly!L62</f>
        <v>4.4699807499999995</v>
      </c>
      <c r="BK58" s="410">
        <f>Quarterly!M62</f>
        <v>4.6497856999999989</v>
      </c>
      <c r="BL58" s="410">
        <f>Quarterly!N62</f>
        <v>46.866153429999997</v>
      </c>
      <c r="BM58" s="410">
        <f>Quarterly!O62</f>
        <v>-1.8612605399999964</v>
      </c>
      <c r="BN58" s="410">
        <f>Quarterly!P62</f>
        <v>8.6078136599999997</v>
      </c>
      <c r="BO58" s="410">
        <f>Quarterly!Q62</f>
        <v>1.8599964999999994</v>
      </c>
      <c r="BP58" s="410">
        <f>Quarterly!R62</f>
        <v>15.095891560000002</v>
      </c>
      <c r="BQ58" s="410">
        <f>Quarterly!S62</f>
        <v>44.373044960000001</v>
      </c>
      <c r="BR58" s="410">
        <f>Quarterly!T62</f>
        <v>11.483304520000001</v>
      </c>
      <c r="BS58" s="410">
        <f>Quarterly!U62</f>
        <v>5.6634353800000028</v>
      </c>
      <c r="BT58" s="410">
        <f>Quarterly!V62</f>
        <v>6.8865992999999968</v>
      </c>
      <c r="BU58" s="410">
        <f>Quarterly!W62</f>
        <v>34.801240460000002</v>
      </c>
      <c r="BV58" s="410">
        <f>Quarterly!X62</f>
        <v>7.4950335399999997</v>
      </c>
      <c r="BW58" s="410">
        <f>Quarterly!Y62</f>
        <v>36.044407700000001</v>
      </c>
      <c r="BX58" s="410">
        <f>Quarterly!Z62</f>
        <v>21.045527379999996</v>
      </c>
      <c r="BY58" s="410">
        <f>Quarterly!AA62</f>
        <v>20.415031380000002</v>
      </c>
      <c r="BZ58" s="410">
        <f>Quarterly!AB62</f>
        <v>7.4950335399999997</v>
      </c>
      <c r="CA58" s="410">
        <f>Quarterly!AC62</f>
        <v>36.044407700000001</v>
      </c>
      <c r="CB58" s="410">
        <f>Quarterly!AD62</f>
        <v>21.045527379999996</v>
      </c>
      <c r="CC58" s="410">
        <f>Quarterly!AE62</f>
        <v>11.415031380000002</v>
      </c>
    </row>
    <row r="59" spans="2:81" s="382" customFormat="1" ht="22.5" hidden="1" outlineLevel="1">
      <c r="B59" s="383" t="s">
        <v>82</v>
      </c>
      <c r="C59" s="383"/>
      <c r="D59" s="380" t="s">
        <v>81</v>
      </c>
      <c r="E59" s="381"/>
      <c r="F59" s="1121">
        <f>Model!C48</f>
        <v>0.7278</v>
      </c>
      <c r="G59" s="1121">
        <f>Model!D48</f>
        <v>1.41045581</v>
      </c>
      <c r="H59" s="1121">
        <f>Model!E48</f>
        <v>1.79897818</v>
      </c>
      <c r="I59" s="1121">
        <f>Model!F48</f>
        <v>1.97485548</v>
      </c>
      <c r="J59" s="1121">
        <f>Model!G48</f>
        <v>2.1570988600000001</v>
      </c>
      <c r="K59" s="1121">
        <f>Model!H48</f>
        <v>2.3318254900000004</v>
      </c>
      <c r="L59" s="1121">
        <f>Model!I48</f>
        <v>2.1691309400000001</v>
      </c>
      <c r="M59" s="1121">
        <f>Model!J48</f>
        <v>2.15025055</v>
      </c>
      <c r="N59" s="1506">
        <f>Model!K48</f>
        <v>9</v>
      </c>
      <c r="O59" s="1121">
        <f>Model!L48</f>
        <v>9</v>
      </c>
      <c r="P59" s="1121">
        <f>Model!M48</f>
        <v>9</v>
      </c>
      <c r="Q59" s="1468"/>
      <c r="R59" s="1468"/>
      <c r="S59" s="1468"/>
      <c r="T59" s="950"/>
      <c r="U59" s="380" t="str">
        <f>D59</f>
        <v>加：营业外收入</v>
      </c>
      <c r="V59" s="851">
        <f t="shared" si="121"/>
        <v>0.63549999999999995</v>
      </c>
      <c r="W59" s="381">
        <f>+I59-V59</f>
        <v>1.33935548</v>
      </c>
      <c r="X59" s="381">
        <f t="shared" si="127"/>
        <v>1.1791737900000001</v>
      </c>
      <c r="Y59" s="381">
        <f>+J59-X59</f>
        <v>0.97792506999999995</v>
      </c>
      <c r="Z59" s="381">
        <f t="shared" si="122"/>
        <v>1.16757292</v>
      </c>
      <c r="AA59" s="381">
        <f>+K59-Z59</f>
        <v>1.1642525700000004</v>
      </c>
      <c r="AB59" s="1236">
        <v>1.2054724800000001</v>
      </c>
      <c r="AC59" s="381">
        <f>+L59-AB59</f>
        <v>0.96365845999999999</v>
      </c>
      <c r="AD59" s="1236">
        <v>0.93164000000000002</v>
      </c>
      <c r="AE59" s="381">
        <f>+M59-AD59</f>
        <v>1.21861055</v>
      </c>
      <c r="AF59" s="381">
        <f t="shared" si="123"/>
        <v>4.3003498499999999</v>
      </c>
      <c r="AG59" s="381">
        <f t="shared" si="124"/>
        <v>4.6996501500000001</v>
      </c>
      <c r="AH59" s="381">
        <f t="shared" si="125"/>
        <v>4.3003498499999999</v>
      </c>
      <c r="AI59" s="381">
        <f t="shared" si="126"/>
        <v>4.6996501500000001</v>
      </c>
      <c r="AY59" s="950"/>
      <c r="AZ59" s="380" t="str">
        <f t="shared" ref="AZ59:AZ67" si="128">U59</f>
        <v>加：营业外收入</v>
      </c>
      <c r="BA59" s="380"/>
      <c r="BB59" s="388">
        <f>+Quarterly!D63</f>
        <v>9.1178549999999997E-2</v>
      </c>
      <c r="BC59" s="410">
        <f>+Quarterly!E63</f>
        <v>0.54432144999999998</v>
      </c>
      <c r="BD59" s="410">
        <f>+Quarterly!F63</f>
        <v>0.82225112000000022</v>
      </c>
      <c r="BE59" s="410">
        <f>+I59-SUM(BB59:BD59)</f>
        <v>0.51710435999999982</v>
      </c>
      <c r="BF59" s="410">
        <f>+Quarterly!H63</f>
        <v>0.51280652999999998</v>
      </c>
      <c r="BG59" s="410">
        <f>+Quarterly!I63</f>
        <v>0.66636726000000013</v>
      </c>
      <c r="BH59" s="410">
        <f>+Quarterly!J63</f>
        <v>0.54908713999999992</v>
      </c>
      <c r="BI59" s="410">
        <f>+J59-SUM(BF59:BH59)</f>
        <v>0.42883793000000003</v>
      </c>
      <c r="BJ59" s="410">
        <f>+Quarterly!L63</f>
        <v>0.41052686999999999</v>
      </c>
      <c r="BK59" s="410">
        <f>+Quarterly!M63</f>
        <v>0.75704605000000003</v>
      </c>
      <c r="BL59" s="410">
        <f>+Quarterly!N63</f>
        <v>0.83975060999999984</v>
      </c>
      <c r="BM59" s="410">
        <f>+Quarterly!O63</f>
        <v>0.32450196000000053</v>
      </c>
      <c r="BN59" s="410">
        <f>+Quarterly!P63</f>
        <v>0.42915087000000002</v>
      </c>
      <c r="BO59" s="410">
        <f>+Quarterly!Q63</f>
        <v>0.77632161000000011</v>
      </c>
      <c r="BP59" s="410">
        <f>+Quarterly!R63</f>
        <v>0.50183105000000006</v>
      </c>
      <c r="BQ59" s="410">
        <f>+Quarterly!S63</f>
        <v>0.46182740999999994</v>
      </c>
      <c r="BR59" s="410">
        <f>+Quarterly!T63</f>
        <v>0.43900358</v>
      </c>
      <c r="BS59" s="410">
        <f>+Quarterly!U63</f>
        <v>0.49263989999999996</v>
      </c>
      <c r="BT59" s="410">
        <f>+Quarterly!V63</f>
        <v>0.58206150000000001</v>
      </c>
      <c r="BU59" s="410">
        <f>+Quarterly!W63</f>
        <v>0.63654557</v>
      </c>
      <c r="BV59" s="410">
        <f>+Quarterly!X63</f>
        <v>1.4393161399999999</v>
      </c>
      <c r="BW59" s="410">
        <f>+Quarterly!Y63</f>
        <v>2.8610337100000001</v>
      </c>
      <c r="BX59" s="410">
        <f>+Quarterly!Z63</f>
        <v>4.0692711199999998</v>
      </c>
      <c r="BY59" s="410">
        <f>+Quarterly!AA63</f>
        <v>0.63037903000000028</v>
      </c>
      <c r="BZ59" s="410">
        <f>+Quarterly!AB63</f>
        <v>1.4393161399999999</v>
      </c>
      <c r="CA59" s="410">
        <f>+Quarterly!AC63</f>
        <v>2.8610337100000001</v>
      </c>
      <c r="CB59" s="410">
        <f>+Quarterly!AD63</f>
        <v>4.0692711199999998</v>
      </c>
      <c r="CC59" s="410">
        <f>+Quarterly!AE63</f>
        <v>0.63037903000000028</v>
      </c>
    </row>
    <row r="60" spans="2:81" s="382" customFormat="1" hidden="1" outlineLevel="1">
      <c r="B60" s="379" t="s">
        <v>80</v>
      </c>
      <c r="C60" s="379"/>
      <c r="D60" s="380" t="s">
        <v>79</v>
      </c>
      <c r="E60" s="381"/>
      <c r="F60" s="1121">
        <f>-Model!C49</f>
        <v>10.0839</v>
      </c>
      <c r="G60" s="1121">
        <f>-Model!D49</f>
        <v>2.9899178900000001</v>
      </c>
      <c r="H60" s="1121">
        <f>-Model!E49</f>
        <v>5.9285022999999999</v>
      </c>
      <c r="I60" s="1121">
        <f>-Model!F49</f>
        <v>22.725754260000002</v>
      </c>
      <c r="J60" s="1121">
        <f>-Model!G49</f>
        <v>17.197589010000002</v>
      </c>
      <c r="K60" s="1121">
        <f>-Model!H49</f>
        <v>20.588743179999998</v>
      </c>
      <c r="L60" s="1121">
        <f>-Model!I49</f>
        <v>11.26593523</v>
      </c>
      <c r="M60" s="1121">
        <f>-Model!J49</f>
        <v>39.607987569999999</v>
      </c>
      <c r="N60" s="1506">
        <f>-Model!K49</f>
        <v>39.607987569999999</v>
      </c>
      <c r="O60" s="1121">
        <f>-Model!L49</f>
        <v>39.607987569999999</v>
      </c>
      <c r="P60" s="1121">
        <f>-Model!M49</f>
        <v>39.607987569999999</v>
      </c>
      <c r="Q60" s="1468"/>
      <c r="R60" s="1468"/>
      <c r="S60" s="1468"/>
      <c r="T60" s="950"/>
      <c r="U60" s="380" t="str">
        <f>D60</f>
        <v>减：营业外支出</v>
      </c>
      <c r="V60" s="381">
        <f t="shared" si="121"/>
        <v>19.886600000000001</v>
      </c>
      <c r="W60" s="381">
        <f>+I60-V60</f>
        <v>2.8391542600000008</v>
      </c>
      <c r="X60" s="381">
        <f t="shared" si="127"/>
        <v>8.4275833900000006</v>
      </c>
      <c r="Y60" s="381">
        <f>+J60-X60</f>
        <v>8.7700056200000009</v>
      </c>
      <c r="Z60" s="381">
        <f t="shared" si="122"/>
        <v>5.3736754800000002</v>
      </c>
      <c r="AA60" s="381">
        <f>+K60-Z60</f>
        <v>15.215067699999999</v>
      </c>
      <c r="AB60" s="1236">
        <v>0.41130435999999998</v>
      </c>
      <c r="AC60" s="381">
        <f>+L60-AB60</f>
        <v>10.854630869999999</v>
      </c>
      <c r="AD60" s="1236">
        <v>8.7711849999999991</v>
      </c>
      <c r="AE60" s="381">
        <f>+M60-AD60</f>
        <v>30.83680257</v>
      </c>
      <c r="AF60" s="381">
        <f t="shared" si="123"/>
        <v>9.49775539</v>
      </c>
      <c r="AG60" s="381">
        <f t="shared" si="124"/>
        <v>30.110232179999997</v>
      </c>
      <c r="AH60" s="381">
        <f t="shared" si="125"/>
        <v>9.49775539</v>
      </c>
      <c r="AI60" s="381">
        <f t="shared" si="126"/>
        <v>30.110232179999997</v>
      </c>
      <c r="AY60" s="950"/>
      <c r="AZ60" s="380" t="str">
        <f t="shared" si="128"/>
        <v>减：营业外支出</v>
      </c>
      <c r="BA60" s="380"/>
      <c r="BB60" s="388">
        <f>+Quarterly!D64</f>
        <v>12.992520369999999</v>
      </c>
      <c r="BC60" s="648">
        <f>+Quarterly!E64</f>
        <v>6.894079630000002</v>
      </c>
      <c r="BD60" s="648">
        <f>+Quarterly!F64</f>
        <v>1.0355252299999975</v>
      </c>
      <c r="BE60" s="410">
        <f>+I60-SUM(BB60:BD60)</f>
        <v>1.8036290300000033</v>
      </c>
      <c r="BF60" s="388">
        <f>+Quarterly!H64</f>
        <v>1.1763711399999999</v>
      </c>
      <c r="BG60" s="388">
        <f>+Quarterly!I64</f>
        <v>7.2512122500000009</v>
      </c>
      <c r="BH60" s="388">
        <f>+Quarterly!J64</f>
        <v>3.1835829499999999</v>
      </c>
      <c r="BI60" s="410">
        <f>+J60-SUM(BF60:BH60)</f>
        <v>5.586422670000001</v>
      </c>
      <c r="BJ60" s="388">
        <f>+Quarterly!L64</f>
        <v>0.70651444999999991</v>
      </c>
      <c r="BK60" s="388">
        <f>+Quarterly!M64</f>
        <v>4.6671610299999999</v>
      </c>
      <c r="BL60" s="388">
        <f>+Quarterly!N64</f>
        <v>10.884532590000003</v>
      </c>
      <c r="BM60" s="388">
        <f>+Quarterly!O64</f>
        <v>4.330535109999996</v>
      </c>
      <c r="BN60" s="388">
        <f>+Quarterly!P64</f>
        <v>2.2665029999999999E-2</v>
      </c>
      <c r="BO60" s="388">
        <f>+Quarterly!Q64</f>
        <v>0.38863933000000001</v>
      </c>
      <c r="BP60" s="388">
        <f>+Quarterly!R64</f>
        <v>9.2144998499999993</v>
      </c>
      <c r="BQ60" s="388">
        <f>+Quarterly!S64</f>
        <v>1.6401310200000001</v>
      </c>
      <c r="BR60" s="388">
        <f>+Quarterly!T64</f>
        <v>5.4413695199999994</v>
      </c>
      <c r="BS60" s="388">
        <f>+Quarterly!U64</f>
        <v>3.3298154299999991</v>
      </c>
      <c r="BT60" s="388">
        <f>+Quarterly!V64</f>
        <v>6.7146150700000007</v>
      </c>
      <c r="BU60" s="388">
        <f>+Quarterly!W64</f>
        <v>24.12218755</v>
      </c>
      <c r="BV60" s="388">
        <f>+Quarterly!X64</f>
        <v>6.7696148899999997</v>
      </c>
      <c r="BW60" s="388">
        <f>+Quarterly!Y64</f>
        <v>2.7281405000000003</v>
      </c>
      <c r="BX60" s="388">
        <f>+Quarterly!Z64</f>
        <v>5.5717530200000009</v>
      </c>
      <c r="BY60" s="388">
        <f>+Quarterly!AA64</f>
        <v>24.538479159999998</v>
      </c>
      <c r="BZ60" s="388">
        <f>+Quarterly!AB64</f>
        <v>6.7696148899999997</v>
      </c>
      <c r="CA60" s="388">
        <f>+Quarterly!AC64</f>
        <v>2.7281405000000003</v>
      </c>
      <c r="CB60" s="388">
        <f>+Quarterly!AD64</f>
        <v>5.5717530200000009</v>
      </c>
      <c r="CC60" s="388">
        <f>+Quarterly!AE64</f>
        <v>24.538479159999998</v>
      </c>
    </row>
    <row r="61" spans="2:81" s="382" customFormat="1" ht="22.5" hidden="1" outlineLevel="1">
      <c r="B61" s="379" t="s">
        <v>78</v>
      </c>
      <c r="C61" s="379"/>
      <c r="D61" s="385" t="s">
        <v>23</v>
      </c>
      <c r="E61" s="381"/>
      <c r="F61" s="1122">
        <f t="shared" ref="F61:L61" si="129">F51+F53+F56+F59-F60+F58</f>
        <v>389.80510000000021</v>
      </c>
      <c r="G61" s="1122">
        <f t="shared" si="129"/>
        <v>273.32785421000017</v>
      </c>
      <c r="H61" s="1122">
        <f t="shared" si="129"/>
        <v>736.50294469000005</v>
      </c>
      <c r="I61" s="1122">
        <f t="shared" si="129"/>
        <v>1029.5496544300004</v>
      </c>
      <c r="J61" s="1122">
        <f t="shared" si="129"/>
        <v>1513.5168144099998</v>
      </c>
      <c r="K61" s="1122">
        <f t="shared" si="129"/>
        <v>1836.0097494299994</v>
      </c>
      <c r="L61" s="1122">
        <f t="shared" si="129"/>
        <v>2579.2709355899997</v>
      </c>
      <c r="M61" s="1122">
        <f>M51+M53+M56+M59-M60+M58</f>
        <v>4107.3122987000006</v>
      </c>
      <c r="N61" s="1507">
        <f>N51+N53+N56+N59-N60+N58</f>
        <v>5730.0791352899023</v>
      </c>
      <c r="O61" s="1122">
        <f>O51+O53+O56+O59-O60+O58</f>
        <v>7113.8611753666801</v>
      </c>
      <c r="P61" s="1122">
        <f>P51+P53+P56+P59-P60+P58</f>
        <v>8495.2442202056791</v>
      </c>
      <c r="Q61" s="1469"/>
      <c r="R61" s="1469"/>
      <c r="S61" s="1469"/>
      <c r="T61" s="950"/>
      <c r="U61" s="385" t="str">
        <f>D61</f>
        <v>利润总额</v>
      </c>
      <c r="V61" s="381">
        <f t="shared" si="121"/>
        <v>551.29790000000003</v>
      </c>
      <c r="W61" s="381">
        <f>+I61-V61</f>
        <v>478.25175443000035</v>
      </c>
      <c r="X61" s="381">
        <f>+SUM(BF61:BG61)</f>
        <v>851.27325733000021</v>
      </c>
      <c r="Y61" s="381">
        <f>+J61-X61</f>
        <v>662.24355707999962</v>
      </c>
      <c r="Z61" s="381">
        <f>+SUM(BJ61:BK61)</f>
        <v>961.01138064999986</v>
      </c>
      <c r="AA61" s="381">
        <f>+K61-Z61</f>
        <v>874.99836877999951</v>
      </c>
      <c r="AB61" s="381">
        <f>AB51+SUM(AB53:AB56)+SUM(AB58:AB60)</f>
        <v>1463.4745674199994</v>
      </c>
      <c r="AC61" s="381">
        <f>AC51+SUM(AC53:AC56)+SUM(AC58:AC60)</f>
        <v>1166.0082519500013</v>
      </c>
      <c r="AD61" s="381">
        <f>AD51+SUM(AD53:AD56)+SUM(AD58:AD60)</f>
        <v>1963.6440651200003</v>
      </c>
      <c r="AE61" s="381">
        <f>AE51+SUM(AE53:AE56)+SUM(AE58:AE60)</f>
        <v>2254.8748633100004</v>
      </c>
      <c r="AF61" s="381">
        <f>AF51+AF53+AF56+AF59-AF60+AF58</f>
        <v>3001.5694754100023</v>
      </c>
      <c r="AG61" s="381">
        <f>AG51+AG53+AG56+AG59-AG60+AG58</f>
        <v>2737.5096598799</v>
      </c>
      <c r="AH61" s="381">
        <f>AH51+AH53+AH56+AH59-AH60+AH58</f>
        <v>3762.8687190031014</v>
      </c>
      <c r="AI61" s="381">
        <f>AI51+AI53+AI56+AI59-AI60+AI58</f>
        <v>3350.9924563635791</v>
      </c>
      <c r="AY61" s="950"/>
      <c r="AZ61" s="385" t="str">
        <f t="shared" si="128"/>
        <v>利润总额</v>
      </c>
      <c r="BA61" s="385"/>
      <c r="BB61" s="410">
        <f t="shared" ref="BB61:BI61" si="130">BB29-BB45-BB47-BB49+BB53+BB54+BB55+BB56+BB59-BB60+BB58</f>
        <v>190.67135303999999</v>
      </c>
      <c r="BC61" s="410">
        <f t="shared" si="130"/>
        <v>360.62654696000004</v>
      </c>
      <c r="BD61" s="410">
        <f t="shared" si="130"/>
        <v>323.53461551999982</v>
      </c>
      <c r="BE61" s="410">
        <f t="shared" si="130"/>
        <v>154.7171389100003</v>
      </c>
      <c r="BF61" s="410">
        <f t="shared" si="130"/>
        <v>433.67720946000014</v>
      </c>
      <c r="BG61" s="410">
        <f t="shared" si="130"/>
        <v>417.59604787000006</v>
      </c>
      <c r="BH61" s="410">
        <f t="shared" si="130"/>
        <v>390.66321725999939</v>
      </c>
      <c r="BI61" s="410">
        <f t="shared" si="130"/>
        <v>271.5803398200004</v>
      </c>
      <c r="BJ61" s="410">
        <f>BJ29-BJ45-BJ47-BJ49-BJ53+BJ54+BJ55+BJ56+BJ59-BJ60+BJ58</f>
        <v>439.35791008999985</v>
      </c>
      <c r="BK61" s="410">
        <f t="shared" ref="BK61:BQ61" si="131">BK29-BK45-BK47-BK49-BK53+BK54+BK55+BK56+BK59-BK60+BK58</f>
        <v>521.65347055999996</v>
      </c>
      <c r="BL61" s="410">
        <f t="shared" si="131"/>
        <v>521.82154205000052</v>
      </c>
      <c r="BM61" s="410">
        <f t="shared" si="131"/>
        <v>353.17682672999945</v>
      </c>
      <c r="BN61" s="410">
        <f t="shared" si="131"/>
        <v>641.29402140000025</v>
      </c>
      <c r="BO61" s="410">
        <f t="shared" si="131"/>
        <v>760.87175548999892</v>
      </c>
      <c r="BP61" s="410">
        <f t="shared" si="131"/>
        <v>679.97410364000132</v>
      </c>
      <c r="BQ61" s="410">
        <f t="shared" si="131"/>
        <v>497.13105505999994</v>
      </c>
      <c r="BR61" s="410">
        <f t="shared" ref="BR61:BX61" si="132">BR29-BR45-BR47-BR49-BR53+BR54+BR55+BR56+BR59-BR60+BR58</f>
        <v>829.71824337999965</v>
      </c>
      <c r="BS61" s="410">
        <f t="shared" si="132"/>
        <v>1312.2231070500004</v>
      </c>
      <c r="BT61" s="410">
        <f t="shared" si="132"/>
        <v>1212.0321684600003</v>
      </c>
      <c r="BU61" s="410">
        <f t="shared" si="132"/>
        <v>753.33877981000001</v>
      </c>
      <c r="BV61" s="410">
        <f t="shared" si="132"/>
        <v>1233.1900676599998</v>
      </c>
      <c r="BW61" s="410">
        <f t="shared" si="132"/>
        <v>1768.3794077500017</v>
      </c>
      <c r="BX61" s="410">
        <f t="shared" si="132"/>
        <v>1776.2079109799981</v>
      </c>
      <c r="BY61" s="410">
        <f t="shared" ref="BY61:CC61" si="133">BY29-BY45-BY47-BY49-BY53+BY54+BY55+BY56+BY59-BY60+BY58</f>
        <v>961.30174889990155</v>
      </c>
      <c r="BZ61" s="410">
        <f t="shared" si="133"/>
        <v>1574.5899854974637</v>
      </c>
      <c r="CA61" s="410">
        <f t="shared" si="133"/>
        <v>2188.2787335056373</v>
      </c>
      <c r="CB61" s="410">
        <f t="shared" si="133"/>
        <v>2074.3201528045938</v>
      </c>
      <c r="CC61" s="410">
        <f t="shared" si="133"/>
        <v>1276.672303558985</v>
      </c>
    </row>
    <row r="62" spans="2:81" s="382" customFormat="1" hidden="1" outlineLevel="1">
      <c r="B62" s="384" t="s">
        <v>77</v>
      </c>
      <c r="C62" s="384"/>
      <c r="D62" s="380" t="s">
        <v>76</v>
      </c>
      <c r="E62" s="381"/>
      <c r="F62" s="1121">
        <f>-Model!C53</f>
        <v>93.639300000000006</v>
      </c>
      <c r="G62" s="1121">
        <f>-Model!D53</f>
        <v>57.496913749999997</v>
      </c>
      <c r="H62" s="1121">
        <f>-Model!E53</f>
        <v>165.92903487000001</v>
      </c>
      <c r="I62" s="1121">
        <f>-Model!F53</f>
        <v>217.48613861000001</v>
      </c>
      <c r="J62" s="1121">
        <f>-Model!G53</f>
        <v>320.55640682000001</v>
      </c>
      <c r="K62" s="1121">
        <f>-Model!H53</f>
        <v>395.48917806999998</v>
      </c>
      <c r="L62" s="1121">
        <f>-Model!I53</f>
        <v>539.49813166999991</v>
      </c>
      <c r="M62" s="1121">
        <f>-Model!J53</f>
        <v>780.88329400999999</v>
      </c>
      <c r="N62" s="1506">
        <f>-Model!K53</f>
        <v>1176.5112227344298</v>
      </c>
      <c r="O62" s="1121">
        <f>-Model!L53</f>
        <v>1458.3415409501692</v>
      </c>
      <c r="P62" s="1121">
        <f>-Model!M53</f>
        <v>1741.5250651421641</v>
      </c>
      <c r="Q62" s="1468"/>
      <c r="R62" s="1468"/>
      <c r="S62" s="1468"/>
      <c r="T62" s="950"/>
      <c r="U62" s="380" t="str">
        <f>D62</f>
        <v>减：所得税</v>
      </c>
      <c r="V62" s="381">
        <f t="shared" si="121"/>
        <v>123.6327</v>
      </c>
      <c r="W62" s="381">
        <f>+I62-V62</f>
        <v>93.853438610000012</v>
      </c>
      <c r="X62" s="381">
        <f t="shared" si="127"/>
        <v>184.04004799000001</v>
      </c>
      <c r="Y62" s="381">
        <f>+J62-X62</f>
        <v>136.51635883</v>
      </c>
      <c r="Z62" s="381">
        <f t="shared" si="122"/>
        <v>206.38160372999999</v>
      </c>
      <c r="AA62" s="381">
        <f>+K62-Z62</f>
        <v>189.10757433999999</v>
      </c>
      <c r="AB62" s="1236">
        <v>294.04552769999998</v>
      </c>
      <c r="AC62" s="381">
        <f>+L62-AB62</f>
        <v>245.45260396999993</v>
      </c>
      <c r="AD62" s="1236">
        <v>411.34985</v>
      </c>
      <c r="AE62" s="381">
        <f>+M62-AD62</f>
        <v>369.53344400999998</v>
      </c>
      <c r="AF62" s="381">
        <f>BV62+BW62</f>
        <v>627.05491160999998</v>
      </c>
      <c r="AG62" s="381">
        <f>BX62+BY62</f>
        <v>549.45631112442982</v>
      </c>
      <c r="AH62" s="381">
        <f>BZ62+CA62</f>
        <v>786.23573759785472</v>
      </c>
      <c r="AI62" s="381">
        <f>CB62+CC62</f>
        <v>672.10580335231452</v>
      </c>
      <c r="AY62" s="950"/>
      <c r="AZ62" s="380" t="str">
        <f t="shared" si="128"/>
        <v>减：所得税</v>
      </c>
      <c r="BA62" s="380"/>
      <c r="BB62" s="410">
        <f>+Quarterly!D66</f>
        <v>44.475694170000004</v>
      </c>
      <c r="BC62" s="410">
        <f>+Quarterly!E66</f>
        <v>79.157005830000003</v>
      </c>
      <c r="BD62" s="410">
        <f>+Quarterly!F66</f>
        <v>70.040576369999997</v>
      </c>
      <c r="BE62" s="410">
        <f>+I62-SUM(BB62:BD62)</f>
        <v>23.812862240000015</v>
      </c>
      <c r="BF62" s="410">
        <f>+Quarterly!H66</f>
        <v>96.408436599999987</v>
      </c>
      <c r="BG62" s="410">
        <f>+Quarterly!I66</f>
        <v>87.631611390000018</v>
      </c>
      <c r="BH62" s="410">
        <f>+Quarterly!J66</f>
        <v>83.205507909999994</v>
      </c>
      <c r="BI62" s="410">
        <f>+J62-SUM(BF62:BH62)</f>
        <v>53.310850920000007</v>
      </c>
      <c r="BJ62" s="410">
        <f>+Quarterly!L66</f>
        <v>94.708990319999998</v>
      </c>
      <c r="BK62" s="410">
        <f>+Quarterly!M66</f>
        <v>111.67261341</v>
      </c>
      <c r="BL62" s="410">
        <f>+Quarterly!N66</f>
        <v>110.94526862000004</v>
      </c>
      <c r="BM62" s="410">
        <f>+Quarterly!O66</f>
        <v>78.162305719999949</v>
      </c>
      <c r="BN62" s="410">
        <f>+Quarterly!P66</f>
        <v>144.04229140000001</v>
      </c>
      <c r="BO62" s="410">
        <f>+Quarterly!Q66</f>
        <v>150.00323636999997</v>
      </c>
      <c r="BP62" s="410">
        <f>+Quarterly!R66</f>
        <v>132.49349839000007</v>
      </c>
      <c r="BQ62" s="410">
        <f>+Quarterly!S66</f>
        <v>112.95910550999986</v>
      </c>
      <c r="BR62" s="410">
        <f>+Quarterly!T66</f>
        <v>165.83784508000002</v>
      </c>
      <c r="BS62" s="410">
        <f>+Quarterly!U66</f>
        <v>245.51200655999997</v>
      </c>
      <c r="BT62" s="410">
        <f>+Quarterly!V66</f>
        <v>235.2312598100001</v>
      </c>
      <c r="BU62" s="410">
        <f>+Quarterly!W66</f>
        <v>134.30218255999989</v>
      </c>
      <c r="BV62" s="410">
        <f>+Quarterly!X66</f>
        <v>253.23469449999999</v>
      </c>
      <c r="BW62" s="410">
        <f>+Quarterly!Y66</f>
        <v>373.82021710999999</v>
      </c>
      <c r="BX62" s="410">
        <f>+Quarterly!Z66</f>
        <v>390.90975564000007</v>
      </c>
      <c r="BY62" s="410">
        <f>+Quarterly!AA66</f>
        <v>158.54655548442975</v>
      </c>
      <c r="BZ62" s="410">
        <f>+Quarterly!AB66</f>
        <v>323.65240979430064</v>
      </c>
      <c r="CA62" s="410">
        <f>+Quarterly!AC66</f>
        <v>462.58332780355414</v>
      </c>
      <c r="CB62" s="410">
        <f>+Quarterly!AD66</f>
        <v>456.51861983014311</v>
      </c>
      <c r="CC62" s="410">
        <f>+Quarterly!AE66</f>
        <v>215.58718352217147</v>
      </c>
    </row>
    <row r="63" spans="2:81" collapsed="1">
      <c r="B63" s="731" t="s">
        <v>16</v>
      </c>
      <c r="C63" s="731"/>
      <c r="D63" s="731" t="s">
        <v>15</v>
      </c>
      <c r="E63" s="732"/>
      <c r="F63" s="1124">
        <f>Model!C50+Model!C53</f>
        <v>296.16580000000005</v>
      </c>
      <c r="G63" s="1124">
        <f>Model!D50+Model!D53</f>
        <v>215.83094046000005</v>
      </c>
      <c r="H63" s="1124">
        <f>Model!E50+Model!E53</f>
        <v>570.57390981999993</v>
      </c>
      <c r="I63" s="1124">
        <f>Model!F50+Model!F53</f>
        <v>812.06351582000036</v>
      </c>
      <c r="J63" s="1125">
        <f>Model!G50+Model!G53</f>
        <v>1192.9604075899997</v>
      </c>
      <c r="K63" s="1125">
        <f>Model!H50+Model!H53</f>
        <v>1440.5205713599994</v>
      </c>
      <c r="L63" s="1125">
        <f>Model!I50+Model!I53</f>
        <v>2039.772803920001</v>
      </c>
      <c r="M63" s="1125">
        <f>Model!J50+Model!J53</f>
        <v>3326.4290046900023</v>
      </c>
      <c r="N63" s="1509">
        <f>Model!K50+Model!K53</f>
        <v>4562.5679125554725</v>
      </c>
      <c r="O63" s="1125">
        <f>Model!L50+Model!L53</f>
        <v>5655.5196344165097</v>
      </c>
      <c r="P63" s="1125">
        <f>Model!M50+Model!M53</f>
        <v>6753.7191550635152</v>
      </c>
      <c r="Q63" s="1471"/>
      <c r="R63" s="1471"/>
      <c r="S63" s="1471"/>
      <c r="U63" s="924" t="str">
        <f>D63</f>
        <v>净利润</v>
      </c>
      <c r="V63" s="925">
        <f t="shared" si="121"/>
        <v>427.66520000000003</v>
      </c>
      <c r="W63" s="925">
        <f>+I63-V63</f>
        <v>384.39831582000033</v>
      </c>
      <c r="X63" s="925">
        <f>+SUM(BF63:BG63)</f>
        <v>667.23320934000014</v>
      </c>
      <c r="Y63" s="925">
        <f>+J63-X63</f>
        <v>525.72719824999956</v>
      </c>
      <c r="Z63" s="925">
        <f>+SUM(BJ63:BK63)</f>
        <v>754.62977691999981</v>
      </c>
      <c r="AA63" s="925">
        <f>+K63-Z63</f>
        <v>685.89079443999958</v>
      </c>
      <c r="AB63" s="925">
        <f>AB61-AB62</f>
        <v>1169.4290397199993</v>
      </c>
      <c r="AC63" s="925">
        <f>L63-AB63</f>
        <v>870.34376420000171</v>
      </c>
      <c r="AD63" s="925">
        <f>AD61-AD62</f>
        <v>1552.2942151200002</v>
      </c>
      <c r="AE63" s="925">
        <f>M63-AD63</f>
        <v>1774.1347895700021</v>
      </c>
      <c r="AF63" s="925">
        <f>AF61-AF62</f>
        <v>2374.5145638000022</v>
      </c>
      <c r="AG63" s="925">
        <f>AG61-AG62</f>
        <v>2188.0533487554703</v>
      </c>
      <c r="AH63" s="925">
        <f>AH61-AH62</f>
        <v>2976.6329814052469</v>
      </c>
      <c r="AI63" s="925">
        <f>AI61-AI62</f>
        <v>2678.8866530112646</v>
      </c>
      <c r="AJ63" s="925"/>
      <c r="AK63" s="925"/>
      <c r="AL63" s="925"/>
      <c r="AM63" s="925"/>
      <c r="AN63" s="925"/>
      <c r="AO63" s="925"/>
      <c r="AP63" s="925"/>
      <c r="AQ63" s="925"/>
      <c r="AR63" s="925"/>
      <c r="AS63" s="925"/>
      <c r="AT63" s="925"/>
      <c r="AU63" s="925"/>
      <c r="AV63" s="925"/>
      <c r="AW63" s="925"/>
      <c r="AX63" s="925"/>
      <c r="AZ63" s="924" t="str">
        <f t="shared" si="128"/>
        <v>净利润</v>
      </c>
      <c r="BA63" s="924"/>
      <c r="BB63" s="926">
        <f t="shared" ref="BB63:BK63" si="134">BB61-BB62</f>
        <v>146.19565886999999</v>
      </c>
      <c r="BC63" s="926">
        <f t="shared" si="134"/>
        <v>281.46954113000004</v>
      </c>
      <c r="BD63" s="926">
        <f t="shared" si="134"/>
        <v>253.49403914999982</v>
      </c>
      <c r="BE63" s="926">
        <f t="shared" si="134"/>
        <v>130.90427667000029</v>
      </c>
      <c r="BF63" s="926">
        <f t="shared" si="134"/>
        <v>337.26877286000013</v>
      </c>
      <c r="BG63" s="926">
        <f t="shared" si="134"/>
        <v>329.96443648000002</v>
      </c>
      <c r="BH63" s="926">
        <f t="shared" si="134"/>
        <v>307.45770934999939</v>
      </c>
      <c r="BI63" s="926">
        <f t="shared" si="134"/>
        <v>218.2694889000004</v>
      </c>
      <c r="BJ63" s="926">
        <f t="shared" si="134"/>
        <v>344.64891976999985</v>
      </c>
      <c r="BK63" s="926">
        <f t="shared" si="134"/>
        <v>409.98085714999996</v>
      </c>
      <c r="BL63" s="926">
        <f t="shared" ref="BL63:BQ63" si="135">BL61-BL62</f>
        <v>410.87627343000048</v>
      </c>
      <c r="BM63" s="926">
        <f t="shared" si="135"/>
        <v>275.0145210099995</v>
      </c>
      <c r="BN63" s="926">
        <f t="shared" si="135"/>
        <v>497.25173000000024</v>
      </c>
      <c r="BO63" s="926">
        <f t="shared" si="135"/>
        <v>610.86851911999895</v>
      </c>
      <c r="BP63" s="926">
        <f t="shared" si="135"/>
        <v>547.48060525000119</v>
      </c>
      <c r="BQ63" s="926">
        <f t="shared" si="135"/>
        <v>384.17194955000008</v>
      </c>
      <c r="BR63" s="926">
        <f t="shared" ref="BR63:BX63" si="136">BR61-BR62</f>
        <v>663.88039829999957</v>
      </c>
      <c r="BS63" s="926">
        <f t="shared" si="136"/>
        <v>1066.7111004900005</v>
      </c>
      <c r="BT63" s="926">
        <f t="shared" si="136"/>
        <v>976.80090865000022</v>
      </c>
      <c r="BU63" s="926">
        <f t="shared" si="136"/>
        <v>619.03659725000011</v>
      </c>
      <c r="BV63" s="926">
        <f t="shared" si="136"/>
        <v>979.95537315999991</v>
      </c>
      <c r="BW63" s="926">
        <f t="shared" si="136"/>
        <v>1394.5591906400018</v>
      </c>
      <c r="BX63" s="926">
        <f t="shared" si="136"/>
        <v>1385.2981553399982</v>
      </c>
      <c r="BY63" s="926">
        <f t="shared" ref="BY63:CC63" si="137">BY61-BY62</f>
        <v>802.75519341547181</v>
      </c>
      <c r="BZ63" s="926">
        <f t="shared" si="137"/>
        <v>1250.937575703163</v>
      </c>
      <c r="CA63" s="926">
        <f t="shared" si="137"/>
        <v>1725.6954057020832</v>
      </c>
      <c r="CB63" s="926">
        <f t="shared" si="137"/>
        <v>1617.8015329744508</v>
      </c>
      <c r="CC63" s="926">
        <f t="shared" si="137"/>
        <v>1061.0851200368136</v>
      </c>
    </row>
    <row r="64" spans="2:81" s="382" customFormat="1" hidden="1" outlineLevel="1">
      <c r="B64" s="384" t="s">
        <v>75</v>
      </c>
      <c r="C64" s="384"/>
      <c r="D64" s="380" t="s">
        <v>74</v>
      </c>
      <c r="E64" s="381"/>
      <c r="F64" s="1121">
        <f>-Model!C54</f>
        <v>0</v>
      </c>
      <c r="G64" s="1121">
        <f>-Model!D54</f>
        <v>0</v>
      </c>
      <c r="H64" s="1121">
        <f>-Model!E54</f>
        <v>0</v>
      </c>
      <c r="I64" s="1121">
        <f>-Model!F54</f>
        <v>0</v>
      </c>
      <c r="J64" s="1121">
        <f>-Model!G54</f>
        <v>0</v>
      </c>
      <c r="K64" s="1121">
        <f>-Model!H54</f>
        <v>0</v>
      </c>
      <c r="L64" s="1121">
        <f>-Model!I54</f>
        <v>0</v>
      </c>
      <c r="M64" s="1121">
        <f>-Model!J54</f>
        <v>-0.27984775000000001</v>
      </c>
      <c r="N64" s="1506">
        <f>-Model!K54</f>
        <v>-0.27984775000000001</v>
      </c>
      <c r="O64" s="1121">
        <f>-Model!L54</f>
        <v>-0.27984775000000001</v>
      </c>
      <c r="P64" s="1121">
        <f>-Model!M54</f>
        <v>-0.27984775000000001</v>
      </c>
      <c r="Q64" s="1468"/>
      <c r="R64" s="1468"/>
      <c r="S64" s="1468"/>
      <c r="T64" s="950"/>
      <c r="U64" s="380" t="str">
        <f>D64</f>
        <v>减：少数股东损益</v>
      </c>
      <c r="V64" s="381">
        <f t="shared" si="121"/>
        <v>0</v>
      </c>
      <c r="W64" s="381">
        <f>+I64-V64</f>
        <v>0</v>
      </c>
      <c r="X64" s="381">
        <f>+SUM(BF64:BG64)</f>
        <v>0</v>
      </c>
      <c r="Y64" s="381">
        <f>+J64-X64</f>
        <v>0</v>
      </c>
      <c r="Z64" s="381">
        <f>+SUM(BJ64:BK64)</f>
        <v>0</v>
      </c>
      <c r="AA64" s="381">
        <f>+K64-Z64</f>
        <v>0</v>
      </c>
      <c r="AB64" s="381">
        <v>0</v>
      </c>
      <c r="AC64" s="381">
        <f>+L64-AB64</f>
        <v>0</v>
      </c>
      <c r="AD64" s="381">
        <v>0</v>
      </c>
      <c r="AE64" s="381">
        <f>+M64-AD64</f>
        <v>-0.27984775000000001</v>
      </c>
      <c r="AF64" s="381"/>
      <c r="AG64" s="381"/>
      <c r="AH64" s="381"/>
      <c r="AI64" s="381"/>
      <c r="AY64" s="950"/>
      <c r="AZ64" s="380" t="str">
        <f t="shared" si="128"/>
        <v>减：少数股东损益</v>
      </c>
      <c r="BA64" s="380"/>
      <c r="BB64" s="410">
        <f>+Quarterly!D69</f>
        <v>0</v>
      </c>
      <c r="BC64" s="648">
        <f>+Quarterly!E69</f>
        <v>0</v>
      </c>
      <c r="BD64" s="648">
        <f>+Quarterly!F69</f>
        <v>0</v>
      </c>
      <c r="BE64" s="648">
        <f>+I64-SUM(BB64:BD64)</f>
        <v>0</v>
      </c>
      <c r="BF64" s="410">
        <f>+Quarterly!H69</f>
        <v>0</v>
      </c>
      <c r="BG64" s="410">
        <f>+Quarterly!I69</f>
        <v>0</v>
      </c>
      <c r="BH64" s="410">
        <f>+Quarterly!J69</f>
        <v>0</v>
      </c>
      <c r="BI64" s="648">
        <f>+J64-SUM(BF64:BH64)</f>
        <v>0</v>
      </c>
      <c r="BJ64" s="410">
        <f>+Quarterly!L69</f>
        <v>0</v>
      </c>
      <c r="BK64" s="410">
        <f>+Quarterly!M69</f>
        <v>0</v>
      </c>
      <c r="BL64" s="410">
        <f>+Quarterly!N69</f>
        <v>0</v>
      </c>
      <c r="BM64" s="410">
        <f>+Quarterly!O69</f>
        <v>0</v>
      </c>
      <c r="BN64" s="410">
        <f>+Quarterly!P69</f>
        <v>0</v>
      </c>
      <c r="BO64" s="410">
        <f>+Quarterly!Q69</f>
        <v>0</v>
      </c>
      <c r="BP64" s="410">
        <f>+Quarterly!R69</f>
        <v>0</v>
      </c>
      <c r="BQ64" s="410">
        <f>+Quarterly!S69</f>
        <v>0</v>
      </c>
      <c r="BR64" s="410">
        <f>+Quarterly!T69</f>
        <v>0</v>
      </c>
      <c r="BS64" s="410">
        <f>+Quarterly!U69</f>
        <v>0</v>
      </c>
      <c r="BT64" s="410">
        <f>+Quarterly!V69</f>
        <v>0</v>
      </c>
      <c r="BU64" s="410">
        <f>+Quarterly!W69</f>
        <v>-0.27984775000000001</v>
      </c>
      <c r="BV64" s="410">
        <f>+Quarterly!X69</f>
        <v>-5.41571E-2</v>
      </c>
      <c r="BW64" s="410">
        <f>+Quarterly!Y69</f>
        <v>-0.18206454</v>
      </c>
      <c r="BX64" s="410">
        <f>+Quarterly!Z69</f>
        <v>-0.87434546000000013</v>
      </c>
      <c r="BY64" s="410">
        <f>+Quarterly!AA69</f>
        <v>0</v>
      </c>
      <c r="BZ64" s="410">
        <f>+Quarterly!AB69</f>
        <v>0</v>
      </c>
      <c r="CA64" s="410">
        <f>+Quarterly!AC69</f>
        <v>0</v>
      </c>
      <c r="CB64" s="410">
        <f>+Quarterly!AD69</f>
        <v>0</v>
      </c>
      <c r="CC64" s="410">
        <f>+Quarterly!AE69</f>
        <v>-0.27984775000000001</v>
      </c>
    </row>
    <row r="65" spans="2:81" s="393" customFormat="1" ht="22.5" customHeight="1" collapsed="1">
      <c r="B65" s="383" t="s">
        <v>73</v>
      </c>
      <c r="C65" s="383"/>
      <c r="D65" s="383" t="s">
        <v>72</v>
      </c>
      <c r="E65" s="392"/>
      <c r="F65" s="1126">
        <f>Model!C57</f>
        <v>296.16580000000005</v>
      </c>
      <c r="G65" s="1126">
        <f>Model!D57</f>
        <v>215.83094046000005</v>
      </c>
      <c r="H65" s="1126">
        <f>Model!E57</f>
        <v>570.57390981999993</v>
      </c>
      <c r="I65" s="1126">
        <f>Model!F57</f>
        <v>812.06351582000036</v>
      </c>
      <c r="J65" s="1126">
        <f>Model!G57</f>
        <v>1192.9604075899997</v>
      </c>
      <c r="K65" s="1126">
        <f>Model!H57</f>
        <v>1440.5205713599994</v>
      </c>
      <c r="L65" s="1126">
        <f>Model!I57</f>
        <v>2039.772803920001</v>
      </c>
      <c r="M65" s="1126">
        <f>Model!J57</f>
        <v>3326.7088524400024</v>
      </c>
      <c r="N65" s="1510">
        <f>Model!K57</f>
        <v>4562.8477603054725</v>
      </c>
      <c r="O65" s="1126">
        <f>Model!L57</f>
        <v>5655.7994821665097</v>
      </c>
      <c r="P65" s="1126">
        <f>Model!M57</f>
        <v>6753.9990028135153</v>
      </c>
      <c r="Q65" s="1472"/>
      <c r="R65" s="1472"/>
      <c r="S65" s="1472"/>
      <c r="T65" s="951"/>
      <c r="U65" s="383" t="str">
        <f>D65</f>
        <v>归属于母公司所有者的净利润</v>
      </c>
      <c r="V65" s="392">
        <f t="shared" si="121"/>
        <v>427.66520000000003</v>
      </c>
      <c r="W65" s="392">
        <f>+I65-V65</f>
        <v>384.39831582000033</v>
      </c>
      <c r="X65" s="392">
        <f>+SUM(BF65:BG65)</f>
        <v>667.23320934000014</v>
      </c>
      <c r="Y65" s="392">
        <f>+J65-X65</f>
        <v>525.72719824999956</v>
      </c>
      <c r="Z65" s="392">
        <f>+SUM(BJ65:BK65)</f>
        <v>754.62977691999981</v>
      </c>
      <c r="AA65" s="392">
        <f>+K65-Z65</f>
        <v>685.89079443999958</v>
      </c>
      <c r="AB65" s="393">
        <f>AB63-AB64</f>
        <v>1169.4290397199993</v>
      </c>
      <c r="AC65" s="392">
        <f>+L65-AB65</f>
        <v>870.34376420000171</v>
      </c>
      <c r="AD65" s="393">
        <f>AD63-AD64</f>
        <v>1552.2942151200002</v>
      </c>
      <c r="AE65" s="392">
        <f>+M65-AD65</f>
        <v>1774.4146373200022</v>
      </c>
      <c r="AF65" s="392">
        <f>AF63</f>
        <v>2374.5145638000022</v>
      </c>
      <c r="AG65" s="392">
        <f>AG63</f>
        <v>2188.0533487554703</v>
      </c>
      <c r="AH65" s="392">
        <f>AH63</f>
        <v>2976.6329814052469</v>
      </c>
      <c r="AI65" s="392">
        <f>AI63</f>
        <v>2678.8866530112646</v>
      </c>
      <c r="AY65" s="951"/>
      <c r="AZ65" s="383" t="str">
        <f t="shared" si="128"/>
        <v>归属于母公司所有者的净利润</v>
      </c>
      <c r="BA65" s="383"/>
      <c r="BB65" s="392">
        <f t="shared" ref="BB65:BK65" si="138">BB63-BB64</f>
        <v>146.19565886999999</v>
      </c>
      <c r="BC65" s="392">
        <f t="shared" si="138"/>
        <v>281.46954113000004</v>
      </c>
      <c r="BD65" s="392">
        <f t="shared" si="138"/>
        <v>253.49403914999982</v>
      </c>
      <c r="BE65" s="392">
        <f t="shared" si="138"/>
        <v>130.90427667000029</v>
      </c>
      <c r="BF65" s="392">
        <f t="shared" si="138"/>
        <v>337.26877286000013</v>
      </c>
      <c r="BG65" s="392">
        <f t="shared" si="138"/>
        <v>329.96443648000002</v>
      </c>
      <c r="BH65" s="392">
        <f t="shared" si="138"/>
        <v>307.45770934999939</v>
      </c>
      <c r="BI65" s="392">
        <f t="shared" si="138"/>
        <v>218.2694889000004</v>
      </c>
      <c r="BJ65" s="392">
        <f t="shared" si="138"/>
        <v>344.64891976999985</v>
      </c>
      <c r="BK65" s="392">
        <f t="shared" si="138"/>
        <v>409.98085714999996</v>
      </c>
      <c r="BL65" s="392">
        <f t="shared" ref="BL65:BQ65" si="139">BL63-BL64</f>
        <v>410.87627343000048</v>
      </c>
      <c r="BM65" s="392">
        <f t="shared" si="139"/>
        <v>275.0145210099995</v>
      </c>
      <c r="BN65" s="392">
        <f t="shared" si="139"/>
        <v>497.25173000000024</v>
      </c>
      <c r="BO65" s="392">
        <f t="shared" si="139"/>
        <v>610.86851911999895</v>
      </c>
      <c r="BP65" s="392">
        <f t="shared" si="139"/>
        <v>547.48060525000119</v>
      </c>
      <c r="BQ65" s="392">
        <f t="shared" si="139"/>
        <v>384.17194955000008</v>
      </c>
      <c r="BR65" s="392">
        <f t="shared" ref="BR65:BX65" si="140">BR63-BR64</f>
        <v>663.88039829999957</v>
      </c>
      <c r="BS65" s="392">
        <f t="shared" si="140"/>
        <v>1066.7111004900005</v>
      </c>
      <c r="BT65" s="392">
        <f t="shared" si="140"/>
        <v>976.80090865000022</v>
      </c>
      <c r="BU65" s="392">
        <f t="shared" si="140"/>
        <v>619.31644500000016</v>
      </c>
      <c r="BV65" s="392">
        <f t="shared" si="140"/>
        <v>980.00953025999991</v>
      </c>
      <c r="BW65" s="392">
        <f t="shared" si="140"/>
        <v>1394.7412551800019</v>
      </c>
      <c r="BX65" s="392">
        <f t="shared" si="140"/>
        <v>1386.1725007999983</v>
      </c>
      <c r="BY65" s="392">
        <f t="shared" ref="BY65:CC65" si="141">BY63-BY64</f>
        <v>802.75519341547181</v>
      </c>
      <c r="BZ65" s="392">
        <f t="shared" si="141"/>
        <v>1250.937575703163</v>
      </c>
      <c r="CA65" s="392">
        <f t="shared" si="141"/>
        <v>1725.6954057020832</v>
      </c>
      <c r="CB65" s="392">
        <f t="shared" si="141"/>
        <v>1617.8015329744508</v>
      </c>
      <c r="CC65" s="392">
        <f t="shared" si="141"/>
        <v>1061.3649677868136</v>
      </c>
    </row>
    <row r="66" spans="2:81" s="48" customFormat="1">
      <c r="B66" s="44" t="s">
        <v>57</v>
      </c>
      <c r="C66" s="44"/>
      <c r="D66" s="487" t="s">
        <v>56</v>
      </c>
      <c r="E66" s="50"/>
      <c r="F66" s="49"/>
      <c r="G66" s="49">
        <f>G65/F65-1</f>
        <v>-0.27124961605965303</v>
      </c>
      <c r="H66" s="49">
        <f>H65/G65-1</f>
        <v>1.6436149914555203</v>
      </c>
      <c r="I66" s="49">
        <f t="shared" ref="I66:O66" si="142">I65/H65-1</f>
        <v>0.42323983246304353</v>
      </c>
      <c r="J66" s="49">
        <f t="shared" si="142"/>
        <v>0.46904815245317311</v>
      </c>
      <c r="K66" s="49">
        <f>K65/J65-1</f>
        <v>0.20751750200169417</v>
      </c>
      <c r="L66" s="49">
        <f>L65/K65-1</f>
        <v>0.41599699752586394</v>
      </c>
      <c r="M66" s="49">
        <f>M65/L65-1</f>
        <v>0.63092127027421352</v>
      </c>
      <c r="N66" s="1498">
        <f t="shared" si="142"/>
        <v>0.37158013000110124</v>
      </c>
      <c r="O66" s="49">
        <f t="shared" si="142"/>
        <v>0.23953280479116112</v>
      </c>
      <c r="P66" s="49">
        <f>P65/O65-1</f>
        <v>0.19417228706742073</v>
      </c>
      <c r="Q66" s="1218"/>
      <c r="R66" s="1218"/>
      <c r="S66" s="1218"/>
      <c r="T66" s="952"/>
      <c r="U66" s="51" t="str">
        <f>D66</f>
        <v>同比增长</v>
      </c>
      <c r="V66" s="49"/>
      <c r="W66" s="49"/>
      <c r="X66" s="49">
        <f t="shared" ref="X66:AE66" si="143">X65/V65-1</f>
        <v>0.56017653374649168</v>
      </c>
      <c r="Y66" s="49">
        <f t="shared" si="143"/>
        <v>0.36766259531734891</v>
      </c>
      <c r="Z66" s="49">
        <f t="shared" si="143"/>
        <v>0.13098353972286358</v>
      </c>
      <c r="AA66" s="49">
        <f t="shared" si="143"/>
        <v>0.30465153167486925</v>
      </c>
      <c r="AB66" s="49">
        <f t="shared" si="143"/>
        <v>0.54967253544246697</v>
      </c>
      <c r="AC66" s="49">
        <f t="shared" si="143"/>
        <v>0.26892469071639913</v>
      </c>
      <c r="AD66" s="49">
        <f t="shared" si="143"/>
        <v>0.32739496146912139</v>
      </c>
      <c r="AE66" s="49">
        <f t="shared" si="143"/>
        <v>1.0387514799408022</v>
      </c>
      <c r="AF66" s="49">
        <f>AF65/AD65-1</f>
        <v>0.52968074007570798</v>
      </c>
      <c r="AG66" s="49">
        <f>AG65/AE65-1</f>
        <v>0.23311277011342169</v>
      </c>
      <c r="AH66" s="49">
        <f>AH65/AF65-1</f>
        <v>0.25357537358779458</v>
      </c>
      <c r="AI66" s="49">
        <f>AI65/AG65-1</f>
        <v>0.22432419416783067</v>
      </c>
      <c r="AJ66" s="1218"/>
      <c r="AK66" s="1218"/>
      <c r="AL66" s="1218"/>
      <c r="AM66" s="1218"/>
      <c r="AN66" s="1218"/>
      <c r="AO66" s="1218"/>
      <c r="AP66" s="1218"/>
      <c r="AQ66" s="1218"/>
      <c r="AR66" s="1218"/>
      <c r="AS66" s="1218"/>
      <c r="AT66" s="1218"/>
      <c r="AU66" s="1218"/>
      <c r="AV66" s="1218"/>
      <c r="AW66" s="1218"/>
      <c r="AX66" s="1218"/>
      <c r="AY66" s="952"/>
      <c r="AZ66" s="51" t="str">
        <f t="shared" si="128"/>
        <v>同比增长</v>
      </c>
      <c r="BA66" s="51"/>
      <c r="BB66" s="49"/>
      <c r="BC66" s="49"/>
      <c r="BD66" s="49"/>
      <c r="BE66" s="49"/>
      <c r="BF66" s="49">
        <f t="shared" ref="BF66:BL66" si="144">BF65/BB65-1</f>
        <v>1.3069684521884883</v>
      </c>
      <c r="BG66" s="49">
        <f t="shared" si="144"/>
        <v>0.17229180519963272</v>
      </c>
      <c r="BH66" s="49">
        <f t="shared" si="144"/>
        <v>0.21287944434885775</v>
      </c>
      <c r="BI66" s="49">
        <f t="shared" si="144"/>
        <v>0.66739769282130612</v>
      </c>
      <c r="BJ66" s="49">
        <f t="shared" si="144"/>
        <v>2.1882093759872712E-2</v>
      </c>
      <c r="BK66" s="49">
        <f t="shared" si="144"/>
        <v>0.24250013584373042</v>
      </c>
      <c r="BL66" s="49">
        <f t="shared" si="144"/>
        <v>0.33636679431014982</v>
      </c>
      <c r="BM66" s="49">
        <f t="shared" ref="BM66:BR66" si="145">BM65/BI65-1</f>
        <v>0.25997693216754025</v>
      </c>
      <c r="BN66" s="49">
        <f t="shared" si="145"/>
        <v>0.44277756718877659</v>
      </c>
      <c r="BO66" s="49">
        <f t="shared" si="145"/>
        <v>0.48999278494727405</v>
      </c>
      <c r="BP66" s="49">
        <f t="shared" si="145"/>
        <v>0.33247072331440797</v>
      </c>
      <c r="BQ66" s="49">
        <f t="shared" si="145"/>
        <v>0.39691514520439308</v>
      </c>
      <c r="BR66" s="49">
        <f t="shared" si="145"/>
        <v>0.33509922288254135</v>
      </c>
      <c r="BS66" s="49">
        <f t="shared" ref="BS66:BX66" si="146">BS65/BO65-1</f>
        <v>0.74622045023154304</v>
      </c>
      <c r="BT66" s="49">
        <f t="shared" si="146"/>
        <v>0.78417445163003441</v>
      </c>
      <c r="BU66" s="49">
        <f t="shared" si="146"/>
        <v>0.61208137586681333</v>
      </c>
      <c r="BV66" s="49">
        <f t="shared" si="146"/>
        <v>0.47618386198705842</v>
      </c>
      <c r="BW66" s="49">
        <f>BW65/BS65-1</f>
        <v>0.30751545993973317</v>
      </c>
      <c r="BX66" s="49">
        <f t="shared" si="146"/>
        <v>0.41909419670357906</v>
      </c>
      <c r="BY66" s="49">
        <f t="shared" ref="BY66" si="147">BY65/BU65-1</f>
        <v>0.29619550699234476</v>
      </c>
      <c r="BZ66" s="49">
        <f t="shared" ref="BZ66" si="148">BZ65/BV65-1</f>
        <v>0.27645450077540068</v>
      </c>
      <c r="CA66" s="49">
        <f t="shared" ref="CA66" si="149">CA65/BW65-1</f>
        <v>0.23728713070824692</v>
      </c>
      <c r="CB66" s="49">
        <f t="shared" ref="CB66" si="150">CB65/BX65-1</f>
        <v>0.16709971669526924</v>
      </c>
      <c r="CC66" s="49">
        <f t="shared" ref="CC66" si="151">CC65/BY65-1</f>
        <v>0.32215272662520977</v>
      </c>
    </row>
    <row r="67" spans="2:81" s="48" customFormat="1">
      <c r="B67" s="44" t="s">
        <v>57</v>
      </c>
      <c r="C67" s="44"/>
      <c r="D67" s="487" t="s">
        <v>1</v>
      </c>
      <c r="E67" s="50"/>
      <c r="F67" s="50">
        <f t="shared" ref="F67:P67" si="152">F65/F9</f>
        <v>0.10414410595147156</v>
      </c>
      <c r="G67" s="50">
        <f t="shared" si="152"/>
        <v>7.1054611529542636E-2</v>
      </c>
      <c r="H67" s="50">
        <f t="shared" si="152"/>
        <v>0.13556918975180965</v>
      </c>
      <c r="I67" s="50">
        <f t="shared" si="152"/>
        <v>0.16377192436130864</v>
      </c>
      <c r="J67" s="50">
        <f t="shared" si="152"/>
        <v>0.17096456838289925</v>
      </c>
      <c r="K67" s="50">
        <f t="shared" si="152"/>
        <v>0.16936561603924488</v>
      </c>
      <c r="L67" s="50">
        <f t="shared" si="152"/>
        <v>0.18110717365829335</v>
      </c>
      <c r="M67" s="50">
        <f t="shared" si="152"/>
        <v>0.21003472275069338</v>
      </c>
      <c r="N67" s="1511">
        <f t="shared" si="152"/>
        <v>0.21736219576143012</v>
      </c>
      <c r="O67" s="50">
        <f t="shared" si="152"/>
        <v>0.22263851822432407</v>
      </c>
      <c r="P67" s="50">
        <f t="shared" si="152"/>
        <v>0.22670522430559689</v>
      </c>
      <c r="Q67" s="1224"/>
      <c r="R67" s="1224"/>
      <c r="S67" s="1224"/>
      <c r="T67" s="952"/>
      <c r="U67" s="51" t="str">
        <f>D67</f>
        <v>净利润率</v>
      </c>
      <c r="V67" s="50">
        <f t="shared" ref="V67:AG67" si="153">V65/V9</f>
        <v>0.17318147789800592</v>
      </c>
      <c r="W67" s="50">
        <f t="shared" si="153"/>
        <v>0.15443638044026814</v>
      </c>
      <c r="X67" s="50">
        <f t="shared" si="153"/>
        <v>0.18120200405459591</v>
      </c>
      <c r="Y67" s="50">
        <f t="shared" si="153"/>
        <v>0.15952587219780701</v>
      </c>
      <c r="Z67" s="50">
        <f t="shared" si="153"/>
        <v>0.17585215426397971</v>
      </c>
      <c r="AA67" s="50">
        <f t="shared" si="153"/>
        <v>0.16276031267895535</v>
      </c>
      <c r="AB67" s="50">
        <f t="shared" si="153"/>
        <v>0.21417388878724128</v>
      </c>
      <c r="AC67" s="50">
        <f t="shared" si="153"/>
        <v>0.14999179524982095</v>
      </c>
      <c r="AD67" s="50">
        <f t="shared" si="153"/>
        <v>0.19715959130161423</v>
      </c>
      <c r="AE67" s="50">
        <f t="shared" si="153"/>
        <v>0.22276070377796095</v>
      </c>
      <c r="AF67" s="50">
        <f t="shared" si="153"/>
        <v>0.22116018130694531</v>
      </c>
      <c r="AG67" s="50">
        <f t="shared" si="153"/>
        <v>0.21335865860069675</v>
      </c>
      <c r="AH67" s="50">
        <f t="shared" ref="AH67:AI67" si="154">AH65/AH9</f>
        <v>0.22640870450202541</v>
      </c>
      <c r="AI67" s="50">
        <f t="shared" si="154"/>
        <v>0.21857147144754752</v>
      </c>
      <c r="AJ67" s="1224"/>
      <c r="AK67" s="1224"/>
      <c r="AL67" s="1224"/>
      <c r="AM67" s="1224"/>
      <c r="AN67" s="1224"/>
      <c r="AO67" s="1224"/>
      <c r="AP67" s="1224"/>
      <c r="AQ67" s="1224"/>
      <c r="AR67" s="1224"/>
      <c r="AS67" s="1224"/>
      <c r="AT67" s="1224"/>
      <c r="AU67" s="1224"/>
      <c r="AV67" s="1224"/>
      <c r="AW67" s="1224"/>
      <c r="AX67" s="1224"/>
      <c r="AY67" s="952"/>
      <c r="AZ67" s="51" t="str">
        <f t="shared" si="128"/>
        <v>净利润率</v>
      </c>
      <c r="BA67" s="51"/>
      <c r="BB67" s="50">
        <f t="shared" ref="BB67:BX67" si="155">BB65/BB9</f>
        <v>0.15665786821000688</v>
      </c>
      <c r="BC67" s="50">
        <f t="shared" si="155"/>
        <v>0.18321899464539179</v>
      </c>
      <c r="BD67" s="50">
        <f t="shared" si="155"/>
        <v>0.161037117885344</v>
      </c>
      <c r="BE67" s="50">
        <f t="shared" si="155"/>
        <v>0.14307953039837024</v>
      </c>
      <c r="BF67" s="50">
        <f t="shared" si="155"/>
        <v>0.19708777885999751</v>
      </c>
      <c r="BG67" s="50">
        <f t="shared" si="155"/>
        <v>0.16740965597911103</v>
      </c>
      <c r="BH67" s="50">
        <f t="shared" si="155"/>
        <v>0.16371979778049683</v>
      </c>
      <c r="BI67" s="50">
        <f t="shared" si="155"/>
        <v>0.15397005261253038</v>
      </c>
      <c r="BJ67" s="50">
        <f t="shared" si="155"/>
        <v>0.17176255001062765</v>
      </c>
      <c r="BK67" s="50">
        <f t="shared" si="155"/>
        <v>0.17944380938070975</v>
      </c>
      <c r="BL67" s="50">
        <f t="shared" si="155"/>
        <v>0.17461257281055023</v>
      </c>
      <c r="BM67" s="50">
        <f t="shared" si="155"/>
        <v>0.14777449060961459</v>
      </c>
      <c r="BN67" s="50">
        <f t="shared" si="155"/>
        <v>0.19963005662102706</v>
      </c>
      <c r="BO67" s="50">
        <f t="shared" si="155"/>
        <v>0.20572681595288125</v>
      </c>
      <c r="BP67" s="50">
        <f t="shared" si="155"/>
        <v>0.17212433803332552</v>
      </c>
      <c r="BQ67" s="50">
        <f t="shared" si="155"/>
        <v>0.1465252789975067</v>
      </c>
      <c r="BR67" s="50">
        <f t="shared" si="155"/>
        <v>0.19065146871846347</v>
      </c>
      <c r="BS67" s="50">
        <f t="shared" si="155"/>
        <v>0.24292460210479427</v>
      </c>
      <c r="BT67" s="50">
        <f t="shared" si="155"/>
        <v>0.20849567397314206</v>
      </c>
      <c r="BU67" s="50">
        <f t="shared" si="155"/>
        <v>0.18878316373520485</v>
      </c>
      <c r="BV67" s="50">
        <f t="shared" si="155"/>
        <v>0.20214419050858348</v>
      </c>
      <c r="BW67" s="50">
        <f t="shared" si="155"/>
        <v>0.23685623754733337</v>
      </c>
      <c r="BX67" s="50">
        <f t="shared" si="155"/>
        <v>0.22696828609916406</v>
      </c>
      <c r="BY67" s="50">
        <f t="shared" ref="BY67:CC67" si="156">BY65/BY9</f>
        <v>0.19353093068476851</v>
      </c>
      <c r="BZ67" s="50">
        <f t="shared" si="156"/>
        <v>0.20977874941486291</v>
      </c>
      <c r="CA67" s="50">
        <f t="shared" si="156"/>
        <v>0.2402124381518779</v>
      </c>
      <c r="CB67" s="50">
        <f t="shared" si="156"/>
        <v>0.21536148163019936</v>
      </c>
      <c r="CC67" s="50">
        <f t="shared" si="156"/>
        <v>0.22371307557025893</v>
      </c>
    </row>
    <row r="68" spans="2:81">
      <c r="B68" s="43" t="s">
        <v>71</v>
      </c>
      <c r="C68" s="43"/>
      <c r="D68" s="47" t="s">
        <v>867</v>
      </c>
      <c r="E68" s="46"/>
      <c r="F68" s="46">
        <f>Model!C60</f>
        <v>1.9637076588801066</v>
      </c>
      <c r="G68" s="46">
        <f>Model!D60</f>
        <v>0.47435371529670339</v>
      </c>
      <c r="H68" s="46">
        <f>Model!E60</f>
        <v>1.2191750209829058</v>
      </c>
      <c r="I68" s="46">
        <f>Model!F60</f>
        <v>1.7351784526068383</v>
      </c>
      <c r="J68" s="46">
        <f>Model!G60</f>
        <v>2.29409727754883</v>
      </c>
      <c r="K68" s="46">
        <f>Model!H60</f>
        <v>2.7701626139346502</v>
      </c>
      <c r="L68" s="46">
        <f>Model!I60</f>
        <v>3.9225419439898634</v>
      </c>
      <c r="M68" s="46">
        <f>Model!J60</f>
        <v>6.3973570899958307</v>
      </c>
      <c r="N68" s="1512">
        <f>Model!K60</f>
        <v>8.7744878691599482</v>
      </c>
      <c r="O68" s="46">
        <f>Model!L60</f>
        <v>10.87626555906585</v>
      </c>
      <c r="P68" s="46">
        <f>Model!M60</f>
        <v>12.988134917422284</v>
      </c>
      <c r="Q68" s="484"/>
      <c r="R68" s="484"/>
      <c r="S68" s="484"/>
      <c r="U68" s="47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84"/>
      <c r="AK68" s="484"/>
      <c r="AL68" s="484"/>
      <c r="AM68" s="484"/>
      <c r="AN68" s="484"/>
      <c r="AO68" s="484"/>
      <c r="AP68" s="484"/>
      <c r="AQ68" s="484"/>
      <c r="AR68" s="484"/>
      <c r="AS68" s="484"/>
      <c r="AT68" s="484"/>
      <c r="AU68" s="484"/>
      <c r="AV68" s="484"/>
      <c r="AW68" s="484"/>
      <c r="AX68" s="484"/>
      <c r="AZ68" s="51" t="str">
        <f>B68</f>
        <v>EPS - basic</v>
      </c>
      <c r="BA68" s="47"/>
      <c r="BB68" s="1185">
        <f>+Quarterly!D76</f>
        <v>0.43</v>
      </c>
      <c r="BC68" s="1185">
        <f>+Quarterly!E76</f>
        <v>0.8</v>
      </c>
      <c r="BD68" s="1185">
        <f>+Quarterly!F76</f>
        <v>0.73</v>
      </c>
      <c r="BE68" s="1185">
        <f>+Quarterly!G76</f>
        <v>0.29999999999999982</v>
      </c>
      <c r="BF68" s="1185">
        <f>+Quarterly!H76</f>
        <v>0.95</v>
      </c>
      <c r="BG68" s="1185">
        <f>+Quarterly!I76</f>
        <v>0.89319999999999999</v>
      </c>
      <c r="BH68" s="1185">
        <f>+Quarterly!J76</f>
        <v>0.79680000000000017</v>
      </c>
      <c r="BI68" s="1185">
        <f>+Quarterly!K76</f>
        <v>0.47199999999999998</v>
      </c>
      <c r="BJ68" s="1185">
        <f>+Quarterly!L76</f>
        <v>0.86160000000000003</v>
      </c>
      <c r="BK68" s="1185">
        <f>+Quarterly!M76</f>
        <v>1.0249000000000001</v>
      </c>
      <c r="BL68" s="1185">
        <f>+Quarterly!N76</f>
        <v>1.0271999999999999</v>
      </c>
      <c r="BM68" s="1185">
        <f>+Quarterly!O76</f>
        <v>0.6875</v>
      </c>
      <c r="BN68" s="1185">
        <f>+Quarterly!P76</f>
        <v>1.2431000000000001</v>
      </c>
      <c r="BO68" s="1185">
        <f>+Quarterly!Q76</f>
        <v>1.5270999999999999</v>
      </c>
      <c r="BP68" s="1185">
        <f>+Quarterly!R76</f>
        <v>1.3686999999999996</v>
      </c>
      <c r="BQ68" s="1185">
        <f>+Quarterly!S76</f>
        <v>0.96040000000000081</v>
      </c>
      <c r="BR68" s="1185">
        <f>+Quarterly!T76</f>
        <v>1.6597</v>
      </c>
      <c r="BS68" s="1185">
        <f>+Quarterly!U76</f>
        <v>2.6666999999999996</v>
      </c>
      <c r="BT68" s="1185">
        <f>+Quarterly!V76</f>
        <v>0.88000000000000078</v>
      </c>
      <c r="BU68" s="1185">
        <f>+Quarterly!W76</f>
        <v>1.1909633893768046</v>
      </c>
      <c r="BV68" s="1185">
        <f>+Quarterly!X76</f>
        <v>1.8846000000000001</v>
      </c>
      <c r="BW68" s="1185">
        <f>+Quarterly!Y76</f>
        <v>2.6821000000000002</v>
      </c>
      <c r="BX68" s="1185">
        <f>+Quarterly!Z76</f>
        <v>2.6657000000000002</v>
      </c>
      <c r="BY68" s="1185">
        <f>+Quarterly!AA76</f>
        <v>1.543721394302588</v>
      </c>
      <c r="BZ68" s="1185">
        <f>+Quarterly!AB76</f>
        <v>2.405589044318436</v>
      </c>
      <c r="CA68" s="1185">
        <f>+Quarterly!AC76</f>
        <v>3.3185620469143715</v>
      </c>
      <c r="CB68" s="1185">
        <f>+Quarterly!AD76</f>
        <v>3.1110790172062059</v>
      </c>
      <c r="CC68" s="1185">
        <f>+Quarterly!AE76</f>
        <v>2.0410354506268371</v>
      </c>
    </row>
    <row r="69" spans="2:81" s="1110" customFormat="1">
      <c r="B69" s="1104" t="s">
        <v>1118</v>
      </c>
      <c r="C69" s="1106"/>
      <c r="D69" s="1107"/>
      <c r="E69" s="1108"/>
      <c r="F69" s="1108">
        <f>+Wind!U49-Segment!F65</f>
        <v>3.0999999999608008E-3</v>
      </c>
      <c r="G69" s="1108">
        <f>+Wind!V49-Segment!G65</f>
        <v>3.822999994440579E-5</v>
      </c>
      <c r="H69" s="1108">
        <f>+Wind!W49-Segment!H65</f>
        <v>-1.4229999919734837E-5</v>
      </c>
      <c r="I69" s="1108">
        <f>+Wind!X49-Segment!I65</f>
        <v>-4.8400003151982673E-6</v>
      </c>
      <c r="J69" s="1108"/>
      <c r="K69" s="1108"/>
      <c r="L69" s="1108"/>
      <c r="M69" s="1108"/>
      <c r="N69" s="1513"/>
      <c r="O69" s="1108"/>
      <c r="P69" s="1108"/>
      <c r="Q69" s="1228"/>
      <c r="R69" s="1228"/>
      <c r="S69" s="1228"/>
      <c r="T69" s="1109"/>
      <c r="U69" s="1107"/>
      <c r="V69" s="1108"/>
      <c r="W69" s="1108"/>
      <c r="X69" s="1108"/>
      <c r="Y69" s="1108"/>
      <c r="Z69" s="1108"/>
      <c r="AA69" s="1108"/>
      <c r="AB69" s="1108"/>
      <c r="AC69" s="1108"/>
      <c r="AD69" s="1108"/>
      <c r="AE69" s="1108"/>
      <c r="AF69" s="1108"/>
      <c r="AG69" s="1108"/>
      <c r="AH69" s="1108"/>
      <c r="AI69" s="1108"/>
      <c r="AJ69" s="1228"/>
      <c r="AK69" s="1228"/>
      <c r="AL69" s="1228"/>
      <c r="AM69" s="1228"/>
      <c r="AN69" s="1228"/>
      <c r="AO69" s="1228"/>
      <c r="AP69" s="1228"/>
      <c r="AQ69" s="1228"/>
      <c r="AR69" s="1228"/>
      <c r="AS69" s="1228"/>
      <c r="AT69" s="1228"/>
      <c r="AU69" s="1228"/>
      <c r="AV69" s="1228"/>
      <c r="AW69" s="1228"/>
      <c r="AX69" s="1228"/>
      <c r="AY69" s="1109"/>
      <c r="AZ69" s="1105"/>
      <c r="BA69" s="1107"/>
      <c r="BB69" s="1105">
        <f>+Quarterly!D70-Segment!BB63</f>
        <v>7.4493887900000004</v>
      </c>
      <c r="BC69" s="1105">
        <f>+Quarterly!E70-Segment!BC63</f>
        <v>6.1925112099999637</v>
      </c>
      <c r="BD69" s="1105">
        <f>+Quarterly!F70-Segment!BD63</f>
        <v>9.2415889900001957</v>
      </c>
      <c r="BE69" s="1105">
        <f>+Quarterly!G70-Segment!BE63</f>
        <v>-22.883493830000248</v>
      </c>
      <c r="BF69" s="1105">
        <f>+Quarterly!H70-Segment!BF63</f>
        <v>4.6206926999998927</v>
      </c>
      <c r="BG69" s="1105">
        <f>+Quarterly!I70-Segment!BG63</f>
        <v>3.9722284000000059</v>
      </c>
      <c r="BH69" s="1105">
        <f>+Quarterly!J70-Segment!BH63</f>
        <v>12.750109700000621</v>
      </c>
      <c r="BI69" s="1105">
        <f>+Quarterly!K70-Segment!BI63</f>
        <v>-21.34303080000052</v>
      </c>
      <c r="BJ69" s="1241">
        <f>ROUND(+Quarterly!L70-Segment!BJ63,3)</f>
        <v>0</v>
      </c>
      <c r="BK69" s="1241">
        <f>ROUND(+Quarterly!M70-Segment!BK63,3)</f>
        <v>0</v>
      </c>
      <c r="BL69" s="1241">
        <f>ROUND(+Quarterly!N70-Segment!BL63,3)</f>
        <v>0</v>
      </c>
      <c r="BM69" s="1241">
        <f>ROUND(+Quarterly!O70-Segment!BM63,3)</f>
        <v>0</v>
      </c>
      <c r="BN69" s="1241">
        <f>ROUND(+Quarterly!P70-Segment!BN63,3)</f>
        <v>0</v>
      </c>
      <c r="BO69" s="1241">
        <f>ROUND(+Quarterly!Q70-Segment!BO63,3)</f>
        <v>0</v>
      </c>
      <c r="BP69" s="1241">
        <f>ROUND(+Quarterly!R70-Segment!BP63,3)</f>
        <v>0</v>
      </c>
      <c r="BQ69" s="1241">
        <f>ROUND(+Quarterly!S70-Segment!BQ63,3)</f>
        <v>0</v>
      </c>
      <c r="BR69" s="1241">
        <f>ROUND(+Quarterly!T70-Segment!BR63,3)</f>
        <v>0</v>
      </c>
      <c r="BS69" s="1241">
        <f>ROUND(+Quarterly!U70-Segment!BS63,3)</f>
        <v>0</v>
      </c>
      <c r="BT69" s="1241">
        <f>ROUND(+Quarterly!V70-Segment!BT63,3)</f>
        <v>0</v>
      </c>
      <c r="BU69" s="1241">
        <f>ROUND(+Quarterly!W70-Segment!BU63,3)</f>
        <v>0.28000000000000003</v>
      </c>
      <c r="BV69" s="1241">
        <f>ROUND(+Quarterly!X70-Segment!BV63,3)</f>
        <v>5.3999999999999999E-2</v>
      </c>
      <c r="BW69" s="1241">
        <f>ROUND(+Quarterly!Y70-Segment!BW63,3)</f>
        <v>0.182</v>
      </c>
      <c r="BX69" s="1241">
        <f>ROUND(+Quarterly!Z70-Segment!BX63,3)</f>
        <v>0.874</v>
      </c>
      <c r="BY69" s="1241">
        <f>ROUND(+Quarterly!AA70-Segment!BY63,3)</f>
        <v>0</v>
      </c>
      <c r="BZ69" s="1241">
        <f>ROUND(+Quarterly!AB70-Segment!BZ63,3)</f>
        <v>0</v>
      </c>
      <c r="CA69" s="1241">
        <f>ROUND(+Quarterly!AC70-Segment!CA63,3)</f>
        <v>0</v>
      </c>
      <c r="CB69" s="1241">
        <f>ROUND(+Quarterly!AD70-Segment!CB63,3)</f>
        <v>0</v>
      </c>
      <c r="CC69" s="1241">
        <f>ROUND(+Quarterly!AE70-Segment!CC63,3)</f>
        <v>0.28000000000000003</v>
      </c>
    </row>
    <row r="70" spans="2:81" s="743" customFormat="1">
      <c r="B70" s="826"/>
      <c r="C70" s="826"/>
      <c r="D70" s="745" t="s">
        <v>1108</v>
      </c>
      <c r="E70" s="746"/>
      <c r="F70" s="746"/>
      <c r="G70" s="746"/>
      <c r="H70" s="746"/>
      <c r="I70" s="746"/>
      <c r="J70" s="746"/>
      <c r="K70" s="746"/>
      <c r="L70" s="746"/>
      <c r="M70" s="746">
        <f>M23/SUM(M106,M201)</f>
        <v>2.0731853150418069</v>
      </c>
      <c r="N70" s="1514">
        <f>N23/SUM(N106,N201)</f>
        <v>1.9067251339609745</v>
      </c>
      <c r="O70" s="2081">
        <f>N70/M70-1</f>
        <v>-8.0291993133993267E-2</v>
      </c>
      <c r="P70" s="746"/>
      <c r="Q70" s="746"/>
      <c r="R70" s="746"/>
      <c r="S70" s="746"/>
      <c r="T70" s="948"/>
      <c r="U70" s="745"/>
      <c r="V70" s="746"/>
      <c r="W70" s="746"/>
      <c r="X70" s="746"/>
      <c r="Y70" s="746"/>
      <c r="Z70" s="746"/>
      <c r="AA70" s="746"/>
      <c r="AB70" s="746"/>
      <c r="AC70" s="746"/>
      <c r="AD70" s="746"/>
      <c r="AE70" s="746"/>
      <c r="AF70" s="746"/>
      <c r="AG70" s="746"/>
      <c r="AH70" s="746"/>
      <c r="AI70" s="746"/>
      <c r="AJ70" s="746"/>
      <c r="AK70" s="746"/>
      <c r="AL70" s="746"/>
      <c r="AM70" s="746"/>
      <c r="AN70" s="746"/>
      <c r="AO70" s="746"/>
      <c r="AP70" s="746"/>
      <c r="AQ70" s="746"/>
      <c r="AR70" s="746"/>
      <c r="AS70" s="746"/>
      <c r="AT70" s="746"/>
      <c r="AU70" s="746"/>
      <c r="AV70" s="746"/>
      <c r="AW70" s="746"/>
      <c r="AX70" s="746"/>
      <c r="AY70" s="948"/>
      <c r="AZ70" s="745"/>
      <c r="BA70" s="745"/>
      <c r="BB70" s="746"/>
      <c r="BC70" s="746"/>
      <c r="BD70" s="746"/>
      <c r="BE70" s="746"/>
      <c r="BF70" s="746"/>
      <c r="BG70" s="746"/>
      <c r="BH70" s="746"/>
      <c r="BI70" s="746"/>
      <c r="BJ70" s="746"/>
      <c r="BK70" s="746"/>
      <c r="BL70" s="746"/>
      <c r="BM70" s="746"/>
      <c r="BN70" s="746"/>
      <c r="BO70" s="746"/>
      <c r="BP70" s="746"/>
      <c r="BQ70" s="746"/>
      <c r="BR70" s="746"/>
      <c r="BS70" s="746"/>
      <c r="BT70" s="746"/>
      <c r="BU70" s="746"/>
      <c r="BV70" s="746"/>
      <c r="BW70" s="746"/>
      <c r="BX70" s="746"/>
      <c r="BY70" s="746"/>
      <c r="BZ70" s="746"/>
      <c r="CA70" s="746"/>
      <c r="CB70" s="746"/>
      <c r="CC70" s="746"/>
    </row>
    <row r="71" spans="2:81" s="305" customFormat="1">
      <c r="B71" s="896" t="s">
        <v>875</v>
      </c>
      <c r="C71" s="896"/>
      <c r="D71" s="897"/>
      <c r="E71" s="898"/>
      <c r="F71" s="899"/>
      <c r="G71" s="899"/>
      <c r="H71" s="899"/>
      <c r="I71" s="899"/>
      <c r="J71" s="899"/>
      <c r="K71" s="899"/>
      <c r="L71" s="899"/>
      <c r="M71" s="899"/>
      <c r="N71" s="1515"/>
      <c r="O71" s="899"/>
      <c r="P71" s="899"/>
      <c r="Q71" s="899"/>
      <c r="R71" s="899"/>
      <c r="S71" s="899"/>
      <c r="T71" s="948"/>
      <c r="U71" s="897"/>
      <c r="V71" s="899"/>
      <c r="W71" s="899"/>
      <c r="X71" s="899"/>
      <c r="Y71" s="899"/>
      <c r="Z71" s="899"/>
      <c r="AA71" s="899"/>
      <c r="AB71" s="899"/>
      <c r="AC71" s="899"/>
      <c r="AD71" s="899"/>
      <c r="AE71" s="899"/>
      <c r="AF71" s="899"/>
      <c r="AG71" s="899"/>
      <c r="AH71" s="899"/>
      <c r="AI71" s="899"/>
      <c r="AJ71" s="899"/>
      <c r="AK71" s="899"/>
      <c r="AL71" s="899"/>
      <c r="AM71" s="899"/>
      <c r="AN71" s="899"/>
      <c r="AO71" s="899"/>
      <c r="AP71" s="899"/>
      <c r="AQ71" s="899"/>
      <c r="AR71" s="899"/>
      <c r="AS71" s="899"/>
      <c r="AT71" s="899"/>
      <c r="AU71" s="899"/>
      <c r="AV71" s="899"/>
      <c r="AW71" s="899"/>
      <c r="AX71" s="899"/>
      <c r="AY71" s="948"/>
      <c r="AZ71" s="927"/>
      <c r="BA71" s="927"/>
      <c r="BB71" s="927"/>
      <c r="BC71" s="927"/>
      <c r="BD71" s="927"/>
      <c r="BE71" s="927"/>
      <c r="BF71" s="927"/>
      <c r="BG71" s="927"/>
      <c r="BH71" s="927"/>
      <c r="BI71" s="927"/>
      <c r="BJ71" s="927"/>
      <c r="BK71" s="927"/>
      <c r="BL71" s="927"/>
      <c r="BM71" s="927"/>
      <c r="BN71" s="927"/>
      <c r="BO71" s="927"/>
      <c r="BP71" s="927"/>
      <c r="BQ71" s="927"/>
      <c r="BR71" s="927"/>
      <c r="BS71" s="927"/>
      <c r="BT71" s="927"/>
      <c r="BU71" s="927"/>
      <c r="BV71" s="927"/>
      <c r="BW71" s="927"/>
      <c r="BX71" s="927"/>
      <c r="BY71" s="927"/>
      <c r="BZ71" s="927"/>
      <c r="CA71" s="927"/>
      <c r="CB71" s="927"/>
      <c r="CC71" s="927"/>
    </row>
    <row r="72" spans="2:81">
      <c r="B72" s="900" t="s">
        <v>1116</v>
      </c>
      <c r="C72" s="900"/>
      <c r="D72" s="900" t="s">
        <v>1108</v>
      </c>
      <c r="E72" s="901"/>
      <c r="F72" s="901">
        <f t="shared" ref="F72:P72" si="157">+F8</f>
        <v>2017</v>
      </c>
      <c r="G72" s="901">
        <f t="shared" si="157"/>
        <v>2018</v>
      </c>
      <c r="H72" s="901">
        <f t="shared" si="157"/>
        <v>2019</v>
      </c>
      <c r="I72" s="901">
        <f t="shared" si="157"/>
        <v>2020</v>
      </c>
      <c r="J72" s="901">
        <f t="shared" si="157"/>
        <v>2021</v>
      </c>
      <c r="K72" s="901">
        <f t="shared" si="157"/>
        <v>2022</v>
      </c>
      <c r="L72" s="901">
        <f t="shared" si="157"/>
        <v>2023</v>
      </c>
      <c r="M72" s="901">
        <f t="shared" si="157"/>
        <v>2024</v>
      </c>
      <c r="N72" s="1516" t="str">
        <f t="shared" si="157"/>
        <v>2025E</v>
      </c>
      <c r="O72" s="901" t="str">
        <f t="shared" si="157"/>
        <v>2026E</v>
      </c>
      <c r="P72" s="901" t="str">
        <f t="shared" si="157"/>
        <v>2027E</v>
      </c>
      <c r="Q72" s="935"/>
      <c r="R72" s="935"/>
      <c r="S72" s="935"/>
      <c r="U72" s="1157" t="s">
        <v>1119</v>
      </c>
      <c r="V72" s="1157"/>
      <c r="W72" s="1157"/>
      <c r="X72" s="1157"/>
      <c r="Y72" s="1157"/>
      <c r="Z72" s="1157"/>
      <c r="AA72" s="1157"/>
      <c r="AB72" s="1157"/>
      <c r="AC72" s="1157"/>
      <c r="AD72" s="1157"/>
      <c r="AE72" s="1157"/>
      <c r="AF72" s="1157"/>
      <c r="AG72" s="1157"/>
      <c r="AH72" s="1157"/>
      <c r="AI72" s="1157"/>
      <c r="AJ72" s="1157"/>
      <c r="AK72" s="1157"/>
      <c r="AL72" s="1157"/>
      <c r="AM72" s="1157"/>
      <c r="AN72" s="1157"/>
      <c r="AO72" s="1157"/>
      <c r="AP72" s="1157"/>
      <c r="AQ72" s="1157"/>
      <c r="AR72" s="1157"/>
      <c r="AS72" s="1157"/>
      <c r="AT72" s="1157"/>
      <c r="AU72" s="1157"/>
      <c r="AV72" s="1157"/>
      <c r="AW72" s="1157"/>
      <c r="AX72" s="1157"/>
      <c r="AZ72" s="928" t="str">
        <f>+B72</f>
        <v>Energy drinks</v>
      </c>
      <c r="BA72" s="928"/>
      <c r="BB72" s="929"/>
      <c r="BC72" s="929"/>
      <c r="BD72" s="929"/>
      <c r="BE72" s="929"/>
      <c r="BF72" s="929"/>
      <c r="BG72" s="929"/>
      <c r="BH72" s="929"/>
      <c r="BI72" s="929"/>
      <c r="BJ72" s="1347" t="s">
        <v>1209</v>
      </c>
      <c r="BK72" s="1347" t="s">
        <v>1232</v>
      </c>
      <c r="BL72" s="1347" t="s">
        <v>1229</v>
      </c>
      <c r="BM72" s="1347" t="s">
        <v>1276</v>
      </c>
      <c r="BN72" s="1347" t="s">
        <v>1273</v>
      </c>
      <c r="BO72" s="1347" t="s">
        <v>1277</v>
      </c>
      <c r="BP72" s="1347" t="s">
        <v>1278</v>
      </c>
      <c r="BQ72" s="1347" t="s">
        <v>1279</v>
      </c>
      <c r="BR72" s="1347" t="s">
        <v>1275</v>
      </c>
      <c r="BS72" s="1347" t="str">
        <f>BS8</f>
        <v>2Q24</v>
      </c>
      <c r="BT72" s="1347" t="s">
        <v>1549</v>
      </c>
      <c r="BU72" s="1347" t="s">
        <v>1280</v>
      </c>
      <c r="BV72" s="1347" t="str">
        <f>BV$8</f>
        <v>1Q25</v>
      </c>
      <c r="BW72" s="1347" t="str">
        <f t="shared" ref="BW72:CC72" si="158">BW$8</f>
        <v>2Q25</v>
      </c>
      <c r="BX72" s="1347" t="str">
        <f t="shared" si="158"/>
        <v>3Q25</v>
      </c>
      <c r="BY72" s="1347" t="str">
        <f t="shared" si="158"/>
        <v>4Q25E</v>
      </c>
      <c r="BZ72" s="1347" t="str">
        <f t="shared" si="158"/>
        <v>1Q26E</v>
      </c>
      <c r="CA72" s="1347" t="str">
        <f t="shared" si="158"/>
        <v>2Q26E</v>
      </c>
      <c r="CB72" s="1347" t="str">
        <f t="shared" si="158"/>
        <v>3Q26E</v>
      </c>
      <c r="CC72" s="1347" t="str">
        <f t="shared" si="158"/>
        <v>4Q26E</v>
      </c>
    </row>
    <row r="73" spans="2:81">
      <c r="B73" s="902" t="s">
        <v>903</v>
      </c>
      <c r="C73" s="902"/>
      <c r="D73" s="902" t="s">
        <v>862</v>
      </c>
      <c r="E73" s="903"/>
      <c r="F73" s="903"/>
      <c r="G73" s="903"/>
      <c r="H73" s="903"/>
      <c r="I73" s="904"/>
      <c r="J73" s="904"/>
      <c r="K73" s="904"/>
      <c r="L73" s="904"/>
      <c r="M73" s="2082"/>
      <c r="N73" s="1517"/>
      <c r="O73" s="904"/>
      <c r="P73" s="904"/>
      <c r="Q73" s="904"/>
      <c r="R73" s="904"/>
      <c r="S73" s="904"/>
      <c r="U73" s="1111" t="str">
        <f>+D73</f>
        <v>财务指标</v>
      </c>
      <c r="V73" s="930"/>
      <c r="W73" s="930"/>
      <c r="X73" s="930"/>
      <c r="Y73" s="930"/>
      <c r="Z73" s="930"/>
      <c r="AA73" s="930"/>
      <c r="AB73" s="930"/>
      <c r="AC73" s="930"/>
      <c r="AD73" s="930"/>
      <c r="AE73" s="930"/>
      <c r="AF73" s="930"/>
      <c r="AG73" s="930"/>
      <c r="AH73" s="930"/>
      <c r="AI73" s="930"/>
      <c r="AJ73" s="930"/>
      <c r="AK73" s="930"/>
      <c r="AL73" s="930"/>
      <c r="AM73" s="930"/>
      <c r="AN73" s="930"/>
      <c r="AO73" s="930"/>
      <c r="AP73" s="930"/>
      <c r="AQ73" s="930"/>
      <c r="AR73" s="930"/>
      <c r="AS73" s="930"/>
      <c r="AT73" s="930"/>
      <c r="AU73" s="930"/>
      <c r="AV73" s="930"/>
      <c r="AW73" s="930"/>
      <c r="AX73" s="930"/>
      <c r="AZ73" s="931"/>
      <c r="BA73" s="931"/>
      <c r="BB73" s="932"/>
      <c r="BC73" s="932"/>
      <c r="BD73" s="932"/>
      <c r="BE73" s="932"/>
      <c r="BF73" s="932"/>
      <c r="BG73" s="931"/>
      <c r="BH73" s="931"/>
      <c r="BI73" s="931"/>
      <c r="BJ73" s="932"/>
      <c r="BK73" s="932"/>
      <c r="BL73" s="932"/>
      <c r="BM73" s="932"/>
      <c r="BN73" s="932"/>
      <c r="BO73" s="932"/>
      <c r="BP73" s="932"/>
      <c r="BQ73" s="932"/>
      <c r="BR73" s="932"/>
      <c r="BS73" s="932"/>
      <c r="BT73" s="932"/>
      <c r="BU73" s="932"/>
      <c r="BV73" s="932"/>
      <c r="BW73" s="932"/>
      <c r="BX73" s="932"/>
      <c r="BY73" s="932"/>
      <c r="BZ73" s="932"/>
      <c r="CA73" s="932"/>
      <c r="CB73" s="932"/>
      <c r="CC73" s="932"/>
    </row>
    <row r="74" spans="2:81" s="1136" customFormat="1">
      <c r="B74" s="311" t="s">
        <v>53</v>
      </c>
      <c r="C74" s="311"/>
      <c r="D74" s="311" t="s">
        <v>51</v>
      </c>
      <c r="E74" s="744"/>
      <c r="F74" s="350"/>
      <c r="G74" s="350">
        <f>+SUM(G75:G79)</f>
        <v>2885.4971</v>
      </c>
      <c r="H74" s="350">
        <f>+SUM(H75:H79)</f>
        <v>4003.0305000000003</v>
      </c>
      <c r="I74" s="350">
        <f>+SUM(I75:I79)</f>
        <v>4655.1538</v>
      </c>
      <c r="J74" s="400">
        <v>6591.89787918</v>
      </c>
      <c r="K74" s="400">
        <v>8172.3068279999998</v>
      </c>
      <c r="L74" s="1989">
        <v>10336.009</v>
      </c>
      <c r="M74" s="2083">
        <f>13303.58428814</f>
        <v>13303.58428814</v>
      </c>
      <c r="N74" s="1518">
        <f>N135*N106/1000</f>
        <v>15936.363618762907</v>
      </c>
      <c r="O74" s="350">
        <f>O135*O106/1000</f>
        <v>18645.5454339526</v>
      </c>
      <c r="P74" s="350">
        <f>P135*P106/1000</f>
        <v>21255.921794705966</v>
      </c>
      <c r="Q74" s="756"/>
      <c r="R74" s="756"/>
      <c r="S74" s="756"/>
      <c r="T74" s="944"/>
      <c r="U74" s="760" t="str">
        <f>+D74</f>
        <v>营业收入</v>
      </c>
      <c r="V74" s="1202">
        <f>227232.73/100</f>
        <v>2272.3272999999999</v>
      </c>
      <c r="W74" s="756">
        <f>+I74-V74</f>
        <v>2382.8265000000001</v>
      </c>
      <c r="X74" s="1202">
        <f>354722.56/100</f>
        <v>3547.2255999999998</v>
      </c>
      <c r="Y74" s="756">
        <f>+J74-X74</f>
        <v>3044.6722791800003</v>
      </c>
      <c r="Z74" s="1202">
        <v>4118.3335217599997</v>
      </c>
      <c r="AA74" s="756">
        <f>K74-Z74</f>
        <v>4053.9733062400001</v>
      </c>
      <c r="AB74" s="1202">
        <v>5134.9885000000004</v>
      </c>
      <c r="AC74" s="756">
        <f>L74-AB74</f>
        <v>5201.0204999999996</v>
      </c>
      <c r="AD74" s="756">
        <f>BR74+BS74</f>
        <v>6855.9411999999993</v>
      </c>
      <c r="AE74" s="756">
        <f>M74-AD74</f>
        <v>6447.6430881400011</v>
      </c>
      <c r="AF74" s="756"/>
      <c r="AG74" s="756"/>
      <c r="AH74" s="756"/>
      <c r="AI74" s="756"/>
      <c r="AJ74" s="756"/>
      <c r="AK74" s="756"/>
      <c r="AL74" s="756"/>
      <c r="AM74" s="756"/>
      <c r="AN74" s="756"/>
      <c r="AO74" s="756"/>
      <c r="AP74" s="756"/>
      <c r="AQ74" s="756"/>
      <c r="AR74" s="756"/>
      <c r="AS74" s="756"/>
      <c r="AT74" s="756"/>
      <c r="AU74" s="756"/>
      <c r="AV74" s="756"/>
      <c r="AW74" s="756"/>
      <c r="AX74" s="756"/>
      <c r="AY74" s="944"/>
      <c r="AZ74" s="1135" t="str">
        <f>+B74</f>
        <v>Revenue</v>
      </c>
      <c r="BA74" s="1203"/>
      <c r="BB74" s="1204"/>
      <c r="BC74" s="1204"/>
      <c r="BD74" s="1204">
        <f>376624.61/100-V74</f>
        <v>1493.9187999999999</v>
      </c>
      <c r="BE74" s="1204">
        <f>+W74-BD74</f>
        <v>888.9077000000002</v>
      </c>
      <c r="BF74" s="1205">
        <v>1645.0963999999999</v>
      </c>
      <c r="BG74" s="1204">
        <f>X74-BF74</f>
        <v>1902.1291999999999</v>
      </c>
      <c r="BH74" s="1205">
        <f>533834.36/100-X74</f>
        <v>1791.1180000000004</v>
      </c>
      <c r="BI74" s="1204">
        <f>Y74-BH74</f>
        <v>1253.5542791799999</v>
      </c>
      <c r="BJ74" s="1205">
        <v>1906.5174999999999</v>
      </c>
      <c r="BK74" s="1204">
        <f>Z74-BJ74</f>
        <v>2211.8160217599998</v>
      </c>
      <c r="BL74" s="1205">
        <f>6391.8896-Z74</f>
        <v>2273.5560782400007</v>
      </c>
      <c r="BM74" s="1204">
        <f>AA74-BL74</f>
        <v>1780.4172279999993</v>
      </c>
      <c r="BN74" s="1205">
        <v>2383.1745999999998</v>
      </c>
      <c r="BO74" s="1204">
        <f>AB74-BN74</f>
        <v>2751.8139000000006</v>
      </c>
      <c r="BP74" s="1205">
        <f>7993.9474-AB74</f>
        <v>2858.9588999999996</v>
      </c>
      <c r="BQ74" s="1204">
        <f>AC74-BP74</f>
        <v>2342.0616</v>
      </c>
      <c r="BR74" s="1205">
        <v>3100.6925999999999</v>
      </c>
      <c r="BS74" s="1204">
        <f>Quarterly!U90</f>
        <v>3755.2485999999999</v>
      </c>
      <c r="BT74" s="1204">
        <f>Quarterly!V90</f>
        <v>3667.4569999999994</v>
      </c>
      <c r="BU74" s="1204">
        <f>Quarterly!W90</f>
        <v>2778.0708881400005</v>
      </c>
      <c r="BV74" s="1204">
        <f>Quarterly!X90</f>
        <v>3900.5288999999998</v>
      </c>
      <c r="BW74" s="1204">
        <f>Quarterly!Y90</f>
        <v>4459.9820958700002</v>
      </c>
      <c r="BX74" s="1204">
        <f>Quarterly!Z90</f>
        <v>4202.6446041300005</v>
      </c>
      <c r="BY74" s="1204">
        <f>Quarterly!AA90</f>
        <v>3373.2080187629072</v>
      </c>
      <c r="BZ74" s="1204">
        <f>Quarterly!AB90</f>
        <v>4719.6399689999998</v>
      </c>
      <c r="CA74" s="1204">
        <f>Quarterly!AC90</f>
        <v>5351.9785150440002</v>
      </c>
      <c r="CB74" s="1204">
        <f>Quarterly!AD90</f>
        <v>5001.1470789147006</v>
      </c>
      <c r="CC74" s="1204">
        <f>Quarterly!AE90</f>
        <v>3572.7798709938997</v>
      </c>
    </row>
    <row r="75" spans="2:81" s="743" customFormat="1" hidden="1" outlineLevel="1">
      <c r="B75" s="343" t="s">
        <v>1125</v>
      </c>
      <c r="C75" s="307"/>
      <c r="D75" s="343" t="s">
        <v>1121</v>
      </c>
      <c r="E75" s="1206"/>
      <c r="F75" s="348"/>
      <c r="G75" s="348">
        <f>79877.72/100</f>
        <v>798.77719999999999</v>
      </c>
      <c r="H75" s="348">
        <f>216663.24/100</f>
        <v>2166.6324</v>
      </c>
      <c r="I75" s="348">
        <f>308535.13/100</f>
        <v>3085.3513000000003</v>
      </c>
      <c r="J75" s="348">
        <v>5024</v>
      </c>
      <c r="K75" s="349">
        <f t="shared" ref="K75:O79" si="159">J75*(1+K100)</f>
        <v>6631.68</v>
      </c>
      <c r="L75" s="349">
        <f t="shared" si="159"/>
        <v>8833.3977600000017</v>
      </c>
      <c r="M75" s="349">
        <f t="shared" si="159"/>
        <v>11660.085043200002</v>
      </c>
      <c r="N75" s="1519">
        <f t="shared" si="159"/>
        <v>13642.299500544003</v>
      </c>
      <c r="O75" s="349">
        <f t="shared" si="159"/>
        <v>15688.644425625602</v>
      </c>
      <c r="P75" s="349">
        <f t="shared" ref="P75:P77" si="160">O75*(1+P100)</f>
        <v>18198.827533725696</v>
      </c>
      <c r="Q75" s="867"/>
      <c r="R75" s="867"/>
      <c r="S75" s="867"/>
      <c r="T75" s="943"/>
      <c r="U75" s="745"/>
      <c r="V75" s="746"/>
      <c r="W75" s="746"/>
      <c r="X75" s="746"/>
      <c r="Y75" s="746"/>
      <c r="Z75" s="746"/>
      <c r="AA75" s="746"/>
      <c r="AB75" s="746"/>
      <c r="AC75" s="746"/>
      <c r="AD75" s="746"/>
      <c r="AE75" s="746"/>
      <c r="AF75" s="746"/>
      <c r="AG75" s="746"/>
      <c r="AH75" s="746"/>
      <c r="AI75" s="746"/>
      <c r="AJ75" s="746"/>
      <c r="AK75" s="746"/>
      <c r="AL75" s="746"/>
      <c r="AM75" s="746"/>
      <c r="AN75" s="746"/>
      <c r="AO75" s="746"/>
      <c r="AP75" s="746"/>
      <c r="AQ75" s="746"/>
      <c r="AR75" s="746"/>
      <c r="AS75" s="746"/>
      <c r="AT75" s="746"/>
      <c r="AU75" s="746"/>
      <c r="AV75" s="746"/>
      <c r="AW75" s="746"/>
      <c r="AX75" s="746"/>
      <c r="AY75" s="943"/>
      <c r="AZ75" s="745"/>
      <c r="BA75" s="745"/>
      <c r="BB75" s="746"/>
      <c r="BC75" s="746"/>
      <c r="BD75" s="746"/>
      <c r="BE75" s="746"/>
      <c r="BF75" s="746"/>
      <c r="BG75" s="746"/>
      <c r="BH75" s="746"/>
      <c r="BI75" s="746"/>
      <c r="BJ75" s="746"/>
      <c r="BK75" s="746"/>
      <c r="BL75" s="746"/>
      <c r="BM75" s="746"/>
      <c r="BN75" s="746"/>
      <c r="BO75" s="746"/>
      <c r="BP75" s="746"/>
      <c r="BQ75" s="746"/>
      <c r="BR75" s="746"/>
      <c r="BS75" s="746"/>
      <c r="BT75" s="746"/>
      <c r="BU75" s="746"/>
      <c r="BV75" s="746"/>
      <c r="BW75" s="746"/>
      <c r="BX75" s="746"/>
      <c r="BY75" s="746"/>
      <c r="BZ75" s="746"/>
      <c r="CA75" s="746"/>
      <c r="CB75" s="746"/>
      <c r="CC75" s="746"/>
    </row>
    <row r="76" spans="2:81" s="743" customFormat="1" hidden="1" outlineLevel="1">
      <c r="B76" s="343" t="s">
        <v>1124</v>
      </c>
      <c r="C76" s="307"/>
      <c r="D76" s="343" t="s">
        <v>1120</v>
      </c>
      <c r="E76" s="1206"/>
      <c r="F76" s="348"/>
      <c r="G76" s="348">
        <f>174038.91/100</f>
        <v>1740.3891000000001</v>
      </c>
      <c r="H76" s="348">
        <f>122528.44/100</f>
        <v>1225.2844</v>
      </c>
      <c r="I76" s="348">
        <f>82110.38/100</f>
        <v>821.10380000000009</v>
      </c>
      <c r="J76" s="681">
        <v>848</v>
      </c>
      <c r="K76" s="349">
        <f t="shared" si="159"/>
        <v>848</v>
      </c>
      <c r="L76" s="349">
        <f t="shared" si="159"/>
        <v>805.59999999999991</v>
      </c>
      <c r="M76" s="349">
        <f t="shared" si="159"/>
        <v>845.88</v>
      </c>
      <c r="N76" s="1519">
        <f t="shared" si="159"/>
        <v>1015.0559999999999</v>
      </c>
      <c r="O76" s="349">
        <f t="shared" si="159"/>
        <v>1218.0672</v>
      </c>
      <c r="P76" s="349">
        <f t="shared" si="160"/>
        <v>1242.4285439999999</v>
      </c>
      <c r="Q76" s="867"/>
      <c r="R76" s="867"/>
      <c r="S76" s="867"/>
      <c r="T76" s="943"/>
      <c r="U76" s="745"/>
      <c r="V76" s="746"/>
      <c r="W76" s="746"/>
      <c r="X76" s="746"/>
      <c r="Y76" s="746"/>
      <c r="Z76" s="746"/>
      <c r="AA76" s="746"/>
      <c r="AB76" s="746"/>
      <c r="AC76" s="746"/>
      <c r="AD76" s="746"/>
      <c r="AE76" s="746"/>
      <c r="AF76" s="746"/>
      <c r="AG76" s="746"/>
      <c r="AH76" s="746"/>
      <c r="AI76" s="746"/>
      <c r="AJ76" s="746"/>
      <c r="AK76" s="746"/>
      <c r="AL76" s="746"/>
      <c r="AM76" s="746"/>
      <c r="AN76" s="746"/>
      <c r="AO76" s="746"/>
      <c r="AP76" s="746"/>
      <c r="AQ76" s="746"/>
      <c r="AR76" s="746"/>
      <c r="AS76" s="746"/>
      <c r="AT76" s="746"/>
      <c r="AU76" s="746"/>
      <c r="AV76" s="746"/>
      <c r="AW76" s="746"/>
      <c r="AX76" s="746"/>
      <c r="AY76" s="943"/>
      <c r="AZ76" s="745"/>
      <c r="BA76" s="745"/>
      <c r="BB76" s="746"/>
      <c r="BC76" s="746"/>
      <c r="BD76" s="746"/>
      <c r="BE76" s="746"/>
      <c r="BF76" s="746"/>
      <c r="BG76" s="746"/>
      <c r="BH76" s="746"/>
      <c r="BI76" s="746"/>
      <c r="BJ76" s="746"/>
      <c r="BK76" s="746"/>
      <c r="BL76" s="746"/>
      <c r="BM76" s="746"/>
      <c r="BN76" s="746"/>
      <c r="BO76" s="746"/>
      <c r="BP76" s="746"/>
      <c r="BQ76" s="746"/>
      <c r="BR76" s="746"/>
      <c r="BS76" s="746"/>
      <c r="BT76" s="746"/>
      <c r="BU76" s="746"/>
      <c r="BV76" s="746"/>
      <c r="BW76" s="746"/>
      <c r="BX76" s="746"/>
      <c r="BY76" s="746"/>
      <c r="BZ76" s="746"/>
      <c r="CA76" s="746"/>
      <c r="CB76" s="746"/>
      <c r="CC76" s="746"/>
    </row>
    <row r="77" spans="2:81" s="743" customFormat="1" hidden="1" outlineLevel="1">
      <c r="B77" s="343" t="s">
        <v>1126</v>
      </c>
      <c r="C77" s="307"/>
      <c r="D77" s="343" t="s">
        <v>1122</v>
      </c>
      <c r="E77" s="1206"/>
      <c r="F77" s="348">
        <v>208</v>
      </c>
      <c r="G77" s="348">
        <f>27528.02/100</f>
        <v>275.28019999999998</v>
      </c>
      <c r="H77" s="348">
        <f>53757.74/100</f>
        <v>537.57740000000001</v>
      </c>
      <c r="I77" s="348">
        <f>64066.91/100</f>
        <v>640.66910000000007</v>
      </c>
      <c r="J77" s="348">
        <v>597</v>
      </c>
      <c r="K77" s="349">
        <f t="shared" si="159"/>
        <v>567.15</v>
      </c>
      <c r="L77" s="349">
        <f t="shared" si="159"/>
        <v>567.15</v>
      </c>
      <c r="M77" s="349">
        <f t="shared" si="159"/>
        <v>595.50750000000005</v>
      </c>
      <c r="N77" s="1519">
        <f t="shared" si="159"/>
        <v>762.2496000000001</v>
      </c>
      <c r="O77" s="349">
        <f t="shared" si="159"/>
        <v>907.07702400000005</v>
      </c>
      <c r="P77" s="349">
        <f t="shared" si="160"/>
        <v>997.78472640000018</v>
      </c>
      <c r="Q77" s="867"/>
      <c r="R77" s="867"/>
      <c r="S77" s="867"/>
      <c r="T77" s="943"/>
      <c r="U77" s="745"/>
      <c r="V77" s="746"/>
      <c r="W77" s="746"/>
      <c r="X77" s="746"/>
      <c r="Y77" s="746"/>
      <c r="Z77" s="746"/>
      <c r="AA77" s="746"/>
      <c r="AB77" s="746"/>
      <c r="AC77" s="746"/>
      <c r="AD77" s="746"/>
      <c r="AE77" s="746"/>
      <c r="AF77" s="746"/>
      <c r="AG77" s="746"/>
      <c r="AH77" s="746"/>
      <c r="AI77" s="746"/>
      <c r="AJ77" s="746"/>
      <c r="AK77" s="746"/>
      <c r="AL77" s="746"/>
      <c r="AM77" s="746"/>
      <c r="AN77" s="746"/>
      <c r="AO77" s="746"/>
      <c r="AP77" s="746"/>
      <c r="AQ77" s="746"/>
      <c r="AR77" s="746"/>
      <c r="AS77" s="746"/>
      <c r="AT77" s="746"/>
      <c r="AU77" s="746"/>
      <c r="AV77" s="746"/>
      <c r="AW77" s="746"/>
      <c r="AX77" s="746"/>
      <c r="AY77" s="943"/>
      <c r="AZ77" s="745"/>
      <c r="BA77" s="745"/>
      <c r="BB77" s="746"/>
      <c r="BC77" s="746"/>
      <c r="BD77" s="746"/>
      <c r="BE77" s="746"/>
      <c r="BF77" s="746"/>
      <c r="BG77" s="746"/>
      <c r="BH77" s="746"/>
      <c r="BI77" s="746"/>
      <c r="BJ77" s="746"/>
      <c r="BK77" s="746"/>
      <c r="BL77" s="746"/>
      <c r="BM77" s="746"/>
      <c r="BN77" s="746"/>
      <c r="BO77" s="746"/>
      <c r="BP77" s="746"/>
      <c r="BQ77" s="746"/>
      <c r="BR77" s="746"/>
      <c r="BS77" s="746"/>
      <c r="BT77" s="746"/>
      <c r="BU77" s="746"/>
      <c r="BV77" s="746"/>
      <c r="BW77" s="746"/>
      <c r="BX77" s="746"/>
      <c r="BY77" s="746"/>
      <c r="BZ77" s="746"/>
      <c r="CA77" s="746"/>
      <c r="CB77" s="746"/>
      <c r="CC77" s="746"/>
    </row>
    <row r="78" spans="2:81" s="743" customFormat="1" hidden="1" outlineLevel="1">
      <c r="B78" s="343" t="s">
        <v>1127</v>
      </c>
      <c r="C78" s="307"/>
      <c r="D78" s="343" t="s">
        <v>1123</v>
      </c>
      <c r="E78" s="1206"/>
      <c r="F78" s="348">
        <v>55</v>
      </c>
      <c r="G78" s="348">
        <f>7105.06/100</f>
        <v>71.050600000000003</v>
      </c>
      <c r="H78" s="348">
        <f>7353.63/100</f>
        <v>73.536299999999997</v>
      </c>
      <c r="I78" s="348">
        <f>8412.85/100</f>
        <v>84.128500000000003</v>
      </c>
      <c r="J78" s="348">
        <v>123</v>
      </c>
      <c r="K78" s="349">
        <f t="shared" ref="K78:P78" si="161">K74-SUM(K75:K77)-K79</f>
        <v>125.47682799999984</v>
      </c>
      <c r="L78" s="349">
        <f t="shared" si="161"/>
        <v>129.86123999999836</v>
      </c>
      <c r="M78" s="349">
        <f>M74-SUM(M75:M77)-M79</f>
        <v>202.11174493999897</v>
      </c>
      <c r="N78" s="1519">
        <f t="shared" si="161"/>
        <v>516.75851821890501</v>
      </c>
      <c r="O78" s="349">
        <f t="shared" si="161"/>
        <v>831.75678432700079</v>
      </c>
      <c r="P78" s="349">
        <f t="shared" si="161"/>
        <v>816.88099058027001</v>
      </c>
      <c r="Q78" s="867"/>
      <c r="R78" s="867"/>
      <c r="S78" s="867"/>
      <c r="T78" s="943"/>
      <c r="U78" s="745"/>
      <c r="V78" s="746"/>
      <c r="W78" s="746"/>
      <c r="X78" s="746"/>
      <c r="Y78" s="746"/>
      <c r="Z78" s="746"/>
      <c r="AA78" s="746"/>
      <c r="AB78" s="746"/>
      <c r="AC78" s="746"/>
      <c r="AD78" s="746"/>
      <c r="AE78" s="746"/>
      <c r="AF78" s="746"/>
      <c r="AG78" s="746"/>
      <c r="AH78" s="746"/>
      <c r="AI78" s="746"/>
      <c r="AJ78" s="746"/>
      <c r="AK78" s="746"/>
      <c r="AL78" s="746"/>
      <c r="AM78" s="746"/>
      <c r="AN78" s="746"/>
      <c r="AO78" s="746"/>
      <c r="AP78" s="746"/>
      <c r="AQ78" s="746"/>
      <c r="AR78" s="746"/>
      <c r="AS78" s="746"/>
      <c r="AT78" s="746"/>
      <c r="AU78" s="746"/>
      <c r="AV78" s="746"/>
      <c r="AW78" s="746"/>
      <c r="AX78" s="746"/>
      <c r="AY78" s="943"/>
      <c r="AZ78" s="745"/>
      <c r="BA78" s="745"/>
      <c r="BB78" s="746"/>
      <c r="BC78" s="746"/>
      <c r="BD78" s="746"/>
      <c r="BE78" s="746"/>
      <c r="BF78" s="746"/>
      <c r="BG78" s="746"/>
      <c r="BH78" s="746"/>
      <c r="BI78" s="746"/>
      <c r="BJ78" s="746"/>
      <c r="BK78" s="746"/>
      <c r="BL78" s="746"/>
      <c r="BM78" s="746"/>
      <c r="BN78" s="746"/>
      <c r="BO78" s="746"/>
      <c r="BP78" s="746"/>
      <c r="BQ78" s="746"/>
      <c r="BR78" s="746"/>
      <c r="BS78" s="746"/>
      <c r="BT78" s="746"/>
      <c r="BU78" s="746"/>
      <c r="BV78" s="746"/>
      <c r="BW78" s="746"/>
      <c r="BX78" s="746"/>
      <c r="BY78" s="746"/>
      <c r="BZ78" s="746"/>
      <c r="CA78" s="746"/>
      <c r="CB78" s="746"/>
      <c r="CC78" s="746"/>
    </row>
    <row r="79" spans="2:81" s="743" customFormat="1" hidden="1" outlineLevel="1">
      <c r="B79" s="343" t="s">
        <v>1128</v>
      </c>
      <c r="C79" s="307"/>
      <c r="D79" s="343" t="s">
        <v>1271</v>
      </c>
      <c r="E79" s="1206"/>
      <c r="F79" s="348"/>
      <c r="G79" s="348">
        <v>0</v>
      </c>
      <c r="H79" s="348">
        <v>0</v>
      </c>
      <c r="I79" s="348">
        <f>2390.11/100</f>
        <v>23.9011</v>
      </c>
      <c r="J79" s="349">
        <f>J74-J75-J76-J77-J78</f>
        <v>-0.1021208199999819</v>
      </c>
      <c r="K79" s="349"/>
      <c r="L79" s="349">
        <f t="shared" si="159"/>
        <v>0</v>
      </c>
      <c r="M79" s="349">
        <f t="shared" si="159"/>
        <v>0</v>
      </c>
      <c r="N79" s="1519">
        <f t="shared" si="159"/>
        <v>0</v>
      </c>
      <c r="O79" s="349">
        <f t="shared" si="159"/>
        <v>0</v>
      </c>
      <c r="P79" s="349">
        <f>O79*(1+P104)</f>
        <v>0</v>
      </c>
      <c r="Q79" s="867"/>
      <c r="R79" s="867"/>
      <c r="S79" s="867"/>
      <c r="T79" s="943"/>
      <c r="U79" s="745"/>
      <c r="V79" s="746"/>
      <c r="W79" s="746"/>
      <c r="X79" s="746"/>
      <c r="Y79" s="746"/>
      <c r="Z79" s="746"/>
      <c r="AA79" s="746"/>
      <c r="AB79" s="746"/>
      <c r="AC79" s="746"/>
      <c r="AD79" s="746"/>
      <c r="AE79" s="746"/>
      <c r="AF79" s="746"/>
      <c r="AG79" s="746"/>
      <c r="AH79" s="746"/>
      <c r="AI79" s="746"/>
      <c r="AJ79" s="746"/>
      <c r="AK79" s="746"/>
      <c r="AL79" s="746"/>
      <c r="AM79" s="746"/>
      <c r="AN79" s="746"/>
      <c r="AO79" s="746"/>
      <c r="AP79" s="746"/>
      <c r="AQ79" s="746"/>
      <c r="AR79" s="746"/>
      <c r="AS79" s="746"/>
      <c r="AT79" s="746"/>
      <c r="AU79" s="746"/>
      <c r="AV79" s="746"/>
      <c r="AW79" s="746"/>
      <c r="AX79" s="746"/>
      <c r="AY79" s="943"/>
      <c r="AZ79" s="745"/>
      <c r="BA79" s="745"/>
      <c r="BB79" s="746"/>
      <c r="BC79" s="746"/>
      <c r="BD79" s="746"/>
      <c r="BE79" s="746"/>
      <c r="BF79" s="746"/>
      <c r="BG79" s="746"/>
      <c r="BH79" s="746"/>
      <c r="BI79" s="746"/>
      <c r="BJ79" s="746"/>
      <c r="BK79" s="746"/>
      <c r="BL79" s="746"/>
      <c r="BM79" s="746"/>
      <c r="BN79" s="746"/>
      <c r="BO79" s="746"/>
      <c r="BP79" s="746"/>
      <c r="BQ79" s="746"/>
      <c r="BR79" s="746"/>
      <c r="BS79" s="746"/>
      <c r="BT79" s="746"/>
      <c r="BU79" s="746"/>
      <c r="BV79" s="746"/>
      <c r="BW79" s="746"/>
      <c r="BX79" s="746"/>
      <c r="BY79" s="746"/>
      <c r="BZ79" s="746"/>
      <c r="CA79" s="746"/>
      <c r="CB79" s="746"/>
      <c r="CC79" s="746"/>
    </row>
    <row r="80" spans="2:81" s="1136" customFormat="1" collapsed="1">
      <c r="B80" s="311" t="s">
        <v>49</v>
      </c>
      <c r="C80" s="311"/>
      <c r="D80" s="311" t="s">
        <v>48</v>
      </c>
      <c r="E80" s="744"/>
      <c r="F80" s="400"/>
      <c r="G80" s="350">
        <f>+SUM(G82:G86)</f>
        <v>1498.0823</v>
      </c>
      <c r="H80" s="350">
        <f>+SUM(H82:H86)</f>
        <v>2041.0942999999997</v>
      </c>
      <c r="I80" s="350">
        <f>+SUM(I82:I86)</f>
        <v>2389.6504000000004</v>
      </c>
      <c r="J80" s="1609">
        <f>+J74-J87</f>
        <v>3553.77635328</v>
      </c>
      <c r="K80" s="1610">
        <v>4636.98096326</v>
      </c>
      <c r="L80" s="1610">
        <v>5648.2247095000002</v>
      </c>
      <c r="M80" s="2084">
        <v>6884.4255856500004</v>
      </c>
      <c r="N80" s="1611">
        <f>N144*N106/1000</f>
        <v>7830.345661118311</v>
      </c>
      <c r="O80" s="1612">
        <f>O144*O106/1000</f>
        <v>8932.4668129207112</v>
      </c>
      <c r="P80" s="1612">
        <f>P144*P106/1000</f>
        <v>10183.012166729612</v>
      </c>
      <c r="Q80" s="1230"/>
      <c r="R80" s="1230"/>
      <c r="S80" s="1230"/>
      <c r="T80" s="944"/>
      <c r="U80" s="1135"/>
      <c r="V80" s="1613"/>
      <c r="W80" s="1613"/>
      <c r="X80" s="1613"/>
      <c r="Y80" s="1613"/>
      <c r="Z80" s="1613"/>
      <c r="AA80" s="1613"/>
      <c r="AB80" s="1613"/>
      <c r="AC80" s="1613"/>
      <c r="AD80" s="1613"/>
      <c r="AE80" s="1613"/>
      <c r="AF80" s="1613"/>
      <c r="AG80" s="1613"/>
      <c r="AH80" s="1613"/>
      <c r="AI80" s="1613"/>
      <c r="AJ80" s="1613"/>
      <c r="AK80" s="1613"/>
      <c r="AL80" s="1613"/>
      <c r="AM80" s="1613"/>
      <c r="AN80" s="1613"/>
      <c r="AO80" s="1613"/>
      <c r="AP80" s="1613"/>
      <c r="AQ80" s="1613"/>
      <c r="AR80" s="1613"/>
      <c r="AS80" s="1613"/>
      <c r="AT80" s="1613"/>
      <c r="AU80" s="1613"/>
      <c r="AV80" s="1613"/>
      <c r="AW80" s="1613"/>
      <c r="AX80" s="1613"/>
      <c r="AY80" s="944"/>
      <c r="AZ80" s="1135"/>
      <c r="BA80" s="1135"/>
      <c r="BB80" s="1613"/>
      <c r="BC80" s="1613"/>
      <c r="BD80" s="1613"/>
      <c r="BE80" s="1613"/>
      <c r="BF80" s="1613"/>
      <c r="BG80" s="1613"/>
      <c r="BH80" s="1613"/>
      <c r="BI80" s="1613"/>
      <c r="BJ80" s="1613"/>
      <c r="BK80" s="1613"/>
      <c r="BL80" s="1613"/>
      <c r="BM80" s="1613"/>
      <c r="BN80" s="1613"/>
      <c r="BO80" s="1613"/>
      <c r="BP80" s="1613"/>
      <c r="BQ80" s="1613"/>
      <c r="BR80" s="1613"/>
      <c r="BS80" s="1613"/>
      <c r="BT80" s="1613"/>
      <c r="BU80" s="1613"/>
      <c r="BV80" s="1613"/>
      <c r="BW80" s="1613"/>
      <c r="BX80" s="1613"/>
      <c r="BY80" s="1613"/>
      <c r="BZ80" s="1613"/>
      <c r="CA80" s="1613"/>
      <c r="CB80" s="1613"/>
      <c r="CC80" s="1613"/>
    </row>
    <row r="81" spans="2:81" s="743" customFormat="1">
      <c r="B81" s="307" t="s">
        <v>1322</v>
      </c>
      <c r="C81" s="307"/>
      <c r="D81" s="307"/>
      <c r="E81" s="1206"/>
      <c r="F81" s="348"/>
      <c r="G81" s="349"/>
      <c r="H81" s="338">
        <f t="shared" ref="H81:O81" si="162">H80/G80-1</f>
        <v>0.36247140761225172</v>
      </c>
      <c r="I81" s="338">
        <f t="shared" si="162"/>
        <v>0.17076922903562108</v>
      </c>
      <c r="J81" s="338">
        <f t="shared" si="162"/>
        <v>0.48715324772192581</v>
      </c>
      <c r="K81" s="338">
        <f t="shared" si="162"/>
        <v>0.30480382058376954</v>
      </c>
      <c r="L81" s="338">
        <f t="shared" si="162"/>
        <v>0.21808235881327653</v>
      </c>
      <c r="M81" s="338">
        <f t="shared" si="162"/>
        <v>0.21886538509538744</v>
      </c>
      <c r="N81" s="1520">
        <f t="shared" si="162"/>
        <v>0.13740000000000019</v>
      </c>
      <c r="O81" s="338">
        <f t="shared" si="162"/>
        <v>0.14074999999999971</v>
      </c>
      <c r="P81" s="338">
        <f>P80/O80-1</f>
        <v>0.14000000000000012</v>
      </c>
      <c r="Q81" s="347"/>
      <c r="R81" s="347"/>
      <c r="S81" s="347"/>
      <c r="T81" s="943"/>
      <c r="U81" s="745"/>
      <c r="V81" s="746"/>
      <c r="W81" s="746"/>
      <c r="X81" s="746"/>
      <c r="Y81" s="746"/>
      <c r="Z81" s="746"/>
      <c r="AA81" s="746"/>
      <c r="AB81" s="746"/>
      <c r="AC81" s="746"/>
      <c r="AD81" s="746"/>
      <c r="AE81" s="746"/>
      <c r="AF81" s="746"/>
      <c r="AG81" s="746"/>
      <c r="AH81" s="746"/>
      <c r="AI81" s="746"/>
      <c r="AJ81" s="746"/>
      <c r="AK81" s="746"/>
      <c r="AL81" s="746"/>
      <c r="AM81" s="746"/>
      <c r="AN81" s="746"/>
      <c r="AO81" s="746"/>
      <c r="AP81" s="746"/>
      <c r="AQ81" s="746"/>
      <c r="AR81" s="746"/>
      <c r="AS81" s="746"/>
      <c r="AT81" s="746"/>
      <c r="AU81" s="746"/>
      <c r="AV81" s="746"/>
      <c r="AW81" s="746"/>
      <c r="AX81" s="746"/>
      <c r="AY81" s="943"/>
      <c r="AZ81" s="745"/>
      <c r="BA81" s="745"/>
      <c r="BB81" s="746"/>
      <c r="BC81" s="746"/>
      <c r="BD81" s="746"/>
      <c r="BE81" s="746"/>
      <c r="BF81" s="746"/>
      <c r="BG81" s="746"/>
      <c r="BH81" s="746"/>
      <c r="BI81" s="746"/>
      <c r="BJ81" s="746"/>
      <c r="BK81" s="746"/>
      <c r="BL81" s="746"/>
      <c r="BM81" s="746"/>
      <c r="BN81" s="746"/>
      <c r="BO81" s="746"/>
      <c r="BP81" s="746"/>
      <c r="BQ81" s="746"/>
      <c r="BR81" s="746"/>
      <c r="BS81" s="746"/>
      <c r="BT81" s="746"/>
      <c r="BU81" s="746"/>
      <c r="BV81" s="746"/>
      <c r="BW81" s="746"/>
      <c r="BX81" s="746"/>
      <c r="BY81" s="746"/>
      <c r="BZ81" s="746"/>
      <c r="CA81" s="746"/>
      <c r="CB81" s="746"/>
      <c r="CC81" s="746"/>
    </row>
    <row r="82" spans="2:81" s="743" customFormat="1" hidden="1" outlineLevel="1">
      <c r="B82" s="343" t="str">
        <f>+B75</f>
        <v>500ml golden bottle</v>
      </c>
      <c r="C82" s="307"/>
      <c r="D82" s="343" t="str">
        <f>+D75</f>
        <v>500ml 金瓶</v>
      </c>
      <c r="E82" s="1206"/>
      <c r="F82" s="349"/>
      <c r="G82" s="349">
        <f t="shared" ref="G82:I86" si="163">+G75-G88</f>
        <v>454.86270000000002</v>
      </c>
      <c r="H82" s="349">
        <f t="shared" si="163"/>
        <v>1059.0925999999999</v>
      </c>
      <c r="I82" s="349">
        <f t="shared" si="163"/>
        <v>1473.3308000000004</v>
      </c>
      <c r="J82" s="349">
        <f t="shared" ref="J82:O82" si="164">+J75-J88</f>
        <v>2564.8750279845285</v>
      </c>
      <c r="K82" s="349">
        <f>+K75-K88</f>
        <v>3656.5234251812503</v>
      </c>
      <c r="L82" s="349">
        <f t="shared" si="164"/>
        <v>4691.5729069668751</v>
      </c>
      <c r="M82" s="349">
        <f>+M75-M88</f>
        <v>5842.3982221382639</v>
      </c>
      <c r="N82" s="1519">
        <f t="shared" si="164"/>
        <v>6375.0964379022462</v>
      </c>
      <c r="O82" s="349">
        <f t="shared" si="164"/>
        <v>7034.8410939120404</v>
      </c>
      <c r="P82" s="349">
        <f t="shared" ref="P82:P86" si="165">+P75-P88</f>
        <v>8225.8955170086992</v>
      </c>
      <c r="Q82" s="867"/>
      <c r="R82" s="867"/>
      <c r="S82" s="867"/>
      <c r="T82" s="943"/>
      <c r="U82" s="745"/>
      <c r="V82" s="746"/>
      <c r="W82" s="746"/>
      <c r="X82" s="746"/>
      <c r="Y82" s="746"/>
      <c r="Z82" s="746"/>
      <c r="AA82" s="746"/>
      <c r="AB82" s="746"/>
      <c r="AC82" s="746"/>
      <c r="AD82" s="746"/>
      <c r="AE82" s="746"/>
      <c r="AF82" s="746"/>
      <c r="AG82" s="746"/>
      <c r="AH82" s="746"/>
      <c r="AI82" s="746"/>
      <c r="AJ82" s="746"/>
      <c r="AK82" s="746"/>
      <c r="AL82" s="746"/>
      <c r="AM82" s="746"/>
      <c r="AN82" s="746"/>
      <c r="AO82" s="746"/>
      <c r="AP82" s="746"/>
      <c r="AQ82" s="746"/>
      <c r="AR82" s="746"/>
      <c r="AS82" s="746"/>
      <c r="AT82" s="746"/>
      <c r="AU82" s="746"/>
      <c r="AV82" s="746"/>
      <c r="AW82" s="746"/>
      <c r="AX82" s="746"/>
      <c r="AY82" s="943"/>
      <c r="AZ82" s="745"/>
      <c r="BA82" s="745"/>
      <c r="BB82" s="746"/>
      <c r="BC82" s="746"/>
      <c r="BD82" s="746"/>
      <c r="BE82" s="746"/>
      <c r="BF82" s="746"/>
      <c r="BG82" s="746"/>
      <c r="BH82" s="746"/>
      <c r="BI82" s="746"/>
      <c r="BJ82" s="746"/>
      <c r="BK82" s="746"/>
      <c r="BL82" s="746"/>
      <c r="BM82" s="746"/>
      <c r="BN82" s="746"/>
      <c r="BO82" s="746"/>
      <c r="BP82" s="746"/>
      <c r="BQ82" s="746"/>
      <c r="BR82" s="746"/>
      <c r="BS82" s="746"/>
      <c r="BT82" s="746"/>
      <c r="BU82" s="746"/>
      <c r="BV82" s="746"/>
      <c r="BW82" s="746"/>
      <c r="BX82" s="746"/>
      <c r="BY82" s="746"/>
      <c r="BZ82" s="746"/>
      <c r="CA82" s="746"/>
      <c r="CB82" s="746"/>
      <c r="CC82" s="746"/>
    </row>
    <row r="83" spans="2:81" s="743" customFormat="1" hidden="1" outlineLevel="1">
      <c r="B83" s="343" t="str">
        <f>+B76</f>
        <v>250ml golden bottle</v>
      </c>
      <c r="C83" s="307"/>
      <c r="D83" s="343" t="str">
        <f>+D76</f>
        <v>250ml 金瓶</v>
      </c>
      <c r="E83" s="1206"/>
      <c r="F83" s="349"/>
      <c r="G83" s="349">
        <f t="shared" si="163"/>
        <v>837.70720000000006</v>
      </c>
      <c r="H83" s="349">
        <f t="shared" si="163"/>
        <v>611.16779999999994</v>
      </c>
      <c r="I83" s="349">
        <f t="shared" si="163"/>
        <v>458.95620000000008</v>
      </c>
      <c r="J83" s="349">
        <f t="shared" ref="J83:O83" si="166">+J76-J89</f>
        <v>518.18472308631067</v>
      </c>
      <c r="K83" s="349">
        <f>+K76-K89</f>
        <v>526.66472308631069</v>
      </c>
      <c r="L83" s="349">
        <f t="shared" si="166"/>
        <v>499.52588693199516</v>
      </c>
      <c r="M83" s="349">
        <f>+M76-M89</f>
        <v>516.04338127859501</v>
      </c>
      <c r="N83" s="1519">
        <f t="shared" si="166"/>
        <v>604.0262175343139</v>
      </c>
      <c r="O83" s="349">
        <f t="shared" si="166"/>
        <v>724.83146104117668</v>
      </c>
      <c r="P83" s="349">
        <f t="shared" si="165"/>
        <v>739.32809026200016</v>
      </c>
      <c r="Q83" s="867"/>
      <c r="R83" s="867"/>
      <c r="S83" s="867"/>
      <c r="T83" s="943"/>
      <c r="U83" s="745"/>
      <c r="V83" s="746"/>
      <c r="W83" s="746"/>
      <c r="X83" s="746"/>
      <c r="Y83" s="746"/>
      <c r="Z83" s="746"/>
      <c r="AA83" s="746"/>
      <c r="AB83" s="746"/>
      <c r="AC83" s="746"/>
      <c r="AD83" s="746"/>
      <c r="AE83" s="746"/>
      <c r="AF83" s="746"/>
      <c r="AG83" s="746"/>
      <c r="AH83" s="746"/>
      <c r="AI83" s="746"/>
      <c r="AJ83" s="746"/>
      <c r="AK83" s="746"/>
      <c r="AL83" s="746"/>
      <c r="AM83" s="746"/>
      <c r="AN83" s="746"/>
      <c r="AO83" s="746"/>
      <c r="AP83" s="746"/>
      <c r="AQ83" s="746"/>
      <c r="AR83" s="746"/>
      <c r="AS83" s="746"/>
      <c r="AT83" s="746"/>
      <c r="AU83" s="746"/>
      <c r="AV83" s="746"/>
      <c r="AW83" s="746"/>
      <c r="AX83" s="746"/>
      <c r="AY83" s="943"/>
      <c r="AZ83" s="745"/>
      <c r="BA83" s="745"/>
      <c r="BB83" s="746"/>
      <c r="BC83" s="746"/>
      <c r="BD83" s="746"/>
      <c r="BE83" s="746"/>
      <c r="BF83" s="746"/>
      <c r="BG83" s="746"/>
      <c r="BH83" s="746"/>
      <c r="BI83" s="746"/>
      <c r="BJ83" s="746"/>
      <c r="BK83" s="746"/>
      <c r="BL83" s="746"/>
      <c r="BM83" s="746"/>
      <c r="BN83" s="746"/>
      <c r="BO83" s="746"/>
      <c r="BP83" s="746"/>
      <c r="BQ83" s="746"/>
      <c r="BR83" s="746"/>
      <c r="BS83" s="746"/>
      <c r="BT83" s="746"/>
      <c r="BU83" s="746"/>
      <c r="BV83" s="746"/>
      <c r="BW83" s="746"/>
      <c r="BX83" s="746"/>
      <c r="BY83" s="746"/>
      <c r="BZ83" s="746"/>
      <c r="CA83" s="746"/>
      <c r="CB83" s="746"/>
      <c r="CC83" s="746"/>
    </row>
    <row r="84" spans="2:81" s="743" customFormat="1" hidden="1" outlineLevel="1">
      <c r="B84" s="343" t="str">
        <f>+B77</f>
        <v>250ml golden can</v>
      </c>
      <c r="C84" s="307"/>
      <c r="D84" s="343" t="str">
        <f>+D77</f>
        <v>250ml 金罐</v>
      </c>
      <c r="E84" s="1206"/>
      <c r="F84" s="349"/>
      <c r="G84" s="349">
        <f t="shared" si="163"/>
        <v>155.20929999999998</v>
      </c>
      <c r="H84" s="349">
        <f t="shared" si="163"/>
        <v>315.93219999999997</v>
      </c>
      <c r="I84" s="349">
        <f t="shared" si="163"/>
        <v>383.72070000000008</v>
      </c>
      <c r="J84" s="349">
        <f t="shared" ref="J84:O84" si="167">+J77-J90</f>
        <v>377.26664176421184</v>
      </c>
      <c r="K84" s="349">
        <f>+K77-K90</f>
        <v>358.40330967600124</v>
      </c>
      <c r="L84" s="349">
        <f t="shared" si="167"/>
        <v>358.40330967600124</v>
      </c>
      <c r="M84" s="349">
        <f>+M77-M90</f>
        <v>373.34593765980139</v>
      </c>
      <c r="N84" s="1519">
        <f t="shared" si="167"/>
        <v>470.26030420454578</v>
      </c>
      <c r="O84" s="349">
        <f t="shared" si="167"/>
        <v>559.6097620034094</v>
      </c>
      <c r="P84" s="349">
        <f t="shared" si="165"/>
        <v>615.57073820375035</v>
      </c>
      <c r="Q84" s="867"/>
      <c r="R84" s="867"/>
      <c r="S84" s="867"/>
      <c r="T84" s="943"/>
      <c r="U84" s="745"/>
      <c r="V84" s="746"/>
      <c r="W84" s="746"/>
      <c r="X84" s="746"/>
      <c r="Y84" s="746"/>
      <c r="Z84" s="746"/>
      <c r="AA84" s="746"/>
      <c r="AB84" s="746"/>
      <c r="AC84" s="746"/>
      <c r="AD84" s="746"/>
      <c r="AE84" s="746"/>
      <c r="AF84" s="746"/>
      <c r="AG84" s="746"/>
      <c r="AH84" s="746"/>
      <c r="AI84" s="746"/>
      <c r="AJ84" s="746"/>
      <c r="AK84" s="746"/>
      <c r="AL84" s="746"/>
      <c r="AM84" s="746"/>
      <c r="AN84" s="746"/>
      <c r="AO84" s="746"/>
      <c r="AP84" s="746"/>
      <c r="AQ84" s="746"/>
      <c r="AR84" s="746"/>
      <c r="AS84" s="746"/>
      <c r="AT84" s="746"/>
      <c r="AU84" s="746"/>
      <c r="AV84" s="746"/>
      <c r="AW84" s="746"/>
      <c r="AX84" s="746"/>
      <c r="AY84" s="943"/>
      <c r="AZ84" s="745"/>
      <c r="BA84" s="745"/>
      <c r="BB84" s="746"/>
      <c r="BC84" s="746"/>
      <c r="BD84" s="746"/>
      <c r="BE84" s="746"/>
      <c r="BF84" s="746"/>
      <c r="BG84" s="746"/>
      <c r="BH84" s="746"/>
      <c r="BI84" s="746"/>
      <c r="BJ84" s="746"/>
      <c r="BK84" s="746"/>
      <c r="BL84" s="746"/>
      <c r="BM84" s="746"/>
      <c r="BN84" s="746"/>
      <c r="BO84" s="746"/>
      <c r="BP84" s="746"/>
      <c r="BQ84" s="746"/>
      <c r="BR84" s="746"/>
      <c r="BS84" s="746"/>
      <c r="BT84" s="746"/>
      <c r="BU84" s="746"/>
      <c r="BV84" s="746"/>
      <c r="BW84" s="746"/>
      <c r="BX84" s="746"/>
      <c r="BY84" s="746"/>
      <c r="BZ84" s="746"/>
      <c r="CA84" s="746"/>
      <c r="CB84" s="746"/>
      <c r="CC84" s="746"/>
    </row>
    <row r="85" spans="2:81" s="743" customFormat="1" hidden="1" outlineLevel="1">
      <c r="B85" s="343" t="str">
        <f>+B78</f>
        <v>250ml golden tetra pak</v>
      </c>
      <c r="C85" s="307"/>
      <c r="D85" s="343" t="str">
        <f>+D78</f>
        <v>250ml 金砖</v>
      </c>
      <c r="E85" s="1206"/>
      <c r="F85" s="349"/>
      <c r="G85" s="349">
        <f t="shared" si="163"/>
        <v>50.303100000000001</v>
      </c>
      <c r="H85" s="349">
        <f t="shared" si="163"/>
        <v>54.901699999999998</v>
      </c>
      <c r="I85" s="349">
        <f t="shared" si="163"/>
        <v>61.179600000000008</v>
      </c>
      <c r="J85" s="349">
        <f t="shared" ref="J85:O85" si="168">+J78-J91</f>
        <v>93.506580784157563</v>
      </c>
      <c r="K85" s="349">
        <f>+K78-K91</f>
        <v>95.389505316437635</v>
      </c>
      <c r="L85" s="349">
        <f t="shared" si="168"/>
        <v>98.722605925127823</v>
      </c>
      <c r="M85" s="349">
        <f>+M78-M91</f>
        <v>152.63804457334118</v>
      </c>
      <c r="N85" s="1519">
        <f t="shared" si="168"/>
        <v>380.96270147720588</v>
      </c>
      <c r="O85" s="349">
        <f t="shared" si="168"/>
        <v>613.18449596408732</v>
      </c>
      <c r="P85" s="349">
        <f t="shared" si="165"/>
        <v>602.21782125516336</v>
      </c>
      <c r="Q85" s="867"/>
      <c r="R85" s="867"/>
      <c r="S85" s="867"/>
      <c r="T85" s="943"/>
      <c r="U85" s="745"/>
      <c r="V85" s="746"/>
      <c r="W85" s="746"/>
      <c r="X85" s="746"/>
      <c r="Y85" s="746"/>
      <c r="Z85" s="746"/>
      <c r="AA85" s="746"/>
      <c r="AB85" s="746"/>
      <c r="AC85" s="746"/>
      <c r="AD85" s="746"/>
      <c r="AE85" s="746"/>
      <c r="AF85" s="746"/>
      <c r="AG85" s="746"/>
      <c r="AH85" s="746"/>
      <c r="AI85" s="746"/>
      <c r="AJ85" s="746"/>
      <c r="AK85" s="746"/>
      <c r="AL85" s="746"/>
      <c r="AM85" s="746"/>
      <c r="AN85" s="746"/>
      <c r="AO85" s="746"/>
      <c r="AP85" s="746"/>
      <c r="AQ85" s="746"/>
      <c r="AR85" s="746"/>
      <c r="AS85" s="746"/>
      <c r="AT85" s="746"/>
      <c r="AU85" s="746"/>
      <c r="AV85" s="746"/>
      <c r="AW85" s="746"/>
      <c r="AX85" s="746"/>
      <c r="AY85" s="943"/>
      <c r="AZ85" s="745"/>
      <c r="BA85" s="745"/>
      <c r="BB85" s="746"/>
      <c r="BC85" s="746"/>
      <c r="BD85" s="746"/>
      <c r="BE85" s="746"/>
      <c r="BF85" s="746"/>
      <c r="BG85" s="746"/>
      <c r="BH85" s="746"/>
      <c r="BI85" s="746"/>
      <c r="BJ85" s="746"/>
      <c r="BK85" s="746"/>
      <c r="BL85" s="746"/>
      <c r="BM85" s="746"/>
      <c r="BN85" s="746"/>
      <c r="BO85" s="746"/>
      <c r="BP85" s="746"/>
      <c r="BQ85" s="746"/>
      <c r="BR85" s="746"/>
      <c r="BS85" s="746"/>
      <c r="BT85" s="746"/>
      <c r="BU85" s="746"/>
      <c r="BV85" s="746"/>
      <c r="BW85" s="746"/>
      <c r="BX85" s="746"/>
      <c r="BY85" s="746"/>
      <c r="BZ85" s="746"/>
      <c r="CA85" s="746"/>
      <c r="CB85" s="746"/>
      <c r="CC85" s="746"/>
    </row>
    <row r="86" spans="2:81" s="743" customFormat="1" hidden="1" outlineLevel="1">
      <c r="B86" s="343" t="str">
        <f>+B79</f>
        <v>other energy drinks</v>
      </c>
      <c r="C86" s="307"/>
      <c r="D86" s="343" t="str">
        <f>+D79</f>
        <v>其他东鹏特饮</v>
      </c>
      <c r="E86" s="1206"/>
      <c r="F86" s="349"/>
      <c r="G86" s="349">
        <f t="shared" si="163"/>
        <v>0</v>
      </c>
      <c r="H86" s="349">
        <f t="shared" si="163"/>
        <v>0</v>
      </c>
      <c r="I86" s="349">
        <f t="shared" si="163"/>
        <v>12.463100000000001</v>
      </c>
      <c r="J86" s="349">
        <f t="shared" ref="J86:O86" si="169">+J79-J92</f>
        <v>-5.6620339208719533E-2</v>
      </c>
      <c r="K86" s="349">
        <f>+K79-K92</f>
        <v>0</v>
      </c>
      <c r="L86" s="349">
        <f t="shared" si="169"/>
        <v>0</v>
      </c>
      <c r="M86" s="349">
        <f>+M79-M92</f>
        <v>0</v>
      </c>
      <c r="N86" s="1519">
        <f t="shared" si="169"/>
        <v>0</v>
      </c>
      <c r="O86" s="349">
        <f t="shared" si="169"/>
        <v>0</v>
      </c>
      <c r="P86" s="349">
        <f t="shared" si="165"/>
        <v>0</v>
      </c>
      <c r="Q86" s="867"/>
      <c r="R86" s="867"/>
      <c r="S86" s="867"/>
      <c r="T86" s="943"/>
      <c r="U86" s="745"/>
      <c r="V86" s="746"/>
      <c r="W86" s="746"/>
      <c r="X86" s="746"/>
      <c r="Y86" s="746"/>
      <c r="Z86" s="746"/>
      <c r="AA86" s="746"/>
      <c r="AB86" s="746"/>
      <c r="AC86" s="746"/>
      <c r="AD86" s="746"/>
      <c r="AE86" s="746"/>
      <c r="AF86" s="746"/>
      <c r="AG86" s="746"/>
      <c r="AH86" s="746"/>
      <c r="AI86" s="746"/>
      <c r="AJ86" s="746"/>
      <c r="AK86" s="746"/>
      <c r="AL86" s="746"/>
      <c r="AM86" s="746"/>
      <c r="AN86" s="746"/>
      <c r="AO86" s="746"/>
      <c r="AP86" s="746"/>
      <c r="AQ86" s="746"/>
      <c r="AR86" s="746"/>
      <c r="AS86" s="746"/>
      <c r="AT86" s="746"/>
      <c r="AU86" s="746"/>
      <c r="AV86" s="746"/>
      <c r="AW86" s="746"/>
      <c r="AX86" s="746"/>
      <c r="AY86" s="943"/>
      <c r="AZ86" s="745"/>
      <c r="BA86" s="745"/>
      <c r="BB86" s="746"/>
      <c r="BC86" s="746"/>
      <c r="BD86" s="746"/>
      <c r="BE86" s="746"/>
      <c r="BF86" s="746"/>
      <c r="BG86" s="746"/>
      <c r="BH86" s="746"/>
      <c r="BI86" s="746"/>
      <c r="BJ86" s="746"/>
      <c r="BK86" s="746"/>
      <c r="BL86" s="746"/>
      <c r="BM86" s="746"/>
      <c r="BN86" s="746"/>
      <c r="BO86" s="746"/>
      <c r="BP86" s="746"/>
      <c r="BQ86" s="746"/>
      <c r="BR86" s="746"/>
      <c r="BS86" s="746"/>
      <c r="BT86" s="746"/>
      <c r="BU86" s="746"/>
      <c r="BV86" s="746"/>
      <c r="BW86" s="746"/>
      <c r="BX86" s="746"/>
      <c r="BY86" s="746"/>
      <c r="BZ86" s="746"/>
      <c r="CA86" s="746"/>
      <c r="CB86" s="746"/>
      <c r="CC86" s="746"/>
    </row>
    <row r="87" spans="2:81" s="743" customFormat="1" collapsed="1">
      <c r="B87" s="307" t="s">
        <v>58</v>
      </c>
      <c r="C87" s="307"/>
      <c r="D87" s="307" t="s">
        <v>50</v>
      </c>
      <c r="E87" s="1206"/>
      <c r="F87" s="349"/>
      <c r="G87" s="349">
        <f>+SUM(G88:G92)</f>
        <v>1387.4147999999998</v>
      </c>
      <c r="H87" s="349">
        <f>+SUM(H88:H92)</f>
        <v>1961.9362000000001</v>
      </c>
      <c r="I87" s="349">
        <f>+SUM(I88:I92)</f>
        <v>2265.5034000000001</v>
      </c>
      <c r="J87" s="1132">
        <f>J30</f>
        <v>3038.1215259000001</v>
      </c>
      <c r="K87" s="349">
        <f t="shared" ref="K87:P87" si="170">K74-K80</f>
        <v>3535.3258647399998</v>
      </c>
      <c r="L87" s="349">
        <f t="shared" si="170"/>
        <v>4687.7842904999998</v>
      </c>
      <c r="M87" s="349">
        <f>M74-M80</f>
        <v>6419.15870249</v>
      </c>
      <c r="N87" s="1519">
        <f t="shared" si="170"/>
        <v>8106.0179576445962</v>
      </c>
      <c r="O87" s="349">
        <f t="shared" si="170"/>
        <v>9713.0786210318893</v>
      </c>
      <c r="P87" s="349">
        <f t="shared" si="170"/>
        <v>11072.909627976354</v>
      </c>
      <c r="Q87" s="867"/>
      <c r="R87" s="867"/>
      <c r="S87" s="867"/>
      <c r="T87" s="943"/>
      <c r="U87" s="745"/>
      <c r="V87" s="746"/>
      <c r="W87" s="746"/>
      <c r="X87" s="746"/>
      <c r="Y87" s="746"/>
      <c r="Z87" s="746"/>
      <c r="AA87" s="746"/>
      <c r="AB87" s="746"/>
      <c r="AC87" s="746"/>
      <c r="AD87" s="746"/>
      <c r="AE87" s="746"/>
      <c r="AF87" s="746"/>
      <c r="AG87" s="746"/>
      <c r="AH87" s="746"/>
      <c r="AI87" s="746"/>
      <c r="AJ87" s="746"/>
      <c r="AK87" s="746"/>
      <c r="AL87" s="746"/>
      <c r="AM87" s="746"/>
      <c r="AN87" s="746"/>
      <c r="AO87" s="746"/>
      <c r="AP87" s="746"/>
      <c r="AQ87" s="746"/>
      <c r="AR87" s="746"/>
      <c r="AS87" s="746"/>
      <c r="AT87" s="746"/>
      <c r="AU87" s="746"/>
      <c r="AV87" s="746"/>
      <c r="AW87" s="746"/>
      <c r="AX87" s="746"/>
      <c r="AY87" s="943"/>
      <c r="AZ87" s="745"/>
      <c r="BA87" s="745"/>
      <c r="BB87" s="746"/>
      <c r="BC87" s="746"/>
      <c r="BD87" s="746"/>
      <c r="BE87" s="746"/>
      <c r="BF87" s="746"/>
      <c r="BG87" s="746"/>
      <c r="BH87" s="746"/>
      <c r="BI87" s="746"/>
      <c r="BJ87" s="746"/>
      <c r="BK87" s="746"/>
      <c r="BL87" s="746"/>
      <c r="BM87" s="746"/>
      <c r="BN87" s="746"/>
      <c r="BO87" s="746"/>
      <c r="BP87" s="746"/>
      <c r="BQ87" s="746"/>
      <c r="BR87" s="746"/>
      <c r="BS87" s="746"/>
      <c r="BT87" s="746"/>
      <c r="BU87" s="746"/>
      <c r="BV87" s="746"/>
      <c r="BW87" s="746"/>
      <c r="BX87" s="746"/>
      <c r="BY87" s="746"/>
      <c r="BZ87" s="746"/>
      <c r="CA87" s="746"/>
      <c r="CB87" s="746"/>
      <c r="CC87" s="746"/>
    </row>
    <row r="88" spans="2:81" s="743" customFormat="1" hidden="1" outlineLevel="1">
      <c r="B88" s="343" t="str">
        <f>+B82</f>
        <v>500ml golden bottle</v>
      </c>
      <c r="C88" s="307"/>
      <c r="D88" s="343" t="str">
        <f>+D82</f>
        <v>500ml 金瓶</v>
      </c>
      <c r="E88" s="1206"/>
      <c r="F88" s="827"/>
      <c r="G88" s="348">
        <f>34391.45/100</f>
        <v>343.91449999999998</v>
      </c>
      <c r="H88" s="348">
        <f>110753.98/100</f>
        <v>1107.5398</v>
      </c>
      <c r="I88" s="348">
        <f>161202.05/100</f>
        <v>1612.0204999999999</v>
      </c>
      <c r="J88" s="827">
        <f>J75*J94</f>
        <v>2459.1249720154715</v>
      </c>
      <c r="K88" s="827">
        <f t="shared" ref="K88:P88" si="171">K87-K89-K90-K91</f>
        <v>2975.15657481875</v>
      </c>
      <c r="L88" s="827">
        <f t="shared" si="171"/>
        <v>4141.8248530331266</v>
      </c>
      <c r="M88" s="827">
        <f>M87-M89-M90-M91</f>
        <v>5817.6868210617386</v>
      </c>
      <c r="N88" s="1521">
        <f t="shared" si="171"/>
        <v>7267.2030626417563</v>
      </c>
      <c r="O88" s="827">
        <f t="shared" si="171"/>
        <v>8653.8033317135614</v>
      </c>
      <c r="P88" s="827">
        <f t="shared" si="171"/>
        <v>9972.9320167169972</v>
      </c>
      <c r="Q88" s="867"/>
      <c r="R88" s="867"/>
      <c r="S88" s="867"/>
      <c r="T88" s="943"/>
      <c r="U88" s="745"/>
      <c r="V88" s="746"/>
      <c r="W88" s="746"/>
      <c r="X88" s="746"/>
      <c r="Y88" s="746"/>
      <c r="Z88" s="746"/>
      <c r="AA88" s="746"/>
      <c r="AB88" s="746"/>
      <c r="AC88" s="746"/>
      <c r="AD88" s="746"/>
      <c r="AE88" s="746"/>
      <c r="AF88" s="746"/>
      <c r="AG88" s="746"/>
      <c r="AH88" s="746"/>
      <c r="AI88" s="746"/>
      <c r="AJ88" s="746"/>
      <c r="AK88" s="746"/>
      <c r="AL88" s="746"/>
      <c r="AM88" s="746"/>
      <c r="AN88" s="746"/>
      <c r="AO88" s="746"/>
      <c r="AP88" s="746"/>
      <c r="AQ88" s="746"/>
      <c r="AR88" s="746"/>
      <c r="AS88" s="746"/>
      <c r="AT88" s="746"/>
      <c r="AU88" s="746"/>
      <c r="AV88" s="746"/>
      <c r="AW88" s="746"/>
      <c r="AX88" s="746"/>
      <c r="AY88" s="943"/>
      <c r="AZ88" s="745"/>
      <c r="BA88" s="745"/>
      <c r="BB88" s="746"/>
      <c r="BC88" s="746"/>
      <c r="BD88" s="746"/>
      <c r="BE88" s="746"/>
      <c r="BF88" s="746"/>
      <c r="BG88" s="746"/>
      <c r="BH88" s="746"/>
      <c r="BI88" s="746"/>
      <c r="BJ88" s="746"/>
      <c r="BK88" s="746"/>
      <c r="BL88" s="746"/>
      <c r="BM88" s="746"/>
      <c r="BN88" s="746"/>
      <c r="BO88" s="746"/>
      <c r="BP88" s="746"/>
      <c r="BQ88" s="746"/>
      <c r="BR88" s="746"/>
      <c r="BS88" s="746"/>
      <c r="BT88" s="746"/>
      <c r="BU88" s="746"/>
      <c r="BV88" s="746"/>
      <c r="BW88" s="746"/>
      <c r="BX88" s="746"/>
      <c r="BY88" s="746"/>
      <c r="BZ88" s="746"/>
      <c r="CA88" s="746"/>
      <c r="CB88" s="746"/>
      <c r="CC88" s="746"/>
    </row>
    <row r="89" spans="2:81" s="743" customFormat="1" hidden="1" outlineLevel="1">
      <c r="B89" s="343" t="str">
        <f>+B83</f>
        <v>250ml golden bottle</v>
      </c>
      <c r="C89" s="307"/>
      <c r="D89" s="343" t="str">
        <f>+D83</f>
        <v>250ml 金瓶</v>
      </c>
      <c r="E89" s="1206"/>
      <c r="F89" s="827"/>
      <c r="G89" s="348">
        <f>90268.19/100</f>
        <v>902.68190000000004</v>
      </c>
      <c r="H89" s="348">
        <f>61411.66/100</f>
        <v>614.11660000000006</v>
      </c>
      <c r="I89" s="348">
        <f>36214.76/100</f>
        <v>362.14760000000001</v>
      </c>
      <c r="J89" s="1133">
        <f>J87-J88-SUM(J90:J92)</f>
        <v>329.81527691368927</v>
      </c>
      <c r="K89" s="827">
        <f t="shared" ref="K89:O92" si="172">K76*K95</f>
        <v>321.33527691368926</v>
      </c>
      <c r="L89" s="827">
        <f t="shared" si="172"/>
        <v>306.07411306800475</v>
      </c>
      <c r="M89" s="827">
        <f>M76*M95</f>
        <v>329.83661872140505</v>
      </c>
      <c r="N89" s="1521">
        <f t="shared" si="172"/>
        <v>411.02978246568603</v>
      </c>
      <c r="O89" s="827">
        <f t="shared" si="172"/>
        <v>493.23573895882328</v>
      </c>
      <c r="P89" s="827">
        <f t="shared" ref="P89:P92" si="173">P76*P95</f>
        <v>503.10045373799971</v>
      </c>
      <c r="Q89" s="867"/>
      <c r="R89" s="867"/>
      <c r="S89" s="867"/>
      <c r="T89" s="943"/>
      <c r="U89" s="745"/>
      <c r="V89" s="746"/>
      <c r="W89" s="746"/>
      <c r="X89" s="746"/>
      <c r="Y89" s="746"/>
      <c r="Z89" s="746"/>
      <c r="AA89" s="746"/>
      <c r="AB89" s="746"/>
      <c r="AC89" s="746"/>
      <c r="AD89" s="746"/>
      <c r="AE89" s="746"/>
      <c r="AF89" s="746"/>
      <c r="AG89" s="746"/>
      <c r="AH89" s="746"/>
      <c r="AI89" s="746"/>
      <c r="AJ89" s="746"/>
      <c r="AK89" s="746"/>
      <c r="AL89" s="746"/>
      <c r="AM89" s="746"/>
      <c r="AN89" s="746"/>
      <c r="AO89" s="746"/>
      <c r="AP89" s="746"/>
      <c r="AQ89" s="746"/>
      <c r="AR89" s="746"/>
      <c r="AS89" s="746"/>
      <c r="AT89" s="746"/>
      <c r="AU89" s="746"/>
      <c r="AV89" s="746"/>
      <c r="AW89" s="746"/>
      <c r="AX89" s="746"/>
      <c r="AY89" s="943"/>
      <c r="AZ89" s="745"/>
      <c r="BA89" s="745"/>
      <c r="BB89" s="746"/>
      <c r="BC89" s="746"/>
      <c r="BD89" s="746"/>
      <c r="BE89" s="746"/>
      <c r="BF89" s="746"/>
      <c r="BG89" s="746"/>
      <c r="BH89" s="746"/>
      <c r="BI89" s="746"/>
      <c r="BJ89" s="746"/>
      <c r="BK89" s="746"/>
      <c r="BL89" s="746"/>
      <c r="BM89" s="746"/>
      <c r="BN89" s="746"/>
      <c r="BO89" s="746"/>
      <c r="BP89" s="746"/>
      <c r="BQ89" s="746"/>
      <c r="BR89" s="746"/>
      <c r="BS89" s="746"/>
      <c r="BT89" s="746"/>
      <c r="BU89" s="746"/>
      <c r="BV89" s="746"/>
      <c r="BW89" s="746"/>
      <c r="BX89" s="746"/>
      <c r="BY89" s="746"/>
      <c r="BZ89" s="746"/>
      <c r="CA89" s="746"/>
      <c r="CB89" s="746"/>
      <c r="CC89" s="746"/>
    </row>
    <row r="90" spans="2:81" s="743" customFormat="1" hidden="1" outlineLevel="1">
      <c r="B90" s="343" t="str">
        <f>+B84</f>
        <v>250ml golden can</v>
      </c>
      <c r="C90" s="307"/>
      <c r="D90" s="343" t="str">
        <f>+D84</f>
        <v>250ml 金罐</v>
      </c>
      <c r="E90" s="1206"/>
      <c r="F90" s="827"/>
      <c r="G90" s="348">
        <f>12007.09/100</f>
        <v>120.07089999999999</v>
      </c>
      <c r="H90" s="348">
        <f>22164.52/100</f>
        <v>221.64520000000002</v>
      </c>
      <c r="I90" s="348">
        <f>25694.84/100</f>
        <v>256.94839999999999</v>
      </c>
      <c r="J90" s="827">
        <f>J77*J96</f>
        <v>219.73335823578813</v>
      </c>
      <c r="K90" s="827">
        <f t="shared" si="172"/>
        <v>208.74669032399873</v>
      </c>
      <c r="L90" s="827">
        <f t="shared" si="172"/>
        <v>208.74669032399873</v>
      </c>
      <c r="M90" s="827">
        <f>M77*M96</f>
        <v>222.16156234019869</v>
      </c>
      <c r="N90" s="1521">
        <f t="shared" si="172"/>
        <v>291.98929579545432</v>
      </c>
      <c r="O90" s="827">
        <f t="shared" si="172"/>
        <v>347.46726199659065</v>
      </c>
      <c r="P90" s="827">
        <f t="shared" si="173"/>
        <v>382.21398819624977</v>
      </c>
      <c r="Q90" s="867"/>
      <c r="R90" s="867"/>
      <c r="S90" s="867"/>
      <c r="T90" s="943"/>
      <c r="U90" s="745"/>
      <c r="V90" s="746"/>
      <c r="W90" s="746"/>
      <c r="X90" s="746"/>
      <c r="Y90" s="746"/>
      <c r="Z90" s="746"/>
      <c r="AA90" s="746"/>
      <c r="AB90" s="746"/>
      <c r="AC90" s="746"/>
      <c r="AD90" s="746"/>
      <c r="AE90" s="746"/>
      <c r="AF90" s="746"/>
      <c r="AG90" s="746"/>
      <c r="AH90" s="746"/>
      <c r="AI90" s="746"/>
      <c r="AJ90" s="746"/>
      <c r="AK90" s="746"/>
      <c r="AL90" s="746"/>
      <c r="AM90" s="746"/>
      <c r="AN90" s="746"/>
      <c r="AO90" s="746"/>
      <c r="AP90" s="746"/>
      <c r="AQ90" s="746"/>
      <c r="AR90" s="746"/>
      <c r="AS90" s="746"/>
      <c r="AT90" s="746"/>
      <c r="AU90" s="746"/>
      <c r="AV90" s="746"/>
      <c r="AW90" s="746"/>
      <c r="AX90" s="746"/>
      <c r="AY90" s="943"/>
      <c r="AZ90" s="745"/>
      <c r="BA90" s="745"/>
      <c r="BB90" s="746"/>
      <c r="BC90" s="746"/>
      <c r="BD90" s="746"/>
      <c r="BE90" s="746"/>
      <c r="BF90" s="746"/>
      <c r="BG90" s="746"/>
      <c r="BH90" s="746"/>
      <c r="BI90" s="746"/>
      <c r="BJ90" s="746"/>
      <c r="BK90" s="746"/>
      <c r="BL90" s="746"/>
      <c r="BM90" s="746"/>
      <c r="BN90" s="746"/>
      <c r="BO90" s="746"/>
      <c r="BP90" s="746"/>
      <c r="BQ90" s="746"/>
      <c r="BR90" s="746"/>
      <c r="BS90" s="746"/>
      <c r="BT90" s="746"/>
      <c r="BU90" s="746"/>
      <c r="BV90" s="746"/>
      <c r="BW90" s="746"/>
      <c r="BX90" s="746"/>
      <c r="BY90" s="746"/>
      <c r="BZ90" s="746"/>
      <c r="CA90" s="746"/>
      <c r="CB90" s="746"/>
      <c r="CC90" s="746"/>
    </row>
    <row r="91" spans="2:81" s="743" customFormat="1" hidden="1" outlineLevel="1">
      <c r="B91" s="343" t="str">
        <f>+B85</f>
        <v>250ml golden tetra pak</v>
      </c>
      <c r="C91" s="307"/>
      <c r="D91" s="343" t="str">
        <f>+D85</f>
        <v>250ml 金砖</v>
      </c>
      <c r="E91" s="1206"/>
      <c r="F91" s="827"/>
      <c r="G91" s="348">
        <f>2074.75/100</f>
        <v>20.747499999999999</v>
      </c>
      <c r="H91" s="348">
        <f>1863.46/100</f>
        <v>18.634599999999999</v>
      </c>
      <c r="I91" s="348">
        <f>2294.89/100</f>
        <v>22.948899999999998</v>
      </c>
      <c r="J91" s="827">
        <f>J78*J97</f>
        <v>29.49341921584243</v>
      </c>
      <c r="K91" s="827">
        <f t="shared" si="172"/>
        <v>30.087322683562199</v>
      </c>
      <c r="L91" s="827">
        <f t="shared" si="172"/>
        <v>31.138634074870545</v>
      </c>
      <c r="M91" s="827">
        <f>M78*M97</f>
        <v>49.473700366657795</v>
      </c>
      <c r="N91" s="1521">
        <f t="shared" si="172"/>
        <v>135.79581674169913</v>
      </c>
      <c r="O91" s="827">
        <f t="shared" si="172"/>
        <v>218.57228836291347</v>
      </c>
      <c r="P91" s="827">
        <f t="shared" si="173"/>
        <v>214.66316932510662</v>
      </c>
      <c r="Q91" s="867"/>
      <c r="R91" s="867"/>
      <c r="S91" s="867"/>
      <c r="T91" s="943"/>
      <c r="U91" s="745"/>
      <c r="V91" s="746"/>
      <c r="W91" s="746"/>
      <c r="X91" s="746"/>
      <c r="Y91" s="746"/>
      <c r="Z91" s="746"/>
      <c r="AA91" s="746"/>
      <c r="AB91" s="746"/>
      <c r="AC91" s="746"/>
      <c r="AD91" s="746"/>
      <c r="AE91" s="746"/>
      <c r="AF91" s="746"/>
      <c r="AG91" s="746"/>
      <c r="AH91" s="746"/>
      <c r="AI91" s="746"/>
      <c r="AJ91" s="746"/>
      <c r="AK91" s="746"/>
      <c r="AL91" s="746"/>
      <c r="AM91" s="746"/>
      <c r="AN91" s="746"/>
      <c r="AO91" s="746"/>
      <c r="AP91" s="746"/>
      <c r="AQ91" s="746"/>
      <c r="AR91" s="746"/>
      <c r="AS91" s="746"/>
      <c r="AT91" s="746"/>
      <c r="AU91" s="746"/>
      <c r="AV91" s="746"/>
      <c r="AW91" s="746"/>
      <c r="AX91" s="746"/>
      <c r="AY91" s="943"/>
      <c r="AZ91" s="745"/>
      <c r="BA91" s="745"/>
      <c r="BB91" s="746"/>
      <c r="BC91" s="746"/>
      <c r="BD91" s="746"/>
      <c r="BE91" s="746"/>
      <c r="BF91" s="746"/>
      <c r="BG91" s="746"/>
      <c r="BH91" s="746"/>
      <c r="BI91" s="746"/>
      <c r="BJ91" s="746"/>
      <c r="BK91" s="746"/>
      <c r="BL91" s="746"/>
      <c r="BM91" s="746"/>
      <c r="BN91" s="746"/>
      <c r="BO91" s="746"/>
      <c r="BP91" s="746"/>
      <c r="BQ91" s="746"/>
      <c r="BR91" s="746"/>
      <c r="BS91" s="746"/>
      <c r="BT91" s="746"/>
      <c r="BU91" s="746"/>
      <c r="BV91" s="746"/>
      <c r="BW91" s="746"/>
      <c r="BX91" s="746"/>
      <c r="BY91" s="746"/>
      <c r="BZ91" s="746"/>
      <c r="CA91" s="746"/>
      <c r="CB91" s="746"/>
      <c r="CC91" s="746"/>
    </row>
    <row r="92" spans="2:81" s="743" customFormat="1" hidden="1" outlineLevel="1">
      <c r="B92" s="343" t="str">
        <f>+B86</f>
        <v>other energy drinks</v>
      </c>
      <c r="C92" s="307"/>
      <c r="D92" s="343" t="str">
        <f>+D86</f>
        <v>其他东鹏特饮</v>
      </c>
      <c r="E92" s="1206"/>
      <c r="F92" s="827"/>
      <c r="G92" s="348">
        <v>0</v>
      </c>
      <c r="H92" s="348">
        <v>0</v>
      </c>
      <c r="I92" s="348">
        <f>1143.8/100</f>
        <v>11.437999999999999</v>
      </c>
      <c r="J92" s="827">
        <f>J79*J98</f>
        <v>-4.5500480791262371E-2</v>
      </c>
      <c r="K92" s="827">
        <f t="shared" si="172"/>
        <v>0</v>
      </c>
      <c r="L92" s="827">
        <f t="shared" si="172"/>
        <v>0</v>
      </c>
      <c r="M92" s="827">
        <f>M79*M98</f>
        <v>0</v>
      </c>
      <c r="N92" s="1521">
        <f t="shared" si="172"/>
        <v>0</v>
      </c>
      <c r="O92" s="827">
        <f t="shared" si="172"/>
        <v>0</v>
      </c>
      <c r="P92" s="827">
        <f t="shared" si="173"/>
        <v>0</v>
      </c>
      <c r="Q92" s="867"/>
      <c r="R92" s="867"/>
      <c r="S92" s="867"/>
      <c r="T92" s="943"/>
      <c r="U92" s="745"/>
      <c r="V92" s="746"/>
      <c r="W92" s="746"/>
      <c r="X92" s="746"/>
      <c r="Y92" s="746"/>
      <c r="Z92" s="746"/>
      <c r="AA92" s="746"/>
      <c r="AB92" s="746"/>
      <c r="AC92" s="746"/>
      <c r="AD92" s="746"/>
      <c r="AE92" s="746"/>
      <c r="AF92" s="746"/>
      <c r="AG92" s="746"/>
      <c r="AH92" s="746"/>
      <c r="AI92" s="746"/>
      <c r="AJ92" s="746"/>
      <c r="AK92" s="746"/>
      <c r="AL92" s="746"/>
      <c r="AM92" s="746"/>
      <c r="AN92" s="746"/>
      <c r="AO92" s="746"/>
      <c r="AP92" s="746"/>
      <c r="AQ92" s="746"/>
      <c r="AR92" s="746"/>
      <c r="AS92" s="746"/>
      <c r="AT92" s="746"/>
      <c r="AU92" s="746"/>
      <c r="AV92" s="746"/>
      <c r="AW92" s="746"/>
      <c r="AX92" s="746"/>
      <c r="AY92" s="943"/>
      <c r="AZ92" s="745"/>
      <c r="BA92" s="745"/>
      <c r="BB92" s="746"/>
      <c r="BC92" s="746"/>
      <c r="BD92" s="746"/>
      <c r="BE92" s="746"/>
      <c r="BF92" s="746"/>
      <c r="BG92" s="746"/>
      <c r="BH92" s="746"/>
      <c r="BI92" s="746"/>
      <c r="BJ92" s="746"/>
      <c r="BK92" s="746"/>
      <c r="BL92" s="746"/>
      <c r="BM92" s="746"/>
      <c r="BN92" s="746"/>
      <c r="BO92" s="746"/>
      <c r="BP92" s="746"/>
      <c r="BQ92" s="746"/>
      <c r="BR92" s="746"/>
      <c r="BS92" s="746"/>
      <c r="BT92" s="746"/>
      <c r="BU92" s="746"/>
      <c r="BV92" s="746"/>
      <c r="BW92" s="746"/>
      <c r="BX92" s="746"/>
      <c r="BY92" s="746"/>
      <c r="BZ92" s="746"/>
      <c r="CA92" s="746"/>
      <c r="CB92" s="746"/>
      <c r="CC92" s="746"/>
    </row>
    <row r="93" spans="2:81" s="743" customFormat="1" collapsed="1">
      <c r="B93" s="336" t="s">
        <v>10</v>
      </c>
      <c r="C93" s="336"/>
      <c r="D93" s="336" t="s">
        <v>9</v>
      </c>
      <c r="E93" s="1206"/>
      <c r="F93" s="828"/>
      <c r="G93" s="1595">
        <f t="shared" ref="G93:O93" si="174">+G87/G74</f>
        <v>0.48082349484946624</v>
      </c>
      <c r="H93" s="1595">
        <f t="shared" si="174"/>
        <v>0.49011272834418823</v>
      </c>
      <c r="I93" s="1595">
        <f t="shared" si="174"/>
        <v>0.4866656392749043</v>
      </c>
      <c r="J93" s="1595">
        <f t="shared" si="174"/>
        <v>0.46088722574050672</v>
      </c>
      <c r="K93" s="1595">
        <f t="shared" si="174"/>
        <v>0.43259827844779986</v>
      </c>
      <c r="L93" s="1595">
        <f t="shared" si="174"/>
        <v>0.45353910687384269</v>
      </c>
      <c r="M93" s="1595">
        <f>+M87/M74</f>
        <v>0.48251347632777503</v>
      </c>
      <c r="N93" s="1596">
        <f t="shared" si="174"/>
        <v>0.50864915934152377</v>
      </c>
      <c r="O93" s="1595">
        <f t="shared" si="174"/>
        <v>0.52093293035798571</v>
      </c>
      <c r="P93" s="1595">
        <f>+P87/P74</f>
        <v>0.52093293035798571</v>
      </c>
      <c r="Q93" s="1473"/>
      <c r="R93" s="1473"/>
      <c r="S93" s="1473"/>
      <c r="T93" s="943"/>
      <c r="U93" s="745"/>
      <c r="V93" s="746"/>
      <c r="W93" s="746"/>
      <c r="X93" s="746"/>
      <c r="Y93" s="746"/>
      <c r="Z93" s="746"/>
      <c r="AA93" s="746"/>
      <c r="AB93" s="746"/>
      <c r="AC93" s="746"/>
      <c r="AD93" s="746"/>
      <c r="AE93" s="746"/>
      <c r="AF93" s="746"/>
      <c r="AG93" s="746"/>
      <c r="AH93" s="746"/>
      <c r="AI93" s="746"/>
      <c r="AJ93" s="746"/>
      <c r="AK93" s="746"/>
      <c r="AL93" s="746"/>
      <c r="AM93" s="746"/>
      <c r="AN93" s="746"/>
      <c r="AO93" s="746"/>
      <c r="AP93" s="746"/>
      <c r="AQ93" s="746"/>
      <c r="AR93" s="746"/>
      <c r="AS93" s="746"/>
      <c r="AT93" s="746"/>
      <c r="AU93" s="746"/>
      <c r="AV93" s="746"/>
      <c r="AW93" s="746"/>
      <c r="AX93" s="746"/>
      <c r="AY93" s="943"/>
      <c r="AZ93" s="745"/>
      <c r="BA93" s="745"/>
      <c r="BB93" s="746"/>
      <c r="BC93" s="746"/>
      <c r="BD93" s="746"/>
      <c r="BE93" s="746"/>
      <c r="BF93" s="746"/>
      <c r="BG93" s="746"/>
      <c r="BH93" s="746"/>
      <c r="BI93" s="746"/>
      <c r="BJ93" s="746"/>
      <c r="BK93" s="746"/>
      <c r="BL93" s="746"/>
      <c r="BM93" s="746"/>
      <c r="BN93" s="746"/>
      <c r="BO93" s="746"/>
      <c r="BP93" s="746"/>
      <c r="BQ93" s="746"/>
      <c r="BR93" s="746"/>
      <c r="BS93" s="746"/>
      <c r="BT93" s="746"/>
      <c r="BU93" s="746"/>
      <c r="BV93" s="746"/>
      <c r="BW93" s="746"/>
      <c r="BX93" s="746"/>
      <c r="BY93" s="746"/>
      <c r="BZ93" s="746"/>
      <c r="CA93" s="746"/>
      <c r="CB93" s="746"/>
      <c r="CC93" s="746"/>
    </row>
    <row r="94" spans="2:81" s="743" customFormat="1" hidden="1" outlineLevel="1">
      <c r="B94" s="754" t="str">
        <f>+B88</f>
        <v>500ml golden bottle</v>
      </c>
      <c r="C94" s="336"/>
      <c r="D94" s="754" t="str">
        <f>+D88</f>
        <v>500ml 金瓶</v>
      </c>
      <c r="E94" s="1206"/>
      <c r="F94" s="828"/>
      <c r="G94" s="849">
        <f t="shared" ref="G94:I97" si="175">+G88/G75</f>
        <v>0.43055122254365796</v>
      </c>
      <c r="H94" s="849">
        <f t="shared" si="175"/>
        <v>0.51118029989766611</v>
      </c>
      <c r="I94" s="849">
        <f t="shared" si="175"/>
        <v>0.5224755119457547</v>
      </c>
      <c r="J94" s="1131">
        <f>I94-3.3%</f>
        <v>0.48947551194575467</v>
      </c>
      <c r="K94" s="849">
        <f>+K88/K75</f>
        <v>0.44862788536520909</v>
      </c>
      <c r="L94" s="849">
        <f>+L88/L75</f>
        <v>0.46888241258515745</v>
      </c>
      <c r="M94" s="849">
        <f>+M88/M75</f>
        <v>0.49894034215938515</v>
      </c>
      <c r="N94" s="2098">
        <f>+N88/N75</f>
        <v>0.53269634362975016</v>
      </c>
      <c r="O94" s="849">
        <f>+O88/O75</f>
        <v>0.55159662600157899</v>
      </c>
      <c r="P94" s="849">
        <f>+P88/P75</f>
        <v>0.54799860036232351</v>
      </c>
      <c r="Q94" s="1474"/>
      <c r="R94" s="1474"/>
      <c r="S94" s="1474"/>
      <c r="T94" s="943"/>
      <c r="U94" s="745"/>
      <c r="V94" s="746"/>
      <c r="W94" s="746"/>
      <c r="X94" s="746"/>
      <c r="Y94" s="746"/>
      <c r="Z94" s="746"/>
      <c r="AA94" s="746"/>
      <c r="AB94" s="746"/>
      <c r="AC94" s="746"/>
      <c r="AD94" s="746"/>
      <c r="AE94" s="746"/>
      <c r="AF94" s="746"/>
      <c r="AG94" s="746"/>
      <c r="AH94" s="746"/>
      <c r="AI94" s="746"/>
      <c r="AJ94" s="746"/>
      <c r="AK94" s="746"/>
      <c r="AL94" s="746"/>
      <c r="AM94" s="746"/>
      <c r="AN94" s="746"/>
      <c r="AO94" s="746"/>
      <c r="AP94" s="746"/>
      <c r="AQ94" s="746"/>
      <c r="AR94" s="746"/>
      <c r="AS94" s="746"/>
      <c r="AT94" s="746"/>
      <c r="AU94" s="746"/>
      <c r="AV94" s="746"/>
      <c r="AW94" s="746"/>
      <c r="AX94" s="746"/>
      <c r="AY94" s="943"/>
      <c r="AZ94" s="745"/>
      <c r="BA94" s="745"/>
      <c r="BB94" s="746"/>
      <c r="BC94" s="746"/>
      <c r="BD94" s="746"/>
      <c r="BE94" s="746"/>
      <c r="BF94" s="746"/>
      <c r="BG94" s="746"/>
      <c r="BH94" s="746"/>
      <c r="BI94" s="746"/>
      <c r="BJ94" s="746"/>
      <c r="BK94" s="746"/>
      <c r="BL94" s="746"/>
      <c r="BM94" s="746"/>
      <c r="BN94" s="746"/>
      <c r="BO94" s="746"/>
      <c r="BP94" s="746"/>
      <c r="BQ94" s="746"/>
      <c r="BR94" s="746"/>
      <c r="BS94" s="746"/>
      <c r="BT94" s="746"/>
      <c r="BU94" s="746"/>
      <c r="BV94" s="746"/>
      <c r="BW94" s="746"/>
      <c r="BX94" s="746"/>
      <c r="BY94" s="746"/>
      <c r="BZ94" s="746"/>
      <c r="CA94" s="746"/>
      <c r="CB94" s="746"/>
      <c r="CC94" s="746"/>
    </row>
    <row r="95" spans="2:81" s="743" customFormat="1" hidden="1" outlineLevel="1">
      <c r="B95" s="754" t="str">
        <f>+B89</f>
        <v>250ml golden bottle</v>
      </c>
      <c r="C95" s="336"/>
      <c r="D95" s="754" t="str">
        <f>+D89</f>
        <v>250ml 金瓶</v>
      </c>
      <c r="E95" s="1206"/>
      <c r="F95" s="828"/>
      <c r="G95" s="849">
        <f t="shared" si="175"/>
        <v>0.51866671654057128</v>
      </c>
      <c r="H95" s="849">
        <f t="shared" si="175"/>
        <v>0.50120331247178207</v>
      </c>
      <c r="I95" s="849">
        <f t="shared" si="175"/>
        <v>0.44104971868355741</v>
      </c>
      <c r="J95" s="849">
        <f>+J89/J76</f>
        <v>0.38893310956802979</v>
      </c>
      <c r="K95" s="1131">
        <f>J95-1%</f>
        <v>0.37893310956802978</v>
      </c>
      <c r="L95" s="1131">
        <f>K95+0.1%</f>
        <v>0.37993310956802978</v>
      </c>
      <c r="M95" s="1131">
        <f>L95+1%</f>
        <v>0.38993310956802979</v>
      </c>
      <c r="N95" s="1522">
        <f>M95+1.5%</f>
        <v>0.4049331095680298</v>
      </c>
      <c r="O95" s="1131">
        <f t="shared" ref="K95:O98" si="176">N95</f>
        <v>0.4049331095680298</v>
      </c>
      <c r="P95" s="1131">
        <f t="shared" ref="P95:P98" si="177">O95</f>
        <v>0.4049331095680298</v>
      </c>
      <c r="Q95" s="1474"/>
      <c r="R95" s="1474"/>
      <c r="S95" s="1474"/>
      <c r="T95" s="943"/>
      <c r="U95" s="745"/>
      <c r="V95" s="746"/>
      <c r="W95" s="746"/>
      <c r="X95" s="746"/>
      <c r="Y95" s="746"/>
      <c r="Z95" s="746"/>
      <c r="AA95" s="746"/>
      <c r="AB95" s="746"/>
      <c r="AC95" s="746"/>
      <c r="AD95" s="746"/>
      <c r="AE95" s="746"/>
      <c r="AF95" s="746"/>
      <c r="AG95" s="746"/>
      <c r="AH95" s="746"/>
      <c r="AI95" s="746"/>
      <c r="AJ95" s="746"/>
      <c r="AK95" s="746"/>
      <c r="AL95" s="746"/>
      <c r="AM95" s="746"/>
      <c r="AN95" s="746"/>
      <c r="AO95" s="746"/>
      <c r="AP95" s="746"/>
      <c r="AQ95" s="746"/>
      <c r="AR95" s="746"/>
      <c r="AS95" s="746"/>
      <c r="AT95" s="746"/>
      <c r="AU95" s="746"/>
      <c r="AV95" s="746"/>
      <c r="AW95" s="746"/>
      <c r="AX95" s="746"/>
      <c r="AY95" s="943"/>
      <c r="AZ95" s="745"/>
      <c r="BA95" s="745"/>
      <c r="BB95" s="746"/>
      <c r="BC95" s="746"/>
      <c r="BD95" s="746"/>
      <c r="BE95" s="746"/>
      <c r="BF95" s="746"/>
      <c r="BG95" s="746"/>
      <c r="BH95" s="746"/>
      <c r="BI95" s="746"/>
      <c r="BJ95" s="746"/>
      <c r="BK95" s="746"/>
      <c r="BL95" s="746"/>
      <c r="BM95" s="746"/>
      <c r="BN95" s="746"/>
      <c r="BO95" s="746"/>
      <c r="BP95" s="746"/>
      <c r="BQ95" s="746"/>
      <c r="BR95" s="746"/>
      <c r="BS95" s="746"/>
      <c r="BT95" s="746"/>
      <c r="BU95" s="746"/>
      <c r="BV95" s="746"/>
      <c r="BW95" s="746"/>
      <c r="BX95" s="746"/>
      <c r="BY95" s="746"/>
      <c r="BZ95" s="746"/>
      <c r="CA95" s="746"/>
      <c r="CB95" s="746"/>
      <c r="CC95" s="746"/>
    </row>
    <row r="96" spans="2:81" s="743" customFormat="1" hidden="1" outlineLevel="1">
      <c r="B96" s="754" t="str">
        <f>+B90</f>
        <v>250ml golden can</v>
      </c>
      <c r="C96" s="336"/>
      <c r="D96" s="754" t="str">
        <f>+D90</f>
        <v>250ml 金罐</v>
      </c>
      <c r="E96" s="1206"/>
      <c r="F96" s="828"/>
      <c r="G96" s="849">
        <f t="shared" si="175"/>
        <v>0.43617702980454098</v>
      </c>
      <c r="H96" s="849">
        <f t="shared" si="175"/>
        <v>0.41230379104478726</v>
      </c>
      <c r="I96" s="849">
        <f t="shared" si="175"/>
        <v>0.4010625766093604</v>
      </c>
      <c r="J96" s="1131">
        <f>I96-3.3%</f>
        <v>0.36806257660936037</v>
      </c>
      <c r="K96" s="1131">
        <f t="shared" si="176"/>
        <v>0.36806257660936037</v>
      </c>
      <c r="L96" s="1131">
        <f t="shared" si="176"/>
        <v>0.36806257660936037</v>
      </c>
      <c r="M96" s="1131">
        <f>L96+0.5%</f>
        <v>0.37306257660936037</v>
      </c>
      <c r="N96" s="1522">
        <f>M96+1%</f>
        <v>0.38306257660936038</v>
      </c>
      <c r="O96" s="1131">
        <f t="shared" si="176"/>
        <v>0.38306257660936038</v>
      </c>
      <c r="P96" s="1131">
        <f t="shared" si="177"/>
        <v>0.38306257660936038</v>
      </c>
      <c r="Q96" s="1474"/>
      <c r="R96" s="1474"/>
      <c r="S96" s="1474"/>
      <c r="T96" s="943"/>
      <c r="U96" s="745"/>
      <c r="V96" s="746"/>
      <c r="W96" s="746"/>
      <c r="X96" s="746"/>
      <c r="Y96" s="746"/>
      <c r="Z96" s="746"/>
      <c r="AA96" s="746"/>
      <c r="AB96" s="746"/>
      <c r="AC96" s="746"/>
      <c r="AD96" s="746"/>
      <c r="AE96" s="746"/>
      <c r="AF96" s="746"/>
      <c r="AG96" s="746"/>
      <c r="AH96" s="746"/>
      <c r="AI96" s="746"/>
      <c r="AJ96" s="746"/>
      <c r="AK96" s="746"/>
      <c r="AL96" s="746"/>
      <c r="AM96" s="746"/>
      <c r="AN96" s="746"/>
      <c r="AO96" s="746"/>
      <c r="AP96" s="746"/>
      <c r="AQ96" s="746"/>
      <c r="AR96" s="746"/>
      <c r="AS96" s="746"/>
      <c r="AT96" s="746"/>
      <c r="AU96" s="746"/>
      <c r="AV96" s="746"/>
      <c r="AW96" s="746"/>
      <c r="AX96" s="746"/>
      <c r="AY96" s="943"/>
      <c r="AZ96" s="745"/>
      <c r="BA96" s="745"/>
      <c r="BB96" s="746"/>
      <c r="BC96" s="746"/>
      <c r="BD96" s="746"/>
      <c r="BE96" s="746"/>
      <c r="BF96" s="746"/>
      <c r="BG96" s="746"/>
      <c r="BH96" s="746"/>
      <c r="BI96" s="746"/>
      <c r="BJ96" s="746"/>
      <c r="BK96" s="746"/>
      <c r="BL96" s="746"/>
      <c r="BM96" s="746"/>
      <c r="BN96" s="746"/>
      <c r="BO96" s="746"/>
      <c r="BP96" s="746"/>
      <c r="BQ96" s="746"/>
      <c r="BR96" s="746"/>
      <c r="BS96" s="746"/>
      <c r="BT96" s="746"/>
      <c r="BU96" s="746"/>
      <c r="BV96" s="746"/>
      <c r="BW96" s="746"/>
      <c r="BX96" s="746"/>
      <c r="BY96" s="746"/>
      <c r="BZ96" s="746"/>
      <c r="CA96" s="746"/>
      <c r="CB96" s="746"/>
      <c r="CC96" s="746"/>
    </row>
    <row r="97" spans="2:81" s="743" customFormat="1" hidden="1" outlineLevel="1">
      <c r="B97" s="754" t="str">
        <f>+B91</f>
        <v>250ml golden tetra pak</v>
      </c>
      <c r="C97" s="336"/>
      <c r="D97" s="754" t="str">
        <f>+D91</f>
        <v>250ml 金砖</v>
      </c>
      <c r="E97" s="1206"/>
      <c r="F97" s="828"/>
      <c r="G97" s="849">
        <f t="shared" si="175"/>
        <v>0.29201020118056709</v>
      </c>
      <c r="H97" s="849">
        <f t="shared" si="175"/>
        <v>0.25340682084902288</v>
      </c>
      <c r="I97" s="849">
        <f t="shared" si="175"/>
        <v>0.27278389606375958</v>
      </c>
      <c r="J97" s="1131">
        <f>I97-3.3%</f>
        <v>0.23978389606375958</v>
      </c>
      <c r="K97" s="1131">
        <f t="shared" si="176"/>
        <v>0.23978389606375958</v>
      </c>
      <c r="L97" s="1131">
        <f t="shared" si="176"/>
        <v>0.23978389606375958</v>
      </c>
      <c r="M97" s="1131">
        <f>L97+0.5%</f>
        <v>0.24478389606375958</v>
      </c>
      <c r="N97" s="1522">
        <f>M97+1.8%</f>
        <v>0.26278389606375957</v>
      </c>
      <c r="O97" s="1131">
        <f t="shared" si="176"/>
        <v>0.26278389606375957</v>
      </c>
      <c r="P97" s="1131">
        <f t="shared" si="177"/>
        <v>0.26278389606375957</v>
      </c>
      <c r="Q97" s="1474"/>
      <c r="R97" s="1474"/>
      <c r="S97" s="1474"/>
      <c r="T97" s="943"/>
      <c r="U97" s="745"/>
      <c r="V97" s="746"/>
      <c r="W97" s="746"/>
      <c r="X97" s="746"/>
      <c r="Y97" s="746"/>
      <c r="Z97" s="746"/>
      <c r="AA97" s="746"/>
      <c r="AB97" s="1177">
        <f>AB99+Z99</f>
        <v>0.40786206536211989</v>
      </c>
      <c r="AC97" s="1177">
        <f>AC99+AA99</f>
        <v>0.61444137056233217</v>
      </c>
      <c r="AD97" s="1177">
        <f>AD99+AB99</f>
        <v>0.58200323282068833</v>
      </c>
      <c r="AE97" s="1177">
        <f>AE99+AD99</f>
        <v>0.5748305386110506</v>
      </c>
      <c r="AF97" s="1177"/>
      <c r="AG97" s="1177"/>
      <c r="AH97" s="1177"/>
      <c r="AI97" s="1177"/>
      <c r="AJ97" s="1177"/>
      <c r="AK97" s="1177"/>
      <c r="AL97" s="1177"/>
      <c r="AM97" s="1177"/>
      <c r="AN97" s="1177"/>
      <c r="AO97" s="1177"/>
      <c r="AP97" s="1177"/>
      <c r="AQ97" s="1177"/>
      <c r="AR97" s="1177"/>
      <c r="AS97" s="1177"/>
      <c r="AT97" s="1177"/>
      <c r="AU97" s="1177"/>
      <c r="AV97" s="1177"/>
      <c r="AW97" s="1177"/>
      <c r="AX97" s="1177"/>
      <c r="AY97" s="943"/>
      <c r="AZ97" s="745"/>
      <c r="BA97" s="745"/>
      <c r="BB97" s="746"/>
      <c r="BC97" s="746"/>
      <c r="BD97" s="746"/>
      <c r="BE97" s="746"/>
      <c r="BF97" s="746"/>
      <c r="BG97" s="746"/>
      <c r="BH97" s="746"/>
      <c r="BI97" s="746"/>
      <c r="BJ97" s="746"/>
      <c r="BK97" s="746"/>
      <c r="BL97" s="746"/>
      <c r="BM97" s="746"/>
      <c r="BN97" s="746"/>
      <c r="BO97" s="746"/>
      <c r="BP97" s="746"/>
      <c r="BQ97" s="746"/>
      <c r="BR97" s="746"/>
      <c r="BS97" s="746"/>
      <c r="BT97" s="746"/>
      <c r="BU97" s="746"/>
      <c r="BV97" s="746"/>
      <c r="BW97" s="746"/>
      <c r="BX97" s="746"/>
      <c r="BY97" s="746"/>
      <c r="BZ97" s="746"/>
      <c r="CA97" s="746"/>
      <c r="CB97" s="746"/>
      <c r="CC97" s="746"/>
    </row>
    <row r="98" spans="2:81" s="743" customFormat="1" hidden="1" outlineLevel="1">
      <c r="B98" s="754" t="str">
        <f>+B92</f>
        <v>other energy drinks</v>
      </c>
      <c r="C98" s="336"/>
      <c r="D98" s="754" t="str">
        <f>+D92</f>
        <v>其他东鹏特饮</v>
      </c>
      <c r="E98" s="1206"/>
      <c r="F98" s="828"/>
      <c r="G98" s="828"/>
      <c r="H98" s="828"/>
      <c r="I98" s="849">
        <f>+I92/I79</f>
        <v>0.47855538029630429</v>
      </c>
      <c r="J98" s="1131">
        <f>I98-3.3%</f>
        <v>0.44555538029630426</v>
      </c>
      <c r="K98" s="1131">
        <f t="shared" si="176"/>
        <v>0.44555538029630426</v>
      </c>
      <c r="L98" s="1131">
        <f t="shared" si="176"/>
        <v>0.44555538029630426</v>
      </c>
      <c r="M98" s="1131">
        <f t="shared" si="176"/>
        <v>0.44555538029630426</v>
      </c>
      <c r="N98" s="1522">
        <f>M98+1.8%</f>
        <v>0.46355538029630428</v>
      </c>
      <c r="O98" s="1131">
        <f t="shared" si="176"/>
        <v>0.46355538029630428</v>
      </c>
      <c r="P98" s="1131">
        <f t="shared" si="177"/>
        <v>0.46355538029630428</v>
      </c>
      <c r="Q98" s="1474"/>
      <c r="R98" s="1474"/>
      <c r="S98" s="1474"/>
      <c r="T98" s="943"/>
      <c r="U98" s="745"/>
      <c r="V98" s="746"/>
      <c r="W98" s="746"/>
      <c r="X98" s="746"/>
      <c r="Y98" s="746"/>
      <c r="Z98" s="746"/>
      <c r="AA98" s="746"/>
      <c r="AB98" s="746"/>
      <c r="AC98" s="746"/>
      <c r="AD98" s="746"/>
      <c r="AE98" s="746"/>
      <c r="AF98" s="746"/>
      <c r="AG98" s="746"/>
      <c r="AH98" s="746"/>
      <c r="AI98" s="746"/>
      <c r="AJ98" s="746"/>
      <c r="AK98" s="746"/>
      <c r="AL98" s="746"/>
      <c r="AM98" s="746"/>
      <c r="AN98" s="746"/>
      <c r="AO98" s="746"/>
      <c r="AP98" s="746"/>
      <c r="AQ98" s="746"/>
      <c r="AR98" s="746"/>
      <c r="AS98" s="746"/>
      <c r="AT98" s="746"/>
      <c r="AU98" s="746"/>
      <c r="AV98" s="746"/>
      <c r="AW98" s="746"/>
      <c r="AX98" s="746"/>
      <c r="AY98" s="943"/>
      <c r="AZ98" s="745"/>
      <c r="BA98" s="745"/>
      <c r="BB98" s="746"/>
      <c r="BC98" s="746"/>
      <c r="BD98" s="746"/>
      <c r="BE98" s="746"/>
      <c r="BF98" s="746"/>
      <c r="BG98" s="746"/>
      <c r="BH98" s="746"/>
      <c r="BI98" s="746"/>
      <c r="BJ98" s="746"/>
      <c r="BK98" s="746"/>
      <c r="BL98" s="746"/>
      <c r="BM98" s="746"/>
      <c r="BN98" s="746"/>
      <c r="BO98" s="746"/>
      <c r="BP98" s="746"/>
      <c r="BQ98" s="746"/>
      <c r="BR98" s="746"/>
      <c r="BS98" s="746"/>
      <c r="BT98" s="746"/>
      <c r="BU98" s="746"/>
      <c r="BV98" s="746"/>
      <c r="BW98" s="746"/>
      <c r="BX98" s="746"/>
      <c r="BY98" s="746"/>
      <c r="BZ98" s="746"/>
      <c r="CA98" s="746"/>
      <c r="CB98" s="746"/>
      <c r="CC98" s="746"/>
    </row>
    <row r="99" spans="2:81" s="743" customFormat="1" collapsed="1">
      <c r="B99" s="336" t="s">
        <v>1129</v>
      </c>
      <c r="C99" s="336"/>
      <c r="D99" s="336" t="s">
        <v>100</v>
      </c>
      <c r="E99" s="1206"/>
      <c r="F99" s="828"/>
      <c r="G99" s="828"/>
      <c r="H99" s="748">
        <f t="shared" ref="H99:I103" si="178">+H74/G74-1</f>
        <v>0.387293198111341</v>
      </c>
      <c r="I99" s="748">
        <f t="shared" si="178"/>
        <v>0.16290740227934797</v>
      </c>
      <c r="J99" s="748">
        <f t="shared" ref="J99:O99" si="179">+J74/I74-1</f>
        <v>0.41604298426831776</v>
      </c>
      <c r="K99" s="748">
        <f t="shared" si="179"/>
        <v>0.2397502172798518</v>
      </c>
      <c r="L99" s="2003">
        <f t="shared" si="179"/>
        <v>0.26476027118643075</v>
      </c>
      <c r="M99" s="2003">
        <f t="shared" si="179"/>
        <v>0.28711036224329911</v>
      </c>
      <c r="N99" s="1597">
        <f t="shared" si="179"/>
        <v>0.19789999999999996</v>
      </c>
      <c r="O99" s="748">
        <f t="shared" si="179"/>
        <v>0.16999999999999993</v>
      </c>
      <c r="P99" s="748">
        <f>+P74/O74-1</f>
        <v>0.14000000000000012</v>
      </c>
      <c r="Q99" s="1475"/>
      <c r="R99" s="1475"/>
      <c r="S99" s="1475"/>
      <c r="T99" s="943"/>
      <c r="U99" s="745" t="str">
        <f>+D99</f>
        <v>收入增速</v>
      </c>
      <c r="V99" s="746"/>
      <c r="W99" s="746"/>
      <c r="X99" s="1207">
        <f t="shared" ref="X99:AE99" si="180">+X74/V74-1</f>
        <v>0.56105399076972762</v>
      </c>
      <c r="Y99" s="1207">
        <f t="shared" si="180"/>
        <v>0.27775659670563524</v>
      </c>
      <c r="Z99" s="1207">
        <f t="shared" si="180"/>
        <v>0.16100129683322084</v>
      </c>
      <c r="AA99" s="1207">
        <f t="shared" si="180"/>
        <v>0.33149742714898278</v>
      </c>
      <c r="AB99" s="1207">
        <f t="shared" si="180"/>
        <v>0.24686076852889904</v>
      </c>
      <c r="AC99" s="1207">
        <f t="shared" si="180"/>
        <v>0.28294394341334939</v>
      </c>
      <c r="AD99" s="1207">
        <f t="shared" si="180"/>
        <v>0.33514246429178929</v>
      </c>
      <c r="AE99" s="1207">
        <f t="shared" si="180"/>
        <v>0.23968807431926131</v>
      </c>
      <c r="AF99" s="1207"/>
      <c r="AG99" s="1207"/>
      <c r="AH99" s="1207"/>
      <c r="AI99" s="1207"/>
      <c r="AJ99" s="1207"/>
      <c r="AK99" s="1207"/>
      <c r="AL99" s="1207"/>
      <c r="AM99" s="1207"/>
      <c r="AN99" s="1207"/>
      <c r="AO99" s="1207"/>
      <c r="AP99" s="1207"/>
      <c r="AQ99" s="1207"/>
      <c r="AR99" s="1207"/>
      <c r="AS99" s="1207"/>
      <c r="AT99" s="1207"/>
      <c r="AU99" s="1207"/>
      <c r="AV99" s="1207"/>
      <c r="AW99" s="1207"/>
      <c r="AX99" s="1207"/>
      <c r="AY99" s="943"/>
      <c r="AZ99" s="745"/>
      <c r="BA99" s="745"/>
      <c r="BB99" s="746"/>
      <c r="BC99" s="746"/>
      <c r="BD99" s="746"/>
      <c r="BE99" s="746"/>
      <c r="BF99" s="746"/>
      <c r="BG99" s="746"/>
      <c r="BH99" s="1177">
        <f>BH74/BD74-1</f>
        <v>0.19893932655509827</v>
      </c>
      <c r="BI99" s="1177">
        <f t="shared" ref="BI99:BS99" si="181">BI74/BE74-1</f>
        <v>0.41021872032383078</v>
      </c>
      <c r="BJ99" s="1177">
        <f t="shared" si="181"/>
        <v>0.1589092894495423</v>
      </c>
      <c r="BK99" s="1177">
        <f t="shared" si="181"/>
        <v>0.16281061336948088</v>
      </c>
      <c r="BL99" s="1177">
        <f t="shared" si="181"/>
        <v>0.26935024841467747</v>
      </c>
      <c r="BM99" s="1177">
        <f t="shared" si="181"/>
        <v>0.42029528164080898</v>
      </c>
      <c r="BN99" s="1177">
        <f>BN74/BJ74-1</f>
        <v>0.25001454222161601</v>
      </c>
      <c r="BO99" s="1177">
        <f>BO74/BK74-1</f>
        <v>0.24414231243804374</v>
      </c>
      <c r="BP99" s="1177">
        <f>BP74/BL74-1</f>
        <v>0.25748334398383066</v>
      </c>
      <c r="BQ99" s="1177">
        <f t="shared" si="181"/>
        <v>0.3154566037483888</v>
      </c>
      <c r="BR99" s="1177">
        <f t="shared" si="181"/>
        <v>0.30107655561619362</v>
      </c>
      <c r="BS99" s="1177">
        <f t="shared" si="181"/>
        <v>0.36464482572749524</v>
      </c>
      <c r="BT99" s="1177">
        <f t="shared" ref="BT99" si="182">BT74/BP74-1</f>
        <v>0.28279458651888967</v>
      </c>
      <c r="BU99" s="1177">
        <f t="shared" ref="BU99" si="183">BU74/BQ74-1</f>
        <v>0.18616473970624869</v>
      </c>
      <c r="BV99" s="1177">
        <f t="shared" ref="BV99" si="184">BV74/BR74-1</f>
        <v>0.25795407774379187</v>
      </c>
      <c r="BW99" s="1177">
        <f t="shared" ref="BW99" si="185">BW74/BS74-1</f>
        <v>0.18766626951675058</v>
      </c>
      <c r="BX99" s="1177">
        <f t="shared" ref="BX99" si="186">BX74/BT74-1</f>
        <v>0.14592880138199327</v>
      </c>
      <c r="BY99" s="1177">
        <f t="shared" ref="BY99" si="187">BY74/BU74-1</f>
        <v>0.21422676187408896</v>
      </c>
      <c r="BZ99" s="1177">
        <f t="shared" ref="BZ99" si="188">BZ74/BV74-1</f>
        <v>0.20999999999999996</v>
      </c>
      <c r="CA99" s="1177">
        <f t="shared" ref="CA99" si="189">CA74/BW74-1</f>
        <v>0.19999999999999996</v>
      </c>
      <c r="CB99" s="1177">
        <f t="shared" ref="CB99" si="190">CB74/BX74-1</f>
        <v>0.18999999999999995</v>
      </c>
      <c r="CC99" s="1177">
        <f t="shared" ref="CC99" si="191">CC74/BY74-1</f>
        <v>5.9163814126169445E-2</v>
      </c>
    </row>
    <row r="100" spans="2:81" s="743" customFormat="1" hidden="1" outlineLevel="1">
      <c r="B100" s="754" t="str">
        <f>+B94</f>
        <v>500ml golden bottle</v>
      </c>
      <c r="C100" s="336"/>
      <c r="D100" s="754" t="str">
        <f>+D94</f>
        <v>500ml 金瓶</v>
      </c>
      <c r="E100" s="744"/>
      <c r="F100" s="748"/>
      <c r="G100" s="748"/>
      <c r="H100" s="828">
        <f t="shared" si="178"/>
        <v>1.712436459127777</v>
      </c>
      <c r="I100" s="828">
        <f t="shared" si="178"/>
        <v>0.42403081390271846</v>
      </c>
      <c r="J100" s="828">
        <f>+J75/I75-1</f>
        <v>0.6283396966821897</v>
      </c>
      <c r="K100" s="848">
        <v>0.32</v>
      </c>
      <c r="L100" s="848">
        <v>0.33200000000000002</v>
      </c>
      <c r="M100" s="2179">
        <v>0.32</v>
      </c>
      <c r="N100" s="1768">
        <v>0.17</v>
      </c>
      <c r="O100" s="1769">
        <v>0.15</v>
      </c>
      <c r="P100" s="1769">
        <v>0.16</v>
      </c>
      <c r="Q100" s="1476"/>
      <c r="R100" s="1476"/>
      <c r="S100" s="1476"/>
      <c r="T100" s="943"/>
      <c r="U100" s="745"/>
      <c r="V100" s="746"/>
      <c r="W100" s="746"/>
      <c r="X100" s="746"/>
      <c r="Y100" s="746"/>
      <c r="Z100" s="746"/>
      <c r="AA100" s="746"/>
      <c r="AB100" s="746"/>
      <c r="AC100" s="746"/>
      <c r="AD100" s="746"/>
      <c r="AE100" s="746"/>
      <c r="AF100" s="746"/>
      <c r="AG100" s="746"/>
      <c r="AH100" s="746"/>
      <c r="AI100" s="746"/>
      <c r="AJ100" s="746"/>
      <c r="AK100" s="746"/>
      <c r="AL100" s="746"/>
      <c r="AM100" s="746"/>
      <c r="AN100" s="746"/>
      <c r="AO100" s="746"/>
      <c r="AP100" s="746"/>
      <c r="AQ100" s="746"/>
      <c r="AR100" s="746"/>
      <c r="AS100" s="746"/>
      <c r="AT100" s="746"/>
      <c r="AU100" s="746"/>
      <c r="AV100" s="746"/>
      <c r="AW100" s="746"/>
      <c r="AX100" s="746"/>
      <c r="AY100" s="943"/>
      <c r="AZ100" s="745"/>
      <c r="BA100" s="745"/>
      <c r="BB100" s="746"/>
      <c r="BC100" s="746"/>
      <c r="BD100" s="746"/>
      <c r="BE100" s="746"/>
      <c r="BF100" s="746"/>
      <c r="BG100" s="746"/>
      <c r="BH100" s="746"/>
      <c r="BI100" s="746"/>
      <c r="BJ100" s="746"/>
      <c r="BK100" s="746"/>
      <c r="BL100" s="746"/>
      <c r="BM100" s="746"/>
      <c r="BN100" s="746"/>
      <c r="BO100" s="746"/>
      <c r="BP100" s="746"/>
      <c r="BQ100" s="746"/>
      <c r="BR100" s="746"/>
      <c r="BS100" s="746"/>
      <c r="BT100" s="746"/>
      <c r="BU100" s="746"/>
      <c r="BV100" s="746"/>
      <c r="BW100" s="746"/>
      <c r="BX100" s="746"/>
      <c r="BY100" s="746"/>
      <c r="BZ100" s="746"/>
      <c r="CA100" s="746"/>
      <c r="CB100" s="746"/>
      <c r="CC100" s="746"/>
    </row>
    <row r="101" spans="2:81" s="743" customFormat="1" hidden="1" outlineLevel="1">
      <c r="B101" s="754" t="str">
        <f>+B95</f>
        <v>250ml golden bottle</v>
      </c>
      <c r="C101" s="336"/>
      <c r="D101" s="754" t="str">
        <f>+D95</f>
        <v>250ml 金瓶</v>
      </c>
      <c r="E101" s="744"/>
      <c r="F101" s="748"/>
      <c r="G101" s="748"/>
      <c r="H101" s="828">
        <f t="shared" si="178"/>
        <v>-0.29597099866920573</v>
      </c>
      <c r="I101" s="828">
        <f t="shared" si="178"/>
        <v>-0.32986676399373072</v>
      </c>
      <c r="J101" s="828">
        <f>J76/I76-1</f>
        <v>3.275615092756845E-2</v>
      </c>
      <c r="K101" s="848">
        <v>0</v>
      </c>
      <c r="L101" s="848">
        <v>-0.05</v>
      </c>
      <c r="M101" s="2179">
        <v>0.05</v>
      </c>
      <c r="N101" s="1768">
        <v>0.2</v>
      </c>
      <c r="O101" s="1769">
        <v>0.2</v>
      </c>
      <c r="P101" s="1769">
        <v>0.02</v>
      </c>
      <c r="Q101" s="1476"/>
      <c r="R101" s="1476"/>
      <c r="S101" s="1476"/>
      <c r="T101" s="943"/>
      <c r="U101" s="745"/>
      <c r="V101" s="746"/>
      <c r="W101" s="746"/>
      <c r="X101" s="746"/>
      <c r="Y101" s="746"/>
      <c r="Z101" s="746"/>
      <c r="AA101" s="746"/>
      <c r="AB101" s="746"/>
      <c r="AC101" s="746"/>
      <c r="AD101" s="746"/>
      <c r="AE101" s="746"/>
      <c r="AF101" s="746"/>
      <c r="AG101" s="746"/>
      <c r="AH101" s="746"/>
      <c r="AI101" s="746"/>
      <c r="AJ101" s="746"/>
      <c r="AK101" s="746"/>
      <c r="AL101" s="746"/>
      <c r="AM101" s="746"/>
      <c r="AN101" s="746"/>
      <c r="AO101" s="746"/>
      <c r="AP101" s="746"/>
      <c r="AQ101" s="746"/>
      <c r="AR101" s="746"/>
      <c r="AS101" s="746"/>
      <c r="AT101" s="746"/>
      <c r="AU101" s="746"/>
      <c r="AV101" s="746"/>
      <c r="AW101" s="746"/>
      <c r="AX101" s="746"/>
      <c r="AY101" s="943"/>
      <c r="AZ101" s="745"/>
      <c r="BA101" s="745"/>
      <c r="BB101" s="746"/>
      <c r="BC101" s="746"/>
      <c r="BD101" s="746"/>
      <c r="BE101" s="746"/>
      <c r="BF101" s="746"/>
      <c r="BG101" s="746"/>
      <c r="BH101" s="746"/>
      <c r="BI101" s="746"/>
      <c r="BJ101" s="746"/>
      <c r="BK101" s="746"/>
      <c r="BL101" s="746"/>
      <c r="BM101" s="746"/>
      <c r="BN101" s="746"/>
      <c r="BO101" s="746"/>
      <c r="BP101" s="746"/>
      <c r="BQ101" s="746"/>
      <c r="BR101" s="746"/>
      <c r="BS101" s="746"/>
      <c r="BT101" s="746"/>
      <c r="BU101" s="746"/>
      <c r="BV101" s="746"/>
      <c r="BW101" s="746"/>
      <c r="BX101" s="746"/>
      <c r="BY101" s="746"/>
      <c r="BZ101" s="746"/>
      <c r="CA101" s="746"/>
      <c r="CB101" s="746"/>
      <c r="CC101" s="746"/>
    </row>
    <row r="102" spans="2:81" s="743" customFormat="1" hidden="1" outlineLevel="1">
      <c r="B102" s="754" t="str">
        <f>+B96</f>
        <v>250ml golden can</v>
      </c>
      <c r="C102" s="336"/>
      <c r="D102" s="754" t="str">
        <f>+D96</f>
        <v>250ml 金罐</v>
      </c>
      <c r="E102" s="744"/>
      <c r="F102" s="748"/>
      <c r="G102" s="748"/>
      <c r="H102" s="828">
        <f t="shared" si="178"/>
        <v>0.95283714557022292</v>
      </c>
      <c r="I102" s="828">
        <f t="shared" si="178"/>
        <v>0.19177089661879387</v>
      </c>
      <c r="J102" s="828">
        <f>J77/I77-1</f>
        <v>-6.8161707814533345E-2</v>
      </c>
      <c r="K102" s="848">
        <v>-0.05</v>
      </c>
      <c r="L102" s="848">
        <v>0</v>
      </c>
      <c r="M102" s="2179">
        <v>0.05</v>
      </c>
      <c r="N102" s="1768">
        <v>0.28000000000000003</v>
      </c>
      <c r="O102" s="1769">
        <v>0.19</v>
      </c>
      <c r="P102" s="1769">
        <v>0.1</v>
      </c>
      <c r="Q102" s="1476"/>
      <c r="R102" s="1476"/>
      <c r="S102" s="1476"/>
      <c r="T102" s="943"/>
      <c r="U102" s="745"/>
      <c r="V102" s="746"/>
      <c r="W102" s="746"/>
      <c r="X102" s="746"/>
      <c r="Y102" s="746"/>
      <c r="Z102" s="746"/>
      <c r="AA102" s="746"/>
      <c r="AB102" s="746"/>
      <c r="AC102" s="746"/>
      <c r="AD102" s="746"/>
      <c r="AE102" s="746"/>
      <c r="AF102" s="746"/>
      <c r="AG102" s="746"/>
      <c r="AH102" s="746"/>
      <c r="AI102" s="746"/>
      <c r="AJ102" s="746"/>
      <c r="AK102" s="746"/>
      <c r="AL102" s="746"/>
      <c r="AM102" s="746"/>
      <c r="AN102" s="746"/>
      <c r="AO102" s="746"/>
      <c r="AP102" s="746"/>
      <c r="AQ102" s="746"/>
      <c r="AR102" s="746"/>
      <c r="AS102" s="746"/>
      <c r="AT102" s="746"/>
      <c r="AU102" s="746"/>
      <c r="AV102" s="746"/>
      <c r="AW102" s="746"/>
      <c r="AX102" s="746"/>
      <c r="AY102" s="943"/>
      <c r="AZ102" s="745"/>
      <c r="BA102" s="745"/>
      <c r="BB102" s="746"/>
      <c r="BC102" s="746"/>
      <c r="BD102" s="746"/>
      <c r="BE102" s="746"/>
      <c r="BF102" s="746"/>
      <c r="BG102" s="746"/>
      <c r="BH102" s="746"/>
      <c r="BI102" s="746"/>
      <c r="BJ102" s="746"/>
      <c r="BK102" s="746"/>
      <c r="BL102" s="746"/>
      <c r="BM102" s="746"/>
      <c r="BN102" s="746"/>
      <c r="BO102" s="746"/>
      <c r="BP102" s="746"/>
      <c r="BQ102" s="746"/>
      <c r="BR102" s="746"/>
      <c r="BS102" s="746"/>
      <c r="BT102" s="746"/>
      <c r="BU102" s="746"/>
      <c r="BV102" s="746"/>
      <c r="BW102" s="746"/>
      <c r="BX102" s="746"/>
      <c r="BY102" s="746"/>
      <c r="BZ102" s="746"/>
      <c r="CA102" s="746"/>
      <c r="CB102" s="746"/>
      <c r="CC102" s="746"/>
    </row>
    <row r="103" spans="2:81" s="743" customFormat="1" hidden="1" outlineLevel="1">
      <c r="B103" s="754" t="str">
        <f>+B97</f>
        <v>250ml golden tetra pak</v>
      </c>
      <c r="C103" s="336"/>
      <c r="D103" s="754" t="str">
        <f>+D97</f>
        <v>250ml 金砖</v>
      </c>
      <c r="E103" s="744"/>
      <c r="F103" s="748"/>
      <c r="G103" s="748"/>
      <c r="H103" s="828">
        <f t="shared" si="178"/>
        <v>3.4984926235668512E-2</v>
      </c>
      <c r="I103" s="828">
        <f t="shared" si="178"/>
        <v>0.14404042629286495</v>
      </c>
      <c r="J103" s="828">
        <f>J78/I78-1</f>
        <v>0.46204912722799052</v>
      </c>
      <c r="K103" s="828">
        <f t="shared" ref="K103:P103" si="192">K78/J78-1</f>
        <v>2.0136813008128751E-2</v>
      </c>
      <c r="L103" s="828">
        <f t="shared" si="192"/>
        <v>3.4942005387628372E-2</v>
      </c>
      <c r="M103" s="828">
        <f t="shared" si="192"/>
        <v>0.55636697247001132</v>
      </c>
      <c r="N103" s="1523">
        <f t="shared" si="192"/>
        <v>1.556796085117742</v>
      </c>
      <c r="O103" s="828">
        <f t="shared" si="192"/>
        <v>0.60956569655356652</v>
      </c>
      <c r="P103" s="828">
        <f t="shared" si="192"/>
        <v>-1.7884787989757345E-2</v>
      </c>
      <c r="Q103" s="1475"/>
      <c r="R103" s="1475"/>
      <c r="S103" s="1475"/>
      <c r="T103" s="943"/>
      <c r="U103" s="745"/>
      <c r="V103" s="746"/>
      <c r="W103" s="746"/>
      <c r="X103" s="746"/>
      <c r="Y103" s="746"/>
      <c r="Z103" s="746"/>
      <c r="AA103" s="746"/>
      <c r="AB103" s="746"/>
      <c r="AC103" s="746"/>
      <c r="AD103" s="746"/>
      <c r="AE103" s="746"/>
      <c r="AF103" s="746"/>
      <c r="AG103" s="746"/>
      <c r="AH103" s="746"/>
      <c r="AI103" s="746"/>
      <c r="AJ103" s="746"/>
      <c r="AK103" s="746"/>
      <c r="AL103" s="746"/>
      <c r="AM103" s="746"/>
      <c r="AN103" s="746"/>
      <c r="AO103" s="746"/>
      <c r="AP103" s="746"/>
      <c r="AQ103" s="746"/>
      <c r="AR103" s="746"/>
      <c r="AS103" s="746"/>
      <c r="AT103" s="746"/>
      <c r="AU103" s="746"/>
      <c r="AV103" s="746"/>
      <c r="AW103" s="746"/>
      <c r="AX103" s="746"/>
      <c r="AY103" s="943"/>
      <c r="AZ103" s="745"/>
      <c r="BA103" s="745"/>
      <c r="BB103" s="746"/>
      <c r="BC103" s="746"/>
      <c r="BD103" s="746"/>
      <c r="BE103" s="746"/>
      <c r="BF103" s="746"/>
      <c r="BG103" s="746"/>
      <c r="BH103" s="746"/>
      <c r="BI103" s="746"/>
      <c r="BJ103" s="746"/>
      <c r="BK103" s="746"/>
      <c r="BL103" s="746"/>
      <c r="BM103" s="746"/>
      <c r="BN103" s="746"/>
      <c r="BO103" s="746"/>
      <c r="BP103" s="746"/>
      <c r="BQ103" s="746"/>
      <c r="BR103" s="746"/>
      <c r="BS103" s="746"/>
      <c r="BT103" s="746"/>
      <c r="BU103" s="746"/>
      <c r="BV103" s="746"/>
      <c r="BW103" s="746"/>
      <c r="BX103" s="746"/>
      <c r="BY103" s="746"/>
      <c r="BZ103" s="746"/>
      <c r="CA103" s="746"/>
      <c r="CB103" s="746"/>
      <c r="CC103" s="746"/>
    </row>
    <row r="104" spans="2:81" s="743" customFormat="1" hidden="1" outlineLevel="1">
      <c r="B104" s="754" t="str">
        <f>+B98</f>
        <v>other energy drinks</v>
      </c>
      <c r="C104" s="336"/>
      <c r="D104" s="754" t="str">
        <f>+D98</f>
        <v>其他东鹏特饮</v>
      </c>
      <c r="E104" s="744"/>
      <c r="F104" s="748"/>
      <c r="G104" s="748"/>
      <c r="H104" s="828"/>
      <c r="I104" s="1134"/>
      <c r="J104" s="848"/>
      <c r="K104" s="848">
        <v>0.1</v>
      </c>
      <c r="L104" s="848">
        <v>0.1</v>
      </c>
      <c r="M104" s="2179">
        <v>0.2</v>
      </c>
      <c r="N104" s="1524">
        <v>0.2</v>
      </c>
      <c r="O104" s="848">
        <v>0.2</v>
      </c>
      <c r="P104" s="848">
        <v>0.2</v>
      </c>
      <c r="Q104" s="1476"/>
      <c r="R104" s="1476"/>
      <c r="S104" s="1476"/>
      <c r="T104" s="943"/>
      <c r="U104" s="745"/>
      <c r="V104" s="746"/>
      <c r="W104" s="746"/>
      <c r="X104" s="746"/>
      <c r="Y104" s="746"/>
      <c r="Z104" s="746"/>
      <c r="AA104" s="746"/>
      <c r="AB104" s="746"/>
      <c r="AC104" s="746"/>
      <c r="AD104" s="746"/>
      <c r="AE104" s="746"/>
      <c r="AF104" s="746"/>
      <c r="AG104" s="746"/>
      <c r="AH104" s="746"/>
      <c r="AI104" s="746"/>
      <c r="AJ104" s="746"/>
      <c r="AK104" s="746"/>
      <c r="AL104" s="746"/>
      <c r="AM104" s="746"/>
      <c r="AN104" s="746"/>
      <c r="AO104" s="746"/>
      <c r="AP104" s="746"/>
      <c r="AQ104" s="746"/>
      <c r="AR104" s="746"/>
      <c r="AS104" s="746"/>
      <c r="AT104" s="746"/>
      <c r="AU104" s="746"/>
      <c r="AV104" s="746"/>
      <c r="AW104" s="746"/>
      <c r="AX104" s="746"/>
      <c r="AY104" s="943"/>
      <c r="AZ104" s="745"/>
      <c r="BA104" s="745"/>
      <c r="BB104" s="746"/>
      <c r="BC104" s="746"/>
      <c r="BD104" s="746"/>
      <c r="BE104" s="746"/>
      <c r="BF104" s="746"/>
      <c r="BG104" s="746"/>
      <c r="BH104" s="746"/>
      <c r="BI104" s="746"/>
      <c r="BJ104" s="746"/>
      <c r="BK104" s="746"/>
      <c r="BL104" s="746"/>
      <c r="BM104" s="746"/>
      <c r="BN104" s="746"/>
      <c r="BO104" s="746"/>
      <c r="BP104" s="746"/>
      <c r="BQ104" s="746"/>
      <c r="BR104" s="746"/>
      <c r="BS104" s="746"/>
      <c r="BT104" s="746"/>
      <c r="BU104" s="746"/>
      <c r="BV104" s="746"/>
      <c r="BW104" s="746"/>
      <c r="BX104" s="746"/>
      <c r="BY104" s="746"/>
      <c r="BZ104" s="746"/>
      <c r="CA104" s="746"/>
      <c r="CB104" s="746"/>
      <c r="CC104" s="746"/>
    </row>
    <row r="105" spans="2:81" collapsed="1">
      <c r="B105" s="902" t="s">
        <v>904</v>
      </c>
      <c r="C105" s="902"/>
      <c r="D105" s="902"/>
      <c r="E105" s="903"/>
      <c r="F105" s="903"/>
      <c r="G105" s="1269"/>
      <c r="H105" s="903"/>
      <c r="I105" s="904"/>
      <c r="J105" s="904"/>
      <c r="K105" s="904"/>
      <c r="L105" s="904"/>
      <c r="M105" s="904"/>
      <c r="N105" s="1517"/>
      <c r="O105" s="904"/>
      <c r="P105" s="904"/>
      <c r="Q105" s="904"/>
      <c r="R105" s="904"/>
      <c r="S105" s="904"/>
      <c r="U105" s="1111"/>
      <c r="V105" s="1111"/>
      <c r="W105" s="1111"/>
      <c r="X105" s="1111"/>
      <c r="Y105" s="1111"/>
      <c r="Z105" s="1111"/>
      <c r="AA105" s="1111"/>
      <c r="AB105" s="1111"/>
      <c r="AC105" s="1111"/>
      <c r="AD105" s="1111"/>
      <c r="AE105" s="1111"/>
      <c r="AF105" s="1111"/>
      <c r="AG105" s="1111"/>
      <c r="AH105" s="1111"/>
      <c r="AI105" s="1111"/>
      <c r="AJ105" s="1111"/>
      <c r="AK105" s="1111"/>
      <c r="AL105" s="1111"/>
      <c r="AM105" s="1111"/>
      <c r="AN105" s="1111"/>
      <c r="AO105" s="1111"/>
      <c r="AP105" s="1111"/>
      <c r="AQ105" s="1111"/>
      <c r="AR105" s="1111"/>
      <c r="AS105" s="1111"/>
      <c r="AT105" s="1111"/>
      <c r="AU105" s="1111"/>
      <c r="AV105" s="1111"/>
      <c r="AW105" s="1111"/>
      <c r="AX105" s="1111"/>
    </row>
    <row r="106" spans="2:81">
      <c r="B106" s="307" t="s">
        <v>1131</v>
      </c>
      <c r="C106" s="307"/>
      <c r="D106" s="307" t="s">
        <v>1130</v>
      </c>
      <c r="E106" s="307"/>
      <c r="F106" s="348"/>
      <c r="G106" s="348">
        <v>542.077</v>
      </c>
      <c r="H106" s="348">
        <v>848.59699999999998</v>
      </c>
      <c r="I106" s="348">
        <v>1052.8499999999999</v>
      </c>
      <c r="J106" s="348">
        <v>1508.2639999999999</v>
      </c>
      <c r="K106" s="348">
        <v>1859.431</v>
      </c>
      <c r="L106" s="348">
        <v>2384.5500000000002</v>
      </c>
      <c r="M106" s="1923">
        <v>3083.42</v>
      </c>
      <c r="N106" s="1519">
        <f>M106*(1+N107)</f>
        <v>3730.9382000000001</v>
      </c>
      <c r="O106" s="349">
        <f>N106*(1+O107)</f>
        <v>4365.1976939999995</v>
      </c>
      <c r="P106" s="349">
        <f>O106*(1+P107)</f>
        <v>4976.32537116</v>
      </c>
      <c r="Q106" s="867"/>
      <c r="R106" s="867"/>
      <c r="S106" s="867"/>
      <c r="U106" s="740"/>
      <c r="V106" s="484"/>
      <c r="W106" s="484"/>
      <c r="X106" s="484"/>
      <c r="Y106" s="484"/>
      <c r="Z106" s="1202">
        <v>940.38337999999999</v>
      </c>
      <c r="AA106" s="756">
        <f>K106-Z106</f>
        <v>919.04762000000005</v>
      </c>
      <c r="AB106" s="1202">
        <v>1207.0437899999999</v>
      </c>
      <c r="AC106" s="756">
        <f>L106-AB106</f>
        <v>1177.5062100000002</v>
      </c>
      <c r="AD106" s="1202">
        <v>1207.0437899999999</v>
      </c>
      <c r="AE106" s="756">
        <f>M106-AD106</f>
        <v>1876.3762100000001</v>
      </c>
      <c r="AF106" s="756"/>
      <c r="AG106" s="756"/>
      <c r="AH106" s="756"/>
      <c r="AI106" s="756"/>
      <c r="AJ106" s="756"/>
      <c r="AK106" s="756"/>
      <c r="AL106" s="756"/>
      <c r="AM106" s="756"/>
      <c r="AN106" s="756"/>
      <c r="AO106" s="756"/>
      <c r="AP106" s="756"/>
      <c r="AQ106" s="756"/>
      <c r="AR106" s="756"/>
      <c r="AS106" s="756"/>
      <c r="AT106" s="756"/>
      <c r="AU106" s="756"/>
      <c r="AV106" s="756"/>
      <c r="AW106" s="484"/>
      <c r="AX106" s="484"/>
      <c r="AZ106" s="740"/>
      <c r="BA106" s="740"/>
      <c r="BB106" s="484"/>
      <c r="BC106" s="484"/>
      <c r="BD106" s="484"/>
      <c r="BE106" s="484"/>
      <c r="BF106" s="484"/>
      <c r="BG106" s="484"/>
      <c r="BH106" s="484"/>
      <c r="BI106" s="484"/>
      <c r="BJ106" s="484"/>
      <c r="BK106" s="484"/>
      <c r="BL106" s="484"/>
      <c r="BM106" s="484"/>
      <c r="BN106" s="484"/>
      <c r="BO106" s="484"/>
      <c r="BP106" s="484"/>
      <c r="BQ106" s="484"/>
      <c r="BR106" s="484"/>
      <c r="BS106" s="484"/>
      <c r="BT106" s="484"/>
      <c r="BU106" s="484"/>
      <c r="BV106" s="484"/>
      <c r="BW106" s="484"/>
      <c r="BX106" s="484"/>
      <c r="BY106" s="484"/>
      <c r="BZ106" s="484"/>
      <c r="CA106" s="484"/>
      <c r="CB106" s="484"/>
      <c r="CC106" s="484"/>
    </row>
    <row r="107" spans="2:81">
      <c r="B107" s="336" t="s">
        <v>1320</v>
      </c>
      <c r="C107" s="336"/>
      <c r="D107" s="336" t="s">
        <v>1321</v>
      </c>
      <c r="E107" s="307"/>
      <c r="F107" s="348"/>
      <c r="G107" s="348"/>
      <c r="H107" s="338">
        <f t="shared" ref="H107:M107" si="193">H106/G106-1</f>
        <v>0.56545472322197776</v>
      </c>
      <c r="I107" s="338">
        <f t="shared" si="193"/>
        <v>0.24069493528730357</v>
      </c>
      <c r="J107" s="338">
        <f t="shared" si="193"/>
        <v>0.4325535451393836</v>
      </c>
      <c r="K107" s="338">
        <f t="shared" si="193"/>
        <v>0.23282860295014673</v>
      </c>
      <c r="L107" s="1283">
        <f t="shared" si="193"/>
        <v>0.28240843569887786</v>
      </c>
      <c r="M107" s="338">
        <f t="shared" si="193"/>
        <v>0.29308255226352964</v>
      </c>
      <c r="N107" s="1693">
        <v>0.21</v>
      </c>
      <c r="O107" s="1694">
        <v>0.17</v>
      </c>
      <c r="P107" s="1694">
        <v>0.14000000000000001</v>
      </c>
      <c r="Q107" s="1277"/>
      <c r="R107" s="1277"/>
      <c r="S107" s="1277"/>
      <c r="U107" s="740"/>
      <c r="V107" s="484"/>
      <c r="W107" s="484"/>
      <c r="X107" s="484"/>
      <c r="Y107" s="484"/>
      <c r="Z107" s="484"/>
      <c r="AA107" s="484"/>
      <c r="AB107" s="1295">
        <f>AB106/Z106-1</f>
        <v>0.28356563468826934</v>
      </c>
      <c r="AC107" s="1295">
        <f>AC106/AA106-1</f>
        <v>0.28122437224743613</v>
      </c>
      <c r="AD107" s="1295">
        <f>AD106/AB106-1</f>
        <v>0</v>
      </c>
      <c r="AE107" s="1295">
        <f>AE106/AC106-1</f>
        <v>0.59351703971055891</v>
      </c>
      <c r="AF107" s="1295"/>
      <c r="AG107" s="1295"/>
      <c r="AH107" s="1295"/>
      <c r="AI107" s="1295"/>
      <c r="AJ107" s="1295"/>
      <c r="AK107" s="1295"/>
      <c r="AL107" s="1295"/>
      <c r="AM107" s="1295"/>
      <c r="AN107" s="1295"/>
      <c r="AO107" s="1295"/>
      <c r="AP107" s="1295"/>
      <c r="AQ107" s="1295"/>
      <c r="AR107" s="1295"/>
      <c r="AS107" s="1295"/>
      <c r="AT107" s="1295"/>
      <c r="AU107" s="1295"/>
      <c r="AV107" s="1295"/>
      <c r="AW107" s="484"/>
      <c r="AX107" s="484"/>
      <c r="AZ107" s="740"/>
      <c r="BA107" s="740"/>
      <c r="BB107" s="484"/>
      <c r="BC107" s="484"/>
      <c r="BD107" s="484"/>
      <c r="BE107" s="484"/>
      <c r="BF107" s="484"/>
      <c r="BG107" s="484"/>
      <c r="BH107" s="484"/>
      <c r="BI107" s="484"/>
      <c r="BJ107" s="484"/>
      <c r="BK107" s="484"/>
      <c r="BL107" s="484"/>
      <c r="BM107" s="484"/>
      <c r="BN107" s="484"/>
      <c r="BO107" s="484"/>
      <c r="BP107" s="484"/>
      <c r="BQ107" s="484"/>
      <c r="BR107" s="484"/>
      <c r="BS107" s="484"/>
      <c r="BT107" s="484"/>
      <c r="BU107" s="484"/>
      <c r="BV107" s="484"/>
      <c r="BW107" s="484"/>
      <c r="BX107" s="484"/>
      <c r="BY107" s="484"/>
      <c r="BZ107" s="484"/>
      <c r="CA107" s="484"/>
      <c r="CB107" s="484"/>
      <c r="CC107" s="484"/>
    </row>
    <row r="108" spans="2:81" hidden="1" outlineLevel="1">
      <c r="B108" s="343" t="s">
        <v>1125</v>
      </c>
      <c r="C108" s="307"/>
      <c r="D108" s="343" t="s">
        <v>1121</v>
      </c>
      <c r="E108" s="307"/>
      <c r="F108" s="348"/>
      <c r="G108" s="348">
        <v>185.67400000000001</v>
      </c>
      <c r="H108" s="348">
        <v>504.28399999999999</v>
      </c>
      <c r="I108" s="348">
        <v>734.154</v>
      </c>
      <c r="J108" s="1132">
        <f>J106-SUM(J109:J112)</f>
        <v>1184.1431264856469</v>
      </c>
      <c r="K108" s="349">
        <f t="shared" ref="K108:P108" si="194">K106-K109-K110-K111-K112</f>
        <v>1539.9948803204575</v>
      </c>
      <c r="L108" s="349">
        <f t="shared" si="194"/>
        <v>2072.8358785194555</v>
      </c>
      <c r="M108" s="349">
        <f>M106-M109-M110-M111-M112</f>
        <v>2736.993662062599</v>
      </c>
      <c r="N108" s="1519">
        <f t="shared" si="194"/>
        <v>3226.8129300029505</v>
      </c>
      <c r="O108" s="349">
        <f t="shared" si="194"/>
        <v>3700.0711227860329</v>
      </c>
      <c r="P108" s="349">
        <f t="shared" si="194"/>
        <v>4293.8837240681778</v>
      </c>
      <c r="Q108" s="867"/>
      <c r="R108" s="867"/>
      <c r="S108" s="867"/>
      <c r="U108" s="740"/>
      <c r="V108" s="484"/>
      <c r="W108" s="484"/>
      <c r="X108" s="484"/>
      <c r="Y108" s="484"/>
      <c r="Z108" s="484"/>
      <c r="AA108" s="484"/>
      <c r="AB108" s="484"/>
      <c r="AC108" s="484"/>
      <c r="AD108" s="484"/>
      <c r="AE108" s="484"/>
      <c r="AF108" s="484"/>
      <c r="AG108" s="484"/>
      <c r="AH108" s="484"/>
      <c r="AI108" s="484"/>
      <c r="AJ108" s="484"/>
      <c r="AK108" s="484"/>
      <c r="AL108" s="484"/>
      <c r="AM108" s="484"/>
      <c r="AN108" s="484"/>
      <c r="AO108" s="484"/>
      <c r="AP108" s="484"/>
      <c r="AQ108" s="484"/>
      <c r="AR108" s="484"/>
      <c r="AS108" s="484"/>
      <c r="AT108" s="484"/>
      <c r="AU108" s="484"/>
      <c r="AV108" s="484"/>
      <c r="AW108" s="484"/>
      <c r="AX108" s="484"/>
      <c r="AZ108" s="740"/>
      <c r="BA108" s="740"/>
      <c r="BB108" s="484"/>
      <c r="BC108" s="484"/>
      <c r="BD108" s="484"/>
      <c r="BE108" s="484"/>
      <c r="BF108" s="484"/>
      <c r="BG108" s="484"/>
      <c r="BH108" s="484"/>
      <c r="BI108" s="484"/>
      <c r="BJ108" s="484"/>
      <c r="BK108" s="484"/>
      <c r="BL108" s="484"/>
      <c r="BM108" s="484"/>
      <c r="BN108" s="484"/>
      <c r="BO108" s="484"/>
      <c r="BP108" s="484"/>
      <c r="BQ108" s="484"/>
      <c r="BR108" s="484"/>
      <c r="BS108" s="484"/>
      <c r="BT108" s="484"/>
      <c r="BU108" s="484"/>
      <c r="BV108" s="484"/>
      <c r="BW108" s="484"/>
      <c r="BX108" s="484"/>
      <c r="BY108" s="484"/>
      <c r="BZ108" s="484"/>
      <c r="CA108" s="484"/>
      <c r="CB108" s="484"/>
      <c r="CC108" s="484"/>
    </row>
    <row r="109" spans="2:81" hidden="1" outlineLevel="1">
      <c r="B109" s="343" t="s">
        <v>1124</v>
      </c>
      <c r="C109" s="307"/>
      <c r="D109" s="343" t="s">
        <v>1120</v>
      </c>
      <c r="E109" s="307"/>
      <c r="F109" s="348"/>
      <c r="G109" s="348">
        <v>298.15800000000002</v>
      </c>
      <c r="H109" s="348">
        <v>226.744</v>
      </c>
      <c r="I109" s="348">
        <v>174.238</v>
      </c>
      <c r="J109" s="349">
        <f>J76/J140*1000</f>
        <v>179.94536622531763</v>
      </c>
      <c r="K109" s="349">
        <f t="shared" ref="K109:O112" si="195">K76/K140*1000</f>
        <v>179.94536622531763</v>
      </c>
      <c r="L109" s="349">
        <f t="shared" si="195"/>
        <v>170.94809791405174</v>
      </c>
      <c r="M109" s="349">
        <f>M76/M140*1000</f>
        <v>179.49550280975436</v>
      </c>
      <c r="N109" s="1519">
        <f t="shared" si="195"/>
        <v>215.39460337170519</v>
      </c>
      <c r="O109" s="349">
        <f t="shared" si="195"/>
        <v>258.47352404604624</v>
      </c>
      <c r="P109" s="349">
        <f t="shared" ref="P109:P112" si="196">P76/P140*1000</f>
        <v>263.64299452696713</v>
      </c>
      <c r="Q109" s="867"/>
      <c r="R109" s="867"/>
      <c r="S109" s="867"/>
      <c r="U109" s="740"/>
      <c r="V109" s="484"/>
      <c r="W109" s="484"/>
      <c r="X109" s="484"/>
      <c r="Y109" s="484"/>
      <c r="Z109" s="484"/>
      <c r="AA109" s="484"/>
      <c r="AB109" s="484"/>
      <c r="AC109" s="484"/>
      <c r="AD109" s="484"/>
      <c r="AE109" s="484"/>
      <c r="AF109" s="484"/>
      <c r="AG109" s="484"/>
      <c r="AH109" s="484"/>
      <c r="AI109" s="484"/>
      <c r="AJ109" s="484"/>
      <c r="AK109" s="484"/>
      <c r="AL109" s="484"/>
      <c r="AM109" s="484"/>
      <c r="AN109" s="484"/>
      <c r="AO109" s="484"/>
      <c r="AP109" s="484"/>
      <c r="AQ109" s="484"/>
      <c r="AR109" s="484"/>
      <c r="AS109" s="484"/>
      <c r="AT109" s="484"/>
      <c r="AU109" s="484"/>
      <c r="AV109" s="484"/>
      <c r="AW109" s="484"/>
      <c r="AX109" s="484"/>
      <c r="AZ109" s="740"/>
      <c r="BA109" s="740"/>
      <c r="BB109" s="484"/>
      <c r="BC109" s="484"/>
      <c r="BD109" s="484"/>
      <c r="BE109" s="484"/>
      <c r="BF109" s="484"/>
      <c r="BG109" s="484"/>
      <c r="BH109" s="484"/>
      <c r="BI109" s="484"/>
      <c r="BJ109" s="484"/>
      <c r="BK109" s="484"/>
      <c r="BL109" s="484"/>
      <c r="BM109" s="484"/>
      <c r="BN109" s="484"/>
      <c r="BO109" s="484"/>
      <c r="BP109" s="484"/>
      <c r="BQ109" s="484"/>
      <c r="BR109" s="484"/>
      <c r="BS109" s="484"/>
      <c r="BT109" s="484"/>
      <c r="BU109" s="484"/>
      <c r="BV109" s="484"/>
      <c r="BW109" s="484"/>
      <c r="BX109" s="484"/>
      <c r="BY109" s="484"/>
      <c r="BZ109" s="484"/>
      <c r="CA109" s="484"/>
      <c r="CB109" s="484"/>
      <c r="CC109" s="484"/>
    </row>
    <row r="110" spans="2:81" hidden="1" outlineLevel="1">
      <c r="B110" s="343" t="s">
        <v>1126</v>
      </c>
      <c r="C110" s="307"/>
      <c r="D110" s="343" t="s">
        <v>1122</v>
      </c>
      <c r="E110" s="307"/>
      <c r="F110" s="348"/>
      <c r="G110" s="348">
        <v>37.837000000000003</v>
      </c>
      <c r="H110" s="348">
        <v>95.012</v>
      </c>
      <c r="I110" s="348">
        <v>116.345</v>
      </c>
      <c r="J110" s="349">
        <f>J77/J141*1000</f>
        <v>108.41472610431809</v>
      </c>
      <c r="K110" s="349">
        <f t="shared" si="195"/>
        <v>102.9939897991022</v>
      </c>
      <c r="L110" s="349">
        <f t="shared" si="195"/>
        <v>102.9939897991022</v>
      </c>
      <c r="M110" s="349">
        <f>M77/M141*1000</f>
        <v>108.14368928905732</v>
      </c>
      <c r="N110" s="1519">
        <f t="shared" si="195"/>
        <v>138.42392228999336</v>
      </c>
      <c r="O110" s="349">
        <f t="shared" si="195"/>
        <v>164.72446752509208</v>
      </c>
      <c r="P110" s="349">
        <f t="shared" si="196"/>
        <v>181.19691427760134</v>
      </c>
      <c r="Q110" s="867"/>
      <c r="R110" s="867"/>
      <c r="S110" s="867"/>
      <c r="U110" s="740"/>
      <c r="V110" s="484"/>
      <c r="W110" s="484"/>
      <c r="X110" s="484"/>
      <c r="Y110" s="484"/>
      <c r="Z110" s="484"/>
      <c r="AA110" s="484"/>
      <c r="AB110" s="484"/>
      <c r="AC110" s="484"/>
      <c r="AD110" s="484"/>
      <c r="AE110" s="484"/>
      <c r="AF110" s="484"/>
      <c r="AG110" s="484"/>
      <c r="AH110" s="484"/>
      <c r="AI110" s="484"/>
      <c r="AJ110" s="484"/>
      <c r="AK110" s="484"/>
      <c r="AL110" s="484"/>
      <c r="AM110" s="484"/>
      <c r="AN110" s="484"/>
      <c r="AO110" s="484"/>
      <c r="AP110" s="484"/>
      <c r="AQ110" s="484"/>
      <c r="AR110" s="484"/>
      <c r="AS110" s="484"/>
      <c r="AT110" s="484"/>
      <c r="AU110" s="484"/>
      <c r="AV110" s="484"/>
      <c r="AW110" s="484"/>
      <c r="AX110" s="484"/>
      <c r="AZ110" s="740"/>
      <c r="BA110" s="740"/>
      <c r="BB110" s="484"/>
      <c r="BC110" s="484"/>
      <c r="BD110" s="484"/>
      <c r="BE110" s="484"/>
      <c r="BF110" s="484"/>
      <c r="BG110" s="484"/>
      <c r="BH110" s="484"/>
      <c r="BI110" s="484"/>
      <c r="BJ110" s="484"/>
      <c r="BK110" s="484"/>
      <c r="BL110" s="484"/>
      <c r="BM110" s="484"/>
      <c r="BN110" s="484"/>
      <c r="BO110" s="484"/>
      <c r="BP110" s="484"/>
      <c r="BQ110" s="484"/>
      <c r="BR110" s="484"/>
      <c r="BS110" s="484"/>
      <c r="BT110" s="484"/>
      <c r="BU110" s="484"/>
      <c r="BV110" s="484"/>
      <c r="BW110" s="484"/>
      <c r="BX110" s="484"/>
      <c r="BY110" s="484"/>
      <c r="BZ110" s="484"/>
      <c r="CA110" s="484"/>
      <c r="CB110" s="484"/>
      <c r="CC110" s="484"/>
    </row>
    <row r="111" spans="2:81" hidden="1" outlineLevel="1">
      <c r="B111" s="343" t="s">
        <v>1127</v>
      </c>
      <c r="C111" s="307"/>
      <c r="D111" s="343" t="s">
        <v>1123</v>
      </c>
      <c r="E111" s="307"/>
      <c r="F111" s="348"/>
      <c r="G111" s="348">
        <v>20.408999999999999</v>
      </c>
      <c r="H111" s="348">
        <v>22.556000000000001</v>
      </c>
      <c r="I111" s="348">
        <v>24.47</v>
      </c>
      <c r="J111" s="349">
        <f>J78/J142*1000</f>
        <v>35.776342143268927</v>
      </c>
      <c r="K111" s="349">
        <f t="shared" si="195"/>
        <v>36.49676365512277</v>
      </c>
      <c r="L111" s="349">
        <f t="shared" si="195"/>
        <v>37.772033767391072</v>
      </c>
      <c r="M111" s="349">
        <f>M78/M142*1000</f>
        <v>58.787145838589474</v>
      </c>
      <c r="N111" s="1519">
        <f>N78/N142*1000</f>
        <v>150.30674433535134</v>
      </c>
      <c r="O111" s="349">
        <f t="shared" si="195"/>
        <v>241.92857964282862</v>
      </c>
      <c r="P111" s="349">
        <f t="shared" si="196"/>
        <v>237.60173828725351</v>
      </c>
      <c r="Q111" s="867"/>
      <c r="R111" s="867"/>
      <c r="S111" s="867"/>
      <c r="U111" s="740"/>
      <c r="V111" s="484"/>
      <c r="W111" s="484"/>
      <c r="X111" s="484"/>
      <c r="Y111" s="484"/>
      <c r="Z111" s="484"/>
      <c r="AA111" s="484"/>
      <c r="AB111" s="484"/>
      <c r="AC111" s="484"/>
      <c r="AD111" s="484"/>
      <c r="AE111" s="484"/>
      <c r="AF111" s="484"/>
      <c r="AG111" s="484"/>
      <c r="AH111" s="484"/>
      <c r="AI111" s="484"/>
      <c r="AJ111" s="484"/>
      <c r="AK111" s="484"/>
      <c r="AL111" s="484"/>
      <c r="AM111" s="484"/>
      <c r="AN111" s="484"/>
      <c r="AO111" s="484"/>
      <c r="AP111" s="484"/>
      <c r="AQ111" s="484"/>
      <c r="AR111" s="484"/>
      <c r="AS111" s="484"/>
      <c r="AT111" s="484"/>
      <c r="AU111" s="484"/>
      <c r="AV111" s="484"/>
      <c r="AW111" s="484"/>
      <c r="AX111" s="484"/>
      <c r="AZ111" s="740"/>
      <c r="BA111" s="740"/>
      <c r="BB111" s="484"/>
      <c r="BC111" s="484"/>
      <c r="BD111" s="484"/>
      <c r="BE111" s="484"/>
      <c r="BF111" s="484"/>
      <c r="BG111" s="484"/>
      <c r="BH111" s="484"/>
      <c r="BI111" s="484"/>
      <c r="BJ111" s="484"/>
      <c r="BK111" s="484"/>
      <c r="BL111" s="484"/>
      <c r="BM111" s="484"/>
      <c r="BN111" s="484"/>
      <c r="BO111" s="484"/>
      <c r="BP111" s="484"/>
      <c r="BQ111" s="484"/>
      <c r="BR111" s="484"/>
      <c r="BS111" s="484"/>
      <c r="BT111" s="484"/>
      <c r="BU111" s="484"/>
      <c r="BV111" s="484"/>
      <c r="BW111" s="484"/>
      <c r="BX111" s="484"/>
      <c r="BY111" s="484"/>
      <c r="BZ111" s="484"/>
      <c r="CA111" s="484"/>
      <c r="CB111" s="484"/>
      <c r="CC111" s="484"/>
    </row>
    <row r="112" spans="2:81" hidden="1" outlineLevel="1">
      <c r="B112" s="343" t="s">
        <v>1128</v>
      </c>
      <c r="C112" s="307"/>
      <c r="D112" s="343" t="s">
        <v>1271</v>
      </c>
      <c r="E112" s="307"/>
      <c r="F112" s="348"/>
      <c r="G112" s="348">
        <v>0</v>
      </c>
      <c r="H112" s="348">
        <v>0</v>
      </c>
      <c r="I112" s="348">
        <v>3.6419999999999999</v>
      </c>
      <c r="J112" s="349">
        <f>J79/J143*1000</f>
        <v>-1.5560958551695701E-2</v>
      </c>
      <c r="K112" s="349">
        <f t="shared" si="195"/>
        <v>0</v>
      </c>
      <c r="L112" s="349">
        <f t="shared" si="195"/>
        <v>0</v>
      </c>
      <c r="M112" s="349">
        <f>M79/M143*1000</f>
        <v>0</v>
      </c>
      <c r="N112" s="1519">
        <f t="shared" si="195"/>
        <v>0</v>
      </c>
      <c r="O112" s="349">
        <f t="shared" si="195"/>
        <v>0</v>
      </c>
      <c r="P112" s="349">
        <f t="shared" si="196"/>
        <v>0</v>
      </c>
      <c r="Q112" s="867"/>
      <c r="R112" s="867"/>
      <c r="S112" s="867"/>
      <c r="U112" s="740"/>
      <c r="V112" s="484"/>
      <c r="W112" s="484"/>
      <c r="X112" s="484"/>
      <c r="Y112" s="484"/>
      <c r="Z112" s="484"/>
      <c r="AA112" s="484"/>
      <c r="AB112" s="484"/>
      <c r="AC112" s="484"/>
      <c r="AD112" s="484"/>
      <c r="AE112" s="484"/>
      <c r="AF112" s="484"/>
      <c r="AG112" s="484"/>
      <c r="AH112" s="484"/>
      <c r="AI112" s="484"/>
      <c r="AJ112" s="484"/>
      <c r="AK112" s="484"/>
      <c r="AL112" s="484"/>
      <c r="AM112" s="484"/>
      <c r="AN112" s="484"/>
      <c r="AO112" s="484"/>
      <c r="AP112" s="484"/>
      <c r="AQ112" s="484"/>
      <c r="AR112" s="484"/>
      <c r="AS112" s="484"/>
      <c r="AT112" s="484"/>
      <c r="AU112" s="484"/>
      <c r="AV112" s="484"/>
      <c r="AW112" s="484"/>
      <c r="AX112" s="484"/>
      <c r="AZ112" s="740"/>
      <c r="BA112" s="740"/>
      <c r="BB112" s="484"/>
      <c r="BC112" s="484"/>
      <c r="BD112" s="484"/>
      <c r="BE112" s="484"/>
      <c r="BF112" s="484"/>
      <c r="BG112" s="484"/>
      <c r="BH112" s="484"/>
      <c r="BI112" s="484"/>
      <c r="BJ112" s="484"/>
      <c r="BK112" s="484"/>
      <c r="BL112" s="484"/>
      <c r="BM112" s="484"/>
      <c r="BN112" s="484"/>
      <c r="BO112" s="484"/>
      <c r="BP112" s="484"/>
      <c r="BQ112" s="484"/>
      <c r="BR112" s="484"/>
      <c r="BS112" s="484"/>
      <c r="BT112" s="484"/>
      <c r="BU112" s="484"/>
      <c r="BV112" s="484"/>
      <c r="BW112" s="484"/>
      <c r="BX112" s="484"/>
      <c r="BY112" s="484"/>
      <c r="BZ112" s="484"/>
      <c r="CA112" s="484"/>
      <c r="CB112" s="484"/>
      <c r="CC112" s="484"/>
    </row>
    <row r="113" spans="2:81" ht="14.25" customHeight="1" collapsed="1">
      <c r="B113" s="307" t="s">
        <v>1133</v>
      </c>
      <c r="C113" s="307"/>
      <c r="D113" s="307" t="s">
        <v>1132</v>
      </c>
      <c r="E113" s="307"/>
      <c r="F113" s="348"/>
      <c r="G113" s="348">
        <v>533.73500000000001</v>
      </c>
      <c r="H113" s="348">
        <v>869.71299999999997</v>
      </c>
      <c r="I113" s="348">
        <v>1081.5329999999999</v>
      </c>
      <c r="J113" s="348">
        <v>1515.126</v>
      </c>
      <c r="K113" s="348">
        <v>1871.8979999999999</v>
      </c>
      <c r="L113" s="348">
        <v>2428.5700000000002</v>
      </c>
      <c r="M113" s="1923">
        <v>3254.5219999999999</v>
      </c>
      <c r="N113" s="1519"/>
      <c r="O113" s="349"/>
      <c r="P113" s="349"/>
      <c r="Q113" s="867"/>
      <c r="R113" s="867"/>
      <c r="S113" s="867"/>
      <c r="U113" s="740"/>
      <c r="V113" s="484"/>
      <c r="W113" s="484"/>
      <c r="X113" s="484"/>
      <c r="Y113" s="484"/>
      <c r="Z113" s="484"/>
      <c r="AA113" s="484"/>
      <c r="AB113" s="484"/>
      <c r="AC113" s="484"/>
      <c r="AD113" s="484"/>
      <c r="AE113" s="484"/>
      <c r="AF113" s="484"/>
      <c r="AG113" s="484"/>
      <c r="AH113" s="484"/>
      <c r="AI113" s="484"/>
      <c r="AJ113" s="484"/>
      <c r="AK113" s="484"/>
      <c r="AL113" s="484"/>
      <c r="AM113" s="484"/>
      <c r="AN113" s="484"/>
      <c r="AO113" s="484"/>
      <c r="AP113" s="484"/>
      <c r="AQ113" s="484"/>
      <c r="AR113" s="484"/>
      <c r="AS113" s="484"/>
      <c r="AT113" s="484"/>
      <c r="AU113" s="484"/>
      <c r="AV113" s="484"/>
      <c r="AW113" s="484"/>
      <c r="AX113" s="484"/>
      <c r="AZ113" s="740"/>
      <c r="BA113" s="740"/>
      <c r="BB113" s="484"/>
      <c r="BC113" s="484"/>
      <c r="BD113" s="484"/>
      <c r="BE113" s="484"/>
      <c r="BF113" s="484"/>
      <c r="BG113" s="484"/>
      <c r="BH113" s="484"/>
      <c r="BI113" s="484"/>
      <c r="BJ113" s="484"/>
      <c r="BK113" s="484"/>
      <c r="BL113" s="484"/>
      <c r="BM113" s="484"/>
      <c r="BN113" s="484"/>
      <c r="BO113" s="484"/>
      <c r="BP113" s="484"/>
      <c r="BQ113" s="484"/>
      <c r="BR113" s="484"/>
      <c r="BS113" s="484"/>
      <c r="BT113" s="484"/>
      <c r="BU113" s="484"/>
      <c r="BV113" s="484"/>
      <c r="BW113" s="484"/>
      <c r="BX113" s="484"/>
      <c r="BY113" s="484"/>
      <c r="BZ113" s="484"/>
      <c r="CA113" s="484"/>
      <c r="CB113" s="484"/>
      <c r="CC113" s="484"/>
    </row>
    <row r="114" spans="2:81" hidden="1" outlineLevel="1">
      <c r="B114" s="343" t="str">
        <f>+B108</f>
        <v>500ml golden bottle</v>
      </c>
      <c r="C114" s="307"/>
      <c r="D114" s="343" t="str">
        <f>+D108</f>
        <v>500ml 金瓶</v>
      </c>
      <c r="E114" s="307"/>
      <c r="F114" s="348"/>
      <c r="G114" s="348">
        <v>186.97800000000001</v>
      </c>
      <c r="H114" s="348">
        <v>515.60599999999999</v>
      </c>
      <c r="I114" s="348">
        <v>760.88699999999994</v>
      </c>
      <c r="J114" s="349"/>
      <c r="K114" s="349"/>
      <c r="L114" s="349"/>
      <c r="M114" s="349"/>
      <c r="N114" s="1519"/>
      <c r="O114" s="349"/>
      <c r="P114" s="349"/>
      <c r="Q114" s="867"/>
      <c r="R114" s="867"/>
      <c r="S114" s="867"/>
      <c r="U114" s="740"/>
      <c r="V114" s="484"/>
      <c r="W114" s="484"/>
      <c r="X114" s="484"/>
      <c r="Y114" s="484"/>
      <c r="Z114" s="484"/>
      <c r="AA114" s="484"/>
      <c r="AB114" s="484"/>
      <c r="AC114" s="484"/>
      <c r="AD114" s="484"/>
      <c r="AE114" s="484"/>
      <c r="AF114" s="484"/>
      <c r="AG114" s="484"/>
      <c r="AH114" s="484"/>
      <c r="AI114" s="484"/>
      <c r="AJ114" s="484"/>
      <c r="AK114" s="484"/>
      <c r="AL114" s="484"/>
      <c r="AM114" s="484"/>
      <c r="AN114" s="484"/>
      <c r="AO114" s="484"/>
      <c r="AP114" s="484"/>
      <c r="AQ114" s="484"/>
      <c r="AR114" s="484"/>
      <c r="AS114" s="484"/>
      <c r="AT114" s="484"/>
      <c r="AU114" s="484"/>
      <c r="AV114" s="484"/>
      <c r="AW114" s="484"/>
      <c r="AX114" s="484"/>
      <c r="AZ114" s="740"/>
      <c r="BA114" s="740"/>
      <c r="BB114" s="484"/>
      <c r="BC114" s="484"/>
      <c r="BD114" s="484"/>
      <c r="BE114" s="484"/>
      <c r="BF114" s="484"/>
      <c r="BG114" s="484"/>
      <c r="BH114" s="484"/>
      <c r="BI114" s="484"/>
      <c r="BJ114" s="484"/>
      <c r="BK114" s="484"/>
      <c r="BL114" s="484"/>
      <c r="BM114" s="484"/>
      <c r="BN114" s="484"/>
      <c r="BO114" s="484"/>
      <c r="BP114" s="484"/>
      <c r="BQ114" s="484"/>
      <c r="BR114" s="484"/>
      <c r="BS114" s="484"/>
      <c r="BT114" s="484"/>
      <c r="BU114" s="484"/>
      <c r="BV114" s="484"/>
      <c r="BW114" s="484"/>
      <c r="BX114" s="484"/>
      <c r="BY114" s="484"/>
      <c r="BZ114" s="484"/>
      <c r="CA114" s="484"/>
      <c r="CB114" s="484"/>
      <c r="CC114" s="484"/>
    </row>
    <row r="115" spans="2:81" hidden="1" outlineLevel="1">
      <c r="B115" s="343" t="str">
        <f>+B109</f>
        <v>250ml golden bottle</v>
      </c>
      <c r="C115" s="307"/>
      <c r="D115" s="343" t="str">
        <f>+D109</f>
        <v>250ml 金瓶</v>
      </c>
      <c r="E115" s="307"/>
      <c r="F115" s="348"/>
      <c r="G115" s="348">
        <v>288.17</v>
      </c>
      <c r="H115" s="348">
        <v>234.90600000000001</v>
      </c>
      <c r="I115" s="348">
        <v>172.24100000000001</v>
      </c>
      <c r="J115" s="349"/>
      <c r="K115" s="349"/>
      <c r="L115" s="349"/>
      <c r="M115" s="349"/>
      <c r="N115" s="1519"/>
      <c r="O115" s="349"/>
      <c r="P115" s="349"/>
      <c r="Q115" s="867"/>
      <c r="R115" s="867"/>
      <c r="S115" s="867"/>
      <c r="U115" s="740"/>
      <c r="V115" s="484"/>
      <c r="W115" s="484"/>
      <c r="X115" s="484"/>
      <c r="Y115" s="484"/>
      <c r="Z115" s="484"/>
      <c r="AA115" s="484"/>
      <c r="AB115" s="484"/>
      <c r="AC115" s="484"/>
      <c r="AD115" s="484"/>
      <c r="AE115" s="484"/>
      <c r="AF115" s="484"/>
      <c r="AG115" s="484"/>
      <c r="AH115" s="484"/>
      <c r="AI115" s="484"/>
      <c r="AJ115" s="484"/>
      <c r="AK115" s="484"/>
      <c r="AL115" s="484"/>
      <c r="AM115" s="484"/>
      <c r="AN115" s="484"/>
      <c r="AO115" s="484"/>
      <c r="AP115" s="484"/>
      <c r="AQ115" s="484"/>
      <c r="AR115" s="484"/>
      <c r="AS115" s="484"/>
      <c r="AT115" s="484"/>
      <c r="AU115" s="484"/>
      <c r="AV115" s="484"/>
      <c r="AW115" s="484"/>
      <c r="AX115" s="484"/>
      <c r="AZ115" s="740"/>
      <c r="BA115" s="740"/>
      <c r="BB115" s="484"/>
      <c r="BC115" s="484"/>
      <c r="BD115" s="484"/>
      <c r="BE115" s="484"/>
      <c r="BF115" s="484"/>
      <c r="BG115" s="484"/>
      <c r="BH115" s="484"/>
      <c r="BI115" s="484"/>
      <c r="BJ115" s="484"/>
      <c r="BK115" s="484"/>
      <c r="BL115" s="484"/>
      <c r="BM115" s="484"/>
      <c r="BN115" s="484"/>
      <c r="BO115" s="484"/>
      <c r="BP115" s="484"/>
      <c r="BQ115" s="484"/>
      <c r="BR115" s="484"/>
      <c r="BS115" s="484"/>
      <c r="BT115" s="484"/>
      <c r="BU115" s="484"/>
      <c r="BV115" s="484"/>
      <c r="BW115" s="484"/>
      <c r="BX115" s="484"/>
      <c r="BY115" s="484"/>
      <c r="BZ115" s="484"/>
      <c r="CA115" s="484"/>
      <c r="CB115" s="484"/>
      <c r="CC115" s="484"/>
    </row>
    <row r="116" spans="2:81" hidden="1" outlineLevel="1">
      <c r="B116" s="343" t="str">
        <f>+B110</f>
        <v>250ml golden can</v>
      </c>
      <c r="C116" s="307"/>
      <c r="D116" s="343" t="str">
        <f>+D110</f>
        <v>250ml 金罐</v>
      </c>
      <c r="E116" s="307"/>
      <c r="F116" s="348"/>
      <c r="G116" s="348">
        <v>38.911999999999999</v>
      </c>
      <c r="H116" s="348">
        <v>96.382000000000005</v>
      </c>
      <c r="I116" s="348">
        <v>120.08199999999999</v>
      </c>
      <c r="J116" s="349"/>
      <c r="K116" s="349"/>
      <c r="L116" s="349"/>
      <c r="M116" s="349"/>
      <c r="N116" s="1519"/>
      <c r="O116" s="349"/>
      <c r="P116" s="349"/>
      <c r="Q116" s="867"/>
      <c r="R116" s="867"/>
      <c r="S116" s="867"/>
      <c r="U116" s="740"/>
      <c r="V116" s="484"/>
      <c r="W116" s="484"/>
      <c r="X116" s="484"/>
      <c r="Y116" s="484"/>
      <c r="Z116" s="484"/>
      <c r="AA116" s="484"/>
      <c r="AB116" s="484"/>
      <c r="AC116" s="484"/>
      <c r="AD116" s="484"/>
      <c r="AE116" s="484"/>
      <c r="AF116" s="484"/>
      <c r="AG116" s="484"/>
      <c r="AH116" s="484"/>
      <c r="AI116" s="484"/>
      <c r="AJ116" s="484"/>
      <c r="AK116" s="484"/>
      <c r="AL116" s="484"/>
      <c r="AM116" s="484"/>
      <c r="AN116" s="484"/>
      <c r="AO116" s="484"/>
      <c r="AP116" s="484"/>
      <c r="AQ116" s="484"/>
      <c r="AR116" s="484"/>
      <c r="AS116" s="484"/>
      <c r="AT116" s="484"/>
      <c r="AU116" s="484"/>
      <c r="AV116" s="484"/>
      <c r="AW116" s="484"/>
      <c r="AX116" s="484"/>
      <c r="AZ116" s="740"/>
      <c r="BA116" s="740"/>
      <c r="BB116" s="484"/>
      <c r="BC116" s="484"/>
      <c r="BD116" s="484"/>
      <c r="BE116" s="484"/>
      <c r="BF116" s="484"/>
      <c r="BG116" s="484"/>
      <c r="BH116" s="484"/>
      <c r="BI116" s="484"/>
      <c r="BJ116" s="484"/>
      <c r="BK116" s="484"/>
      <c r="BL116" s="484"/>
      <c r="BM116" s="484"/>
      <c r="BN116" s="484"/>
      <c r="BO116" s="484"/>
      <c r="BP116" s="484"/>
      <c r="BQ116" s="484"/>
      <c r="BR116" s="484"/>
      <c r="BS116" s="484"/>
      <c r="BT116" s="484"/>
      <c r="BU116" s="484"/>
      <c r="BV116" s="484"/>
      <c r="BW116" s="484"/>
      <c r="BX116" s="484"/>
      <c r="BY116" s="484"/>
      <c r="BZ116" s="484"/>
      <c r="CA116" s="484"/>
      <c r="CB116" s="484"/>
      <c r="CC116" s="484"/>
    </row>
    <row r="117" spans="2:81" hidden="1" outlineLevel="1">
      <c r="B117" s="343" t="str">
        <f>+B111</f>
        <v>250ml golden tetra pak</v>
      </c>
      <c r="C117" s="307"/>
      <c r="D117" s="343" t="str">
        <f>+D111</f>
        <v>250ml 金砖</v>
      </c>
      <c r="E117" s="307"/>
      <c r="F117" s="348"/>
      <c r="G117" s="348">
        <v>19.675000000000001</v>
      </c>
      <c r="H117" s="348">
        <v>22.818999999999999</v>
      </c>
      <c r="I117" s="348">
        <v>24.550999999999998</v>
      </c>
      <c r="J117" s="349"/>
      <c r="K117" s="349"/>
      <c r="L117" s="349"/>
      <c r="M117" s="349"/>
      <c r="N117" s="1519"/>
      <c r="O117" s="349"/>
      <c r="P117" s="349"/>
      <c r="Q117" s="867"/>
      <c r="R117" s="867"/>
      <c r="S117" s="867"/>
      <c r="U117" s="740"/>
      <c r="V117" s="484"/>
      <c r="W117" s="484"/>
      <c r="X117" s="484"/>
      <c r="Y117" s="484"/>
      <c r="Z117" s="484"/>
      <c r="AA117" s="484"/>
      <c r="AB117" s="484"/>
      <c r="AC117" s="484"/>
      <c r="AD117" s="484"/>
      <c r="AE117" s="484"/>
      <c r="AF117" s="484"/>
      <c r="AG117" s="484"/>
      <c r="AH117" s="484"/>
      <c r="AI117" s="484"/>
      <c r="AJ117" s="484"/>
      <c r="AK117" s="484"/>
      <c r="AL117" s="484"/>
      <c r="AM117" s="484"/>
      <c r="AN117" s="484"/>
      <c r="AO117" s="484"/>
      <c r="AP117" s="484"/>
      <c r="AQ117" s="484"/>
      <c r="AR117" s="484"/>
      <c r="AS117" s="484"/>
      <c r="AT117" s="484"/>
      <c r="AU117" s="484"/>
      <c r="AV117" s="484"/>
      <c r="AW117" s="484"/>
      <c r="AX117" s="484"/>
      <c r="AZ117" s="740"/>
      <c r="BA117" s="740"/>
      <c r="BB117" s="484"/>
      <c r="BC117" s="484"/>
      <c r="BD117" s="484"/>
      <c r="BE117" s="484"/>
      <c r="BF117" s="484"/>
      <c r="BG117" s="484"/>
      <c r="BH117" s="484"/>
      <c r="BI117" s="484"/>
      <c r="BJ117" s="484"/>
      <c r="BK117" s="484"/>
      <c r="BL117" s="484"/>
      <c r="BM117" s="484"/>
      <c r="BN117" s="484"/>
      <c r="BO117" s="484"/>
      <c r="BP117" s="484"/>
      <c r="BQ117" s="484"/>
      <c r="BR117" s="484"/>
      <c r="BS117" s="484"/>
      <c r="BT117" s="484"/>
      <c r="BU117" s="484"/>
      <c r="BV117" s="484"/>
      <c r="BW117" s="484"/>
      <c r="BX117" s="484"/>
      <c r="BY117" s="484"/>
      <c r="BZ117" s="484"/>
      <c r="CA117" s="484"/>
      <c r="CB117" s="484"/>
      <c r="CC117" s="484"/>
    </row>
    <row r="118" spans="2:81" hidden="1" outlineLevel="1">
      <c r="B118" s="343" t="str">
        <f>+B112</f>
        <v>other energy drinks</v>
      </c>
      <c r="C118" s="307"/>
      <c r="D118" s="343" t="str">
        <f>+D112</f>
        <v>其他东鹏特饮</v>
      </c>
      <c r="E118" s="307"/>
      <c r="F118" s="348"/>
      <c r="G118" s="348"/>
      <c r="H118" s="348"/>
      <c r="I118" s="348">
        <v>3.7709999999999999</v>
      </c>
      <c r="J118" s="349"/>
      <c r="K118" s="349"/>
      <c r="L118" s="349"/>
      <c r="M118" s="349"/>
      <c r="N118" s="1519"/>
      <c r="O118" s="349"/>
      <c r="P118" s="349"/>
      <c r="Q118" s="867"/>
      <c r="R118" s="867"/>
      <c r="S118" s="867"/>
      <c r="U118" s="740"/>
      <c r="V118" s="484"/>
      <c r="W118" s="484"/>
      <c r="X118" s="484"/>
      <c r="Y118" s="484"/>
      <c r="Z118" s="484"/>
      <c r="AA118" s="484"/>
      <c r="AB118" s="484"/>
      <c r="AC118" s="484"/>
      <c r="AD118" s="484"/>
      <c r="AE118" s="484"/>
      <c r="AF118" s="484"/>
      <c r="AG118" s="484"/>
      <c r="AH118" s="484"/>
      <c r="AI118" s="484"/>
      <c r="AJ118" s="484"/>
      <c r="AK118" s="484"/>
      <c r="AL118" s="484"/>
      <c r="AM118" s="484"/>
      <c r="AN118" s="484"/>
      <c r="AO118" s="484"/>
      <c r="AP118" s="484"/>
      <c r="AQ118" s="484"/>
      <c r="AR118" s="484"/>
      <c r="AS118" s="484"/>
      <c r="AT118" s="484"/>
      <c r="AU118" s="484"/>
      <c r="AV118" s="484"/>
      <c r="AW118" s="484"/>
      <c r="AX118" s="484"/>
      <c r="AZ118" s="740"/>
      <c r="BA118" s="740"/>
      <c r="BB118" s="484"/>
      <c r="BC118" s="484"/>
      <c r="BD118" s="484"/>
      <c r="BE118" s="484"/>
      <c r="BF118" s="484"/>
      <c r="BG118" s="484"/>
      <c r="BH118" s="484"/>
      <c r="BI118" s="484"/>
      <c r="BJ118" s="484"/>
      <c r="BK118" s="484"/>
      <c r="BL118" s="484"/>
      <c r="BM118" s="484"/>
      <c r="BN118" s="484"/>
      <c r="BO118" s="484"/>
      <c r="BP118" s="484"/>
      <c r="BQ118" s="484"/>
      <c r="BR118" s="484"/>
      <c r="BS118" s="484"/>
      <c r="BT118" s="484"/>
      <c r="BU118" s="484"/>
      <c r="BV118" s="484"/>
      <c r="BW118" s="484"/>
      <c r="BX118" s="484"/>
      <c r="BY118" s="484"/>
      <c r="BZ118" s="484"/>
      <c r="CA118" s="484"/>
      <c r="CB118" s="484"/>
      <c r="CC118" s="484"/>
    </row>
    <row r="119" spans="2:81" ht="14.25" customHeight="1" collapsed="1">
      <c r="B119" s="307" t="s">
        <v>1137</v>
      </c>
      <c r="C119" s="307"/>
      <c r="D119" s="307" t="s">
        <v>1136</v>
      </c>
      <c r="E119" s="307"/>
      <c r="F119" s="348"/>
      <c r="G119" s="349">
        <f>+SUM(G120:G121)</f>
        <v>5.0630000000000024</v>
      </c>
      <c r="H119" s="349">
        <f>+SUM(H120:H121)</f>
        <v>0</v>
      </c>
      <c r="I119" s="349">
        <f>+SUM(I120:I121)</f>
        <v>3.41</v>
      </c>
      <c r="J119" s="349"/>
      <c r="K119" s="349"/>
      <c r="L119" s="349"/>
      <c r="M119" s="349"/>
      <c r="N119" s="1519"/>
      <c r="O119" s="349"/>
      <c r="P119" s="349"/>
      <c r="Q119" s="867"/>
      <c r="R119" s="867"/>
      <c r="S119" s="867"/>
      <c r="U119" s="740"/>
      <c r="V119" s="484"/>
      <c r="W119" s="484"/>
      <c r="X119" s="484"/>
      <c r="Y119" s="484"/>
      <c r="Z119" s="484"/>
      <c r="AA119" s="484"/>
      <c r="AB119" s="484"/>
      <c r="AC119" s="484"/>
      <c r="AD119" s="484"/>
      <c r="AE119" s="484"/>
      <c r="AF119" s="484"/>
      <c r="AG119" s="484"/>
      <c r="AH119" s="484"/>
      <c r="AI119" s="484"/>
      <c r="AJ119" s="484"/>
      <c r="AK119" s="484"/>
      <c r="AL119" s="484"/>
      <c r="AM119" s="484"/>
      <c r="AN119" s="484"/>
      <c r="AO119" s="484"/>
      <c r="AP119" s="484"/>
      <c r="AQ119" s="484"/>
      <c r="AR119" s="484"/>
      <c r="AS119" s="484"/>
      <c r="AT119" s="484"/>
      <c r="AU119" s="484"/>
      <c r="AV119" s="484"/>
      <c r="AW119" s="484"/>
      <c r="AX119" s="484"/>
      <c r="AZ119" s="740"/>
      <c r="BA119" s="740"/>
      <c r="BB119" s="484"/>
      <c r="BC119" s="484"/>
      <c r="BD119" s="484"/>
      <c r="BE119" s="484"/>
      <c r="BF119" s="484"/>
      <c r="BG119" s="484"/>
      <c r="BH119" s="484"/>
      <c r="BI119" s="484"/>
      <c r="BJ119" s="484"/>
      <c r="BK119" s="484"/>
      <c r="BL119" s="484"/>
      <c r="BM119" s="484"/>
      <c r="BN119" s="484"/>
      <c r="BO119" s="484"/>
      <c r="BP119" s="484"/>
      <c r="BQ119" s="484"/>
      <c r="BR119" s="484"/>
      <c r="BS119" s="484"/>
      <c r="BT119" s="484"/>
      <c r="BU119" s="484"/>
      <c r="BV119" s="484"/>
      <c r="BW119" s="484"/>
      <c r="BX119" s="484"/>
      <c r="BY119" s="484"/>
      <c r="BZ119" s="484"/>
      <c r="CA119" s="484"/>
      <c r="CB119" s="484"/>
      <c r="CC119" s="484"/>
    </row>
    <row r="120" spans="2:81" hidden="1" outlineLevel="1">
      <c r="B120" s="343" t="s">
        <v>1126</v>
      </c>
      <c r="C120" s="307"/>
      <c r="D120" s="343" t="s">
        <v>1122</v>
      </c>
      <c r="E120" s="307"/>
      <c r="F120" s="348"/>
      <c r="G120" s="349">
        <f>+G116-33.849</f>
        <v>5.0630000000000024</v>
      </c>
      <c r="H120" s="348"/>
      <c r="I120" s="349"/>
      <c r="J120" s="349"/>
      <c r="K120" s="349"/>
      <c r="L120" s="349"/>
      <c r="M120" s="349"/>
      <c r="N120" s="1519"/>
      <c r="O120" s="349"/>
      <c r="P120" s="349"/>
      <c r="Q120" s="867"/>
      <c r="R120" s="867"/>
      <c r="S120" s="867"/>
      <c r="U120" s="740"/>
      <c r="V120" s="484"/>
      <c r="W120" s="484"/>
      <c r="X120" s="484"/>
      <c r="Y120" s="484"/>
      <c r="Z120" s="484"/>
      <c r="AA120" s="484"/>
      <c r="AB120" s="484"/>
      <c r="AC120" s="484"/>
      <c r="AD120" s="484"/>
      <c r="AE120" s="484"/>
      <c r="AF120" s="484"/>
      <c r="AG120" s="484"/>
      <c r="AH120" s="484"/>
      <c r="AI120" s="484"/>
      <c r="AJ120" s="484"/>
      <c r="AK120" s="484"/>
      <c r="AL120" s="484"/>
      <c r="AM120" s="484"/>
      <c r="AN120" s="484"/>
      <c r="AO120" s="484"/>
      <c r="AP120" s="484"/>
      <c r="AQ120" s="484"/>
      <c r="AR120" s="484"/>
      <c r="AS120" s="484"/>
      <c r="AT120" s="484"/>
      <c r="AU120" s="484"/>
      <c r="AV120" s="484"/>
      <c r="AW120" s="484"/>
      <c r="AX120" s="484"/>
      <c r="AZ120" s="740"/>
      <c r="BA120" s="740"/>
      <c r="BB120" s="484"/>
      <c r="BC120" s="484"/>
      <c r="BD120" s="484"/>
      <c r="BE120" s="484"/>
      <c r="BF120" s="484"/>
      <c r="BG120" s="484"/>
      <c r="BH120" s="484"/>
      <c r="BI120" s="484"/>
      <c r="BJ120" s="484"/>
      <c r="BK120" s="484"/>
      <c r="BL120" s="484"/>
      <c r="BM120" s="484"/>
      <c r="BN120" s="484"/>
      <c r="BO120" s="484"/>
      <c r="BP120" s="484"/>
      <c r="BQ120" s="484"/>
      <c r="BR120" s="484"/>
      <c r="BS120" s="484"/>
      <c r="BT120" s="484"/>
      <c r="BU120" s="484"/>
      <c r="BV120" s="484"/>
      <c r="BW120" s="484"/>
      <c r="BX120" s="484"/>
      <c r="BY120" s="484"/>
      <c r="BZ120" s="484"/>
      <c r="CA120" s="484"/>
      <c r="CB120" s="484"/>
      <c r="CC120" s="484"/>
    </row>
    <row r="121" spans="2:81" hidden="1" outlineLevel="1">
      <c r="B121" s="343" t="s">
        <v>1128</v>
      </c>
      <c r="C121" s="307"/>
      <c r="D121" s="343" t="s">
        <v>1271</v>
      </c>
      <c r="E121" s="307"/>
      <c r="F121" s="348"/>
      <c r="G121" s="348"/>
      <c r="H121" s="348"/>
      <c r="I121" s="349">
        <f>+I118-0.361</f>
        <v>3.41</v>
      </c>
      <c r="J121" s="349"/>
      <c r="K121" s="349"/>
      <c r="L121" s="349"/>
      <c r="M121" s="349"/>
      <c r="N121" s="1519"/>
      <c r="O121" s="349"/>
      <c r="P121" s="349"/>
      <c r="Q121" s="867"/>
      <c r="R121" s="867"/>
      <c r="S121" s="867"/>
      <c r="U121" s="740"/>
      <c r="V121" s="484"/>
      <c r="W121" s="484"/>
      <c r="X121" s="484"/>
      <c r="Y121" s="484"/>
      <c r="Z121" s="484"/>
      <c r="AA121" s="484"/>
      <c r="AB121" s="484"/>
      <c r="AC121" s="484"/>
      <c r="AD121" s="484"/>
      <c r="AE121" s="484"/>
      <c r="AF121" s="484"/>
      <c r="AG121" s="484"/>
      <c r="AH121" s="484"/>
      <c r="AI121" s="484"/>
      <c r="AJ121" s="484"/>
      <c r="AK121" s="484"/>
      <c r="AL121" s="484"/>
      <c r="AM121" s="484"/>
      <c r="AN121" s="484"/>
      <c r="AO121" s="484"/>
      <c r="AP121" s="484"/>
      <c r="AQ121" s="484"/>
      <c r="AR121" s="484"/>
      <c r="AS121" s="484"/>
      <c r="AT121" s="484"/>
      <c r="AU121" s="484"/>
      <c r="AV121" s="484"/>
      <c r="AW121" s="484"/>
      <c r="AX121" s="484"/>
      <c r="AZ121" s="740"/>
      <c r="BA121" s="740"/>
      <c r="BB121" s="484"/>
      <c r="BC121" s="484"/>
      <c r="BD121" s="484"/>
      <c r="BE121" s="484"/>
      <c r="BF121" s="484"/>
      <c r="BG121" s="484"/>
      <c r="BH121" s="484"/>
      <c r="BI121" s="484"/>
      <c r="BJ121" s="484"/>
      <c r="BK121" s="484"/>
      <c r="BL121" s="484"/>
      <c r="BM121" s="484"/>
      <c r="BN121" s="484"/>
      <c r="BO121" s="484"/>
      <c r="BP121" s="484"/>
      <c r="BQ121" s="484"/>
      <c r="BR121" s="484"/>
      <c r="BS121" s="484"/>
      <c r="BT121" s="484"/>
      <c r="BU121" s="484"/>
      <c r="BV121" s="484"/>
      <c r="BW121" s="484"/>
      <c r="BX121" s="484"/>
      <c r="BY121" s="484"/>
      <c r="BZ121" s="484"/>
      <c r="CA121" s="484"/>
      <c r="CB121" s="484"/>
      <c r="CC121" s="484"/>
    </row>
    <row r="122" spans="2:81" collapsed="1">
      <c r="B122" s="307" t="s">
        <v>1135</v>
      </c>
      <c r="C122" s="307"/>
      <c r="D122" s="307" t="s">
        <v>1134</v>
      </c>
      <c r="E122" s="307"/>
      <c r="F122" s="512"/>
      <c r="G122" s="348">
        <v>807.40300000000002</v>
      </c>
      <c r="H122" s="348">
        <v>1191.45</v>
      </c>
      <c r="I122" s="348">
        <f>+SUM(I123:I127)</f>
        <v>1290.8579999999999</v>
      </c>
      <c r="J122" s="512"/>
      <c r="K122" s="512"/>
      <c r="L122" s="512"/>
      <c r="M122" s="512"/>
      <c r="N122" s="1526"/>
      <c r="O122" s="512"/>
      <c r="P122" s="512"/>
      <c r="Q122" s="1477"/>
      <c r="R122" s="1477"/>
      <c r="S122" s="1477"/>
      <c r="U122" s="740"/>
      <c r="V122" s="484"/>
      <c r="W122" s="484"/>
      <c r="X122" s="484"/>
      <c r="Y122" s="484"/>
      <c r="Z122" s="484"/>
      <c r="AA122" s="484"/>
      <c r="AB122" s="484"/>
      <c r="AC122" s="484"/>
      <c r="AD122" s="484"/>
      <c r="AE122" s="484"/>
      <c r="AF122" s="484"/>
      <c r="AG122" s="484"/>
      <c r="AH122" s="484"/>
      <c r="AI122" s="484"/>
      <c r="AJ122" s="484"/>
      <c r="AK122" s="484"/>
      <c r="AL122" s="484"/>
      <c r="AM122" s="484"/>
      <c r="AN122" s="484"/>
      <c r="AO122" s="484"/>
      <c r="AP122" s="484"/>
      <c r="AQ122" s="484"/>
      <c r="AR122" s="484"/>
      <c r="AS122" s="484"/>
      <c r="AT122" s="484"/>
      <c r="AU122" s="484"/>
      <c r="AV122" s="484"/>
      <c r="AW122" s="484"/>
      <c r="AX122" s="484"/>
      <c r="AZ122" s="740"/>
      <c r="BA122" s="740"/>
      <c r="BB122" s="484"/>
      <c r="BC122" s="484"/>
      <c r="BD122" s="484"/>
      <c r="BE122" s="484"/>
      <c r="BF122" s="484"/>
      <c r="BG122" s="484"/>
      <c r="BH122" s="484"/>
      <c r="BI122" s="484"/>
      <c r="BJ122" s="484"/>
      <c r="BK122" s="484"/>
      <c r="BL122" s="484"/>
      <c r="BM122" s="484"/>
      <c r="BN122" s="484"/>
      <c r="BO122" s="484"/>
      <c r="BP122" s="484"/>
      <c r="BQ122" s="484"/>
      <c r="BR122" s="484"/>
      <c r="BS122" s="484"/>
      <c r="BT122" s="484"/>
      <c r="BU122" s="484"/>
      <c r="BV122" s="484"/>
      <c r="BW122" s="484"/>
      <c r="BX122" s="484"/>
      <c r="BY122" s="484"/>
      <c r="BZ122" s="484"/>
      <c r="CA122" s="484"/>
      <c r="CB122" s="484"/>
      <c r="CC122" s="484"/>
    </row>
    <row r="123" spans="2:81" hidden="1" outlineLevel="1">
      <c r="B123" s="343" t="str">
        <f>+B114</f>
        <v>500ml golden bottle</v>
      </c>
      <c r="C123" s="307"/>
      <c r="D123" s="343" t="str">
        <f>+D114</f>
        <v>500ml 金瓶</v>
      </c>
      <c r="E123" s="307"/>
      <c r="F123" s="512"/>
      <c r="G123" s="348">
        <v>309.80599999999998</v>
      </c>
      <c r="H123" s="348">
        <v>708.3</v>
      </c>
      <c r="I123" s="348">
        <v>853.8</v>
      </c>
      <c r="J123" s="512"/>
      <c r="K123" s="512"/>
      <c r="L123" s="512"/>
      <c r="M123" s="512"/>
      <c r="N123" s="1526"/>
      <c r="O123" s="512"/>
      <c r="P123" s="512"/>
      <c r="Q123" s="1477"/>
      <c r="R123" s="1477"/>
      <c r="S123" s="1477"/>
      <c r="U123" s="740"/>
      <c r="V123" s="484"/>
      <c r="W123" s="484"/>
      <c r="X123" s="484"/>
      <c r="Y123" s="484"/>
      <c r="Z123" s="484"/>
      <c r="AA123" s="484"/>
      <c r="AB123" s="484"/>
      <c r="AC123" s="484"/>
      <c r="AD123" s="484"/>
      <c r="AE123" s="484"/>
      <c r="AF123" s="484"/>
      <c r="AG123" s="484"/>
      <c r="AH123" s="484"/>
      <c r="AI123" s="484"/>
      <c r="AJ123" s="484"/>
      <c r="AK123" s="484"/>
      <c r="AL123" s="484"/>
      <c r="AM123" s="484"/>
      <c r="AN123" s="484"/>
      <c r="AO123" s="484"/>
      <c r="AP123" s="484"/>
      <c r="AQ123" s="484"/>
      <c r="AR123" s="484"/>
      <c r="AS123" s="484"/>
      <c r="AT123" s="484"/>
      <c r="AU123" s="484"/>
      <c r="AV123" s="484"/>
      <c r="AW123" s="484"/>
      <c r="AX123" s="484"/>
      <c r="AZ123" s="740"/>
      <c r="BA123" s="740"/>
      <c r="BB123" s="484"/>
      <c r="BC123" s="484"/>
      <c r="BD123" s="484"/>
      <c r="BE123" s="484"/>
      <c r="BF123" s="484"/>
      <c r="BG123" s="484"/>
      <c r="BH123" s="484"/>
      <c r="BI123" s="484"/>
      <c r="BJ123" s="484"/>
      <c r="BK123" s="484"/>
      <c r="BL123" s="484"/>
      <c r="BM123" s="484"/>
      <c r="BN123" s="484"/>
      <c r="BO123" s="484"/>
      <c r="BP123" s="484"/>
      <c r="BQ123" s="484"/>
      <c r="BR123" s="484"/>
      <c r="BS123" s="484"/>
      <c r="BT123" s="484"/>
      <c r="BU123" s="484"/>
      <c r="BV123" s="484"/>
      <c r="BW123" s="484"/>
      <c r="BX123" s="484"/>
      <c r="BY123" s="484"/>
      <c r="BZ123" s="484"/>
      <c r="CA123" s="484"/>
      <c r="CB123" s="484"/>
      <c r="CC123" s="484"/>
    </row>
    <row r="124" spans="2:81" hidden="1" outlineLevel="1">
      <c r="B124" s="343" t="str">
        <f>+B115</f>
        <v>250ml golden bottle</v>
      </c>
      <c r="C124" s="307"/>
      <c r="D124" s="343" t="str">
        <f>+D115</f>
        <v>250ml 金瓶</v>
      </c>
      <c r="E124" s="307"/>
      <c r="F124" s="512"/>
      <c r="G124" s="348">
        <v>403.84699999999998</v>
      </c>
      <c r="H124" s="348">
        <v>305.85000000000002</v>
      </c>
      <c r="I124" s="348">
        <v>223.05</v>
      </c>
      <c r="J124" s="512"/>
      <c r="K124" s="512"/>
      <c r="L124" s="512"/>
      <c r="M124" s="512"/>
      <c r="N124" s="1526"/>
      <c r="O124" s="512"/>
      <c r="P124" s="512"/>
      <c r="Q124" s="1477"/>
      <c r="R124" s="1477"/>
      <c r="S124" s="1477"/>
      <c r="U124" s="740"/>
      <c r="V124" s="484"/>
      <c r="W124" s="484"/>
      <c r="X124" s="484"/>
      <c r="Y124" s="484"/>
      <c r="Z124" s="484"/>
      <c r="AA124" s="484"/>
      <c r="AB124" s="484"/>
      <c r="AC124" s="484"/>
      <c r="AD124" s="484"/>
      <c r="AE124" s="484"/>
      <c r="AF124" s="484"/>
      <c r="AG124" s="484"/>
      <c r="AH124" s="484"/>
      <c r="AI124" s="484"/>
      <c r="AJ124" s="484"/>
      <c r="AK124" s="484"/>
      <c r="AL124" s="484"/>
      <c r="AM124" s="484"/>
      <c r="AN124" s="484"/>
      <c r="AO124" s="484"/>
      <c r="AP124" s="484"/>
      <c r="AQ124" s="484"/>
      <c r="AR124" s="484"/>
      <c r="AS124" s="484"/>
      <c r="AT124" s="484"/>
      <c r="AU124" s="484"/>
      <c r="AV124" s="484"/>
      <c r="AW124" s="484"/>
      <c r="AX124" s="484"/>
      <c r="AZ124" s="740"/>
      <c r="BA124" s="740"/>
      <c r="BB124" s="484"/>
      <c r="BC124" s="484"/>
      <c r="BD124" s="484"/>
      <c r="BE124" s="484"/>
      <c r="BF124" s="484"/>
      <c r="BG124" s="484"/>
      <c r="BH124" s="484"/>
      <c r="BI124" s="484"/>
      <c r="BJ124" s="484"/>
      <c r="BK124" s="484"/>
      <c r="BL124" s="484"/>
      <c r="BM124" s="484"/>
      <c r="BN124" s="484"/>
      <c r="BO124" s="484"/>
      <c r="BP124" s="484"/>
      <c r="BQ124" s="484"/>
      <c r="BR124" s="484"/>
      <c r="BS124" s="484"/>
      <c r="BT124" s="484"/>
      <c r="BU124" s="484"/>
      <c r="BV124" s="484"/>
      <c r="BW124" s="484"/>
      <c r="BX124" s="484"/>
      <c r="BY124" s="484"/>
      <c r="BZ124" s="484"/>
      <c r="CA124" s="484"/>
      <c r="CB124" s="484"/>
      <c r="CC124" s="484"/>
    </row>
    <row r="125" spans="2:81" hidden="1" outlineLevel="1">
      <c r="B125" s="343" t="str">
        <f>+B116</f>
        <v>250ml golden can</v>
      </c>
      <c r="C125" s="307"/>
      <c r="D125" s="343" t="str">
        <f>+D116</f>
        <v>250ml 金罐</v>
      </c>
      <c r="E125" s="307"/>
      <c r="F125" s="512"/>
      <c r="G125" s="348">
        <v>71.25</v>
      </c>
      <c r="H125" s="348">
        <v>154.80000000000001</v>
      </c>
      <c r="I125" s="348">
        <v>190.95</v>
      </c>
      <c r="J125" s="512"/>
      <c r="K125" s="512"/>
      <c r="L125" s="512"/>
      <c r="M125" s="512"/>
      <c r="N125" s="1526"/>
      <c r="O125" s="512"/>
      <c r="P125" s="512"/>
      <c r="Q125" s="1477"/>
      <c r="R125" s="1477"/>
      <c r="S125" s="1477"/>
      <c r="U125" s="740"/>
      <c r="V125" s="484"/>
      <c r="W125" s="484"/>
      <c r="X125" s="484"/>
      <c r="Y125" s="484"/>
      <c r="Z125" s="484"/>
      <c r="AA125" s="484"/>
      <c r="AB125" s="484"/>
      <c r="AC125" s="484"/>
      <c r="AD125" s="484"/>
      <c r="AE125" s="484"/>
      <c r="AF125" s="484"/>
      <c r="AG125" s="484"/>
      <c r="AH125" s="484"/>
      <c r="AI125" s="484"/>
      <c r="AJ125" s="484"/>
      <c r="AK125" s="484"/>
      <c r="AL125" s="484"/>
      <c r="AM125" s="484"/>
      <c r="AN125" s="484"/>
      <c r="AO125" s="484"/>
      <c r="AP125" s="484"/>
      <c r="AQ125" s="484"/>
      <c r="AR125" s="484"/>
      <c r="AS125" s="484"/>
      <c r="AT125" s="484"/>
      <c r="AU125" s="484"/>
      <c r="AV125" s="484"/>
      <c r="AW125" s="484"/>
      <c r="AX125" s="484"/>
      <c r="AZ125" s="740"/>
      <c r="BA125" s="740"/>
      <c r="BB125" s="484"/>
      <c r="BC125" s="484"/>
      <c r="BD125" s="484"/>
      <c r="BE125" s="484"/>
      <c r="BF125" s="484"/>
      <c r="BG125" s="484"/>
      <c r="BH125" s="484"/>
      <c r="BI125" s="484"/>
      <c r="BJ125" s="484"/>
      <c r="BK125" s="484"/>
      <c r="BL125" s="484"/>
      <c r="BM125" s="484"/>
      <c r="BN125" s="484"/>
      <c r="BO125" s="484"/>
      <c r="BP125" s="484"/>
      <c r="BQ125" s="484"/>
      <c r="BR125" s="484"/>
      <c r="BS125" s="484"/>
      <c r="BT125" s="484"/>
      <c r="BU125" s="484"/>
      <c r="BV125" s="484"/>
      <c r="BW125" s="484"/>
      <c r="BX125" s="484"/>
      <c r="BY125" s="484"/>
      <c r="BZ125" s="484"/>
      <c r="CA125" s="484"/>
      <c r="CB125" s="484"/>
      <c r="CC125" s="484"/>
    </row>
    <row r="126" spans="2:81" hidden="1" outlineLevel="1">
      <c r="B126" s="343" t="str">
        <f>+B117</f>
        <v>250ml golden tetra pak</v>
      </c>
      <c r="C126" s="307"/>
      <c r="D126" s="343" t="str">
        <f>+D117</f>
        <v>250ml 金砖</v>
      </c>
      <c r="E126" s="307"/>
      <c r="F126" s="512"/>
      <c r="G126" s="348">
        <v>22.5</v>
      </c>
      <c r="H126" s="348">
        <v>22.5</v>
      </c>
      <c r="I126" s="348">
        <v>22.5</v>
      </c>
      <c r="J126" s="512"/>
      <c r="K126" s="512"/>
      <c r="L126" s="512"/>
      <c r="M126" s="512"/>
      <c r="N126" s="1526"/>
      <c r="O126" s="512"/>
      <c r="P126" s="512"/>
      <c r="Q126" s="1477"/>
      <c r="R126" s="1477"/>
      <c r="S126" s="1477"/>
      <c r="U126" s="740"/>
      <c r="V126" s="484"/>
      <c r="W126" s="484"/>
      <c r="X126" s="484"/>
      <c r="Y126" s="484"/>
      <c r="Z126" s="484"/>
      <c r="AA126" s="484"/>
      <c r="AB126" s="484"/>
      <c r="AC126" s="484"/>
      <c r="AD126" s="484"/>
      <c r="AE126" s="484"/>
      <c r="AF126" s="484"/>
      <c r="AG126" s="484"/>
      <c r="AH126" s="484"/>
      <c r="AI126" s="484"/>
      <c r="AJ126" s="484"/>
      <c r="AK126" s="484"/>
      <c r="AL126" s="484"/>
      <c r="AM126" s="484"/>
      <c r="AN126" s="484"/>
      <c r="AO126" s="484"/>
      <c r="AP126" s="484"/>
      <c r="AQ126" s="484"/>
      <c r="AR126" s="484"/>
      <c r="AS126" s="484"/>
      <c r="AT126" s="484"/>
      <c r="AU126" s="484"/>
      <c r="AV126" s="484"/>
      <c r="AW126" s="484"/>
      <c r="AX126" s="484"/>
      <c r="AZ126" s="740"/>
      <c r="BA126" s="740"/>
      <c r="BB126" s="484"/>
      <c r="BC126" s="484"/>
      <c r="BD126" s="484"/>
      <c r="BE126" s="484"/>
      <c r="BF126" s="484"/>
      <c r="BG126" s="484"/>
      <c r="BH126" s="484"/>
      <c r="BI126" s="484"/>
      <c r="BJ126" s="484"/>
      <c r="BK126" s="484"/>
      <c r="BL126" s="484"/>
      <c r="BM126" s="484"/>
      <c r="BN126" s="484"/>
      <c r="BO126" s="484"/>
      <c r="BP126" s="484"/>
      <c r="BQ126" s="484"/>
      <c r="BR126" s="484"/>
      <c r="BS126" s="484"/>
      <c r="BT126" s="484"/>
      <c r="BU126" s="484"/>
      <c r="BV126" s="484"/>
      <c r="BW126" s="484"/>
      <c r="BX126" s="484"/>
      <c r="BY126" s="484"/>
      <c r="BZ126" s="484"/>
      <c r="CA126" s="484"/>
      <c r="CB126" s="484"/>
      <c r="CC126" s="484"/>
    </row>
    <row r="127" spans="2:81" hidden="1" outlineLevel="1">
      <c r="B127" s="343" t="str">
        <f>+B118</f>
        <v>other energy drinks</v>
      </c>
      <c r="C127" s="307"/>
      <c r="D127" s="343" t="str">
        <f>+D118</f>
        <v>其他东鹏特饮</v>
      </c>
      <c r="E127" s="307"/>
      <c r="F127" s="512"/>
      <c r="G127" s="348"/>
      <c r="H127" s="348"/>
      <c r="I127" s="348">
        <v>0.55800000000000005</v>
      </c>
      <c r="J127" s="512"/>
      <c r="K127" s="512"/>
      <c r="L127" s="512"/>
      <c r="M127" s="512"/>
      <c r="N127" s="1526"/>
      <c r="O127" s="512"/>
      <c r="P127" s="512"/>
      <c r="Q127" s="1477"/>
      <c r="R127" s="1477"/>
      <c r="S127" s="1477"/>
      <c r="U127" s="740"/>
      <c r="V127" s="484"/>
      <c r="W127" s="484"/>
      <c r="X127" s="484"/>
      <c r="Y127" s="484"/>
      <c r="Z127" s="484"/>
      <c r="AA127" s="484"/>
      <c r="AB127" s="484"/>
      <c r="AC127" s="484"/>
      <c r="AD127" s="484"/>
      <c r="AE127" s="484"/>
      <c r="AF127" s="484"/>
      <c r="AG127" s="484"/>
      <c r="AH127" s="484"/>
      <c r="AI127" s="484"/>
      <c r="AJ127" s="484"/>
      <c r="AK127" s="484"/>
      <c r="AL127" s="484"/>
      <c r="AM127" s="484"/>
      <c r="AN127" s="484"/>
      <c r="AO127" s="484"/>
      <c r="AP127" s="484"/>
      <c r="AQ127" s="484"/>
      <c r="AR127" s="484"/>
      <c r="AS127" s="484"/>
      <c r="AT127" s="484"/>
      <c r="AU127" s="484"/>
      <c r="AV127" s="484"/>
      <c r="AW127" s="484"/>
      <c r="AX127" s="484"/>
      <c r="AZ127" s="740"/>
      <c r="BA127" s="740"/>
      <c r="BB127" s="484"/>
      <c r="BC127" s="484"/>
      <c r="BD127" s="484"/>
      <c r="BE127" s="484"/>
      <c r="BF127" s="484"/>
      <c r="BG127" s="484"/>
      <c r="BH127" s="484"/>
      <c r="BI127" s="484"/>
      <c r="BJ127" s="484"/>
      <c r="BK127" s="484"/>
      <c r="BL127" s="484"/>
      <c r="BM127" s="484"/>
      <c r="BN127" s="484"/>
      <c r="BO127" s="484"/>
      <c r="BP127" s="484"/>
      <c r="BQ127" s="484"/>
      <c r="BR127" s="484"/>
      <c r="BS127" s="484"/>
      <c r="BT127" s="484"/>
      <c r="BU127" s="484"/>
      <c r="BV127" s="484"/>
      <c r="BW127" s="484"/>
      <c r="BX127" s="484"/>
      <c r="BY127" s="484"/>
      <c r="BZ127" s="484"/>
      <c r="CA127" s="484"/>
      <c r="CB127" s="484"/>
      <c r="CC127" s="484"/>
    </row>
    <row r="128" spans="2:81" collapsed="1">
      <c r="B128" s="336" t="s">
        <v>1090</v>
      </c>
      <c r="C128" s="336"/>
      <c r="D128" s="336" t="s">
        <v>929</v>
      </c>
      <c r="E128" s="336"/>
      <c r="F128" s="832"/>
      <c r="G128" s="832">
        <f>+G106/G122</f>
        <v>0.67138343553343249</v>
      </c>
      <c r="H128" s="832">
        <f>+H106/H122</f>
        <v>0.71223886860548069</v>
      </c>
      <c r="I128" s="832">
        <f>+I106/I122</f>
        <v>0.81562030835304888</v>
      </c>
      <c r="J128" s="832"/>
      <c r="K128" s="832"/>
      <c r="L128" s="832"/>
      <c r="M128" s="832"/>
      <c r="N128" s="1527"/>
      <c r="O128" s="832"/>
      <c r="P128" s="832"/>
      <c r="Q128" s="1478"/>
      <c r="R128" s="1478"/>
      <c r="S128" s="1478"/>
      <c r="U128" s="740"/>
      <c r="V128" s="484"/>
      <c r="W128" s="484"/>
      <c r="X128" s="484"/>
      <c r="Y128" s="484"/>
      <c r="Z128" s="484"/>
      <c r="AA128" s="484"/>
      <c r="AB128" s="484"/>
      <c r="AC128" s="484"/>
      <c r="AD128" s="484"/>
      <c r="AE128" s="484"/>
      <c r="AF128" s="484"/>
      <c r="AG128" s="484"/>
      <c r="AH128" s="484"/>
      <c r="AI128" s="484"/>
      <c r="AJ128" s="484"/>
      <c r="AK128" s="484"/>
      <c r="AL128" s="484"/>
      <c r="AM128" s="484"/>
      <c r="AN128" s="484"/>
      <c r="AO128" s="484"/>
      <c r="AP128" s="484"/>
      <c r="AQ128" s="484"/>
      <c r="AR128" s="484"/>
      <c r="AS128" s="484"/>
      <c r="AT128" s="484"/>
      <c r="AU128" s="484"/>
      <c r="AV128" s="484"/>
      <c r="AW128" s="484"/>
      <c r="AX128" s="484"/>
      <c r="AZ128" s="740"/>
      <c r="BA128" s="740"/>
      <c r="BB128" s="484"/>
      <c r="BC128" s="484"/>
      <c r="BD128" s="484"/>
      <c r="BE128" s="484"/>
      <c r="BF128" s="484"/>
      <c r="BG128" s="484"/>
      <c r="BH128" s="484"/>
      <c r="BI128" s="484"/>
      <c r="BJ128" s="484"/>
      <c r="BK128" s="484"/>
      <c r="BL128" s="484"/>
      <c r="BM128" s="484"/>
      <c r="BN128" s="484"/>
      <c r="BO128" s="484"/>
      <c r="BP128" s="484"/>
      <c r="BQ128" s="484"/>
      <c r="BR128" s="484"/>
      <c r="BS128" s="484"/>
      <c r="BT128" s="484"/>
      <c r="BU128" s="484"/>
      <c r="BV128" s="484"/>
      <c r="BW128" s="484"/>
      <c r="BX128" s="484"/>
      <c r="BY128" s="484"/>
      <c r="BZ128" s="484"/>
      <c r="CA128" s="484"/>
      <c r="CB128" s="484"/>
      <c r="CC128" s="484"/>
    </row>
    <row r="129" spans="2:81" hidden="1" outlineLevel="1">
      <c r="B129" s="754" t="str">
        <f>+B123</f>
        <v>500ml golden bottle</v>
      </c>
      <c r="C129" s="336"/>
      <c r="D129" s="754" t="str">
        <f>+D123</f>
        <v>500ml 金瓶</v>
      </c>
      <c r="E129" s="336"/>
      <c r="F129" s="832"/>
      <c r="G129" s="832">
        <f t="shared" ref="G129:I132" si="197">+G108/G123</f>
        <v>0.59932344757687073</v>
      </c>
      <c r="H129" s="832">
        <f t="shared" si="197"/>
        <v>0.71196385712268817</v>
      </c>
      <c r="I129" s="832">
        <f t="shared" si="197"/>
        <v>0.85986647926914972</v>
      </c>
      <c r="J129" s="832"/>
      <c r="K129" s="832"/>
      <c r="L129" s="832"/>
      <c r="M129" s="832"/>
      <c r="N129" s="1527"/>
      <c r="O129" s="832"/>
      <c r="P129" s="832"/>
      <c r="Q129" s="1478"/>
      <c r="R129" s="1478"/>
      <c r="S129" s="1478"/>
      <c r="U129" s="740"/>
      <c r="V129" s="484"/>
      <c r="W129" s="484"/>
      <c r="X129" s="484"/>
      <c r="Y129" s="484"/>
      <c r="Z129" s="484"/>
      <c r="AA129" s="484"/>
      <c r="AB129" s="484"/>
      <c r="AC129" s="484"/>
      <c r="AD129" s="484"/>
      <c r="AE129" s="484"/>
      <c r="AF129" s="484"/>
      <c r="AG129" s="484"/>
      <c r="AH129" s="484"/>
      <c r="AI129" s="484"/>
      <c r="AJ129" s="484"/>
      <c r="AK129" s="484"/>
      <c r="AL129" s="484"/>
      <c r="AM129" s="484"/>
      <c r="AN129" s="484"/>
      <c r="AO129" s="484"/>
      <c r="AP129" s="484"/>
      <c r="AQ129" s="484"/>
      <c r="AR129" s="484"/>
      <c r="AS129" s="484"/>
      <c r="AT129" s="484"/>
      <c r="AU129" s="484"/>
      <c r="AV129" s="484"/>
      <c r="AW129" s="484"/>
      <c r="AX129" s="484"/>
      <c r="AZ129" s="740"/>
      <c r="BA129" s="740"/>
      <c r="BB129" s="484"/>
      <c r="BC129" s="484"/>
      <c r="BD129" s="484"/>
      <c r="BE129" s="484"/>
      <c r="BF129" s="484"/>
      <c r="BG129" s="484"/>
      <c r="BH129" s="484"/>
      <c r="BI129" s="484"/>
      <c r="BJ129" s="484"/>
      <c r="BK129" s="484"/>
      <c r="BL129" s="484"/>
      <c r="BM129" s="484"/>
      <c r="BN129" s="484"/>
      <c r="BO129" s="484"/>
      <c r="BP129" s="484"/>
      <c r="BQ129" s="484"/>
      <c r="BR129" s="484"/>
      <c r="BS129" s="484"/>
      <c r="BT129" s="484"/>
      <c r="BU129" s="484"/>
      <c r="BV129" s="484"/>
      <c r="BW129" s="484"/>
      <c r="BX129" s="484"/>
      <c r="BY129" s="484"/>
      <c r="BZ129" s="484"/>
      <c r="CA129" s="484"/>
      <c r="CB129" s="484"/>
      <c r="CC129" s="484"/>
    </row>
    <row r="130" spans="2:81" hidden="1" outlineLevel="1">
      <c r="B130" s="754" t="str">
        <f>+B124</f>
        <v>250ml golden bottle</v>
      </c>
      <c r="C130" s="336"/>
      <c r="D130" s="754" t="str">
        <f>+D124</f>
        <v>250ml 金瓶</v>
      </c>
      <c r="E130" s="336"/>
      <c r="F130" s="832"/>
      <c r="G130" s="832">
        <f t="shared" si="197"/>
        <v>0.73829445309733643</v>
      </c>
      <c r="H130" s="832">
        <f t="shared" si="197"/>
        <v>0.74135687428478003</v>
      </c>
      <c r="I130" s="832">
        <f t="shared" si="197"/>
        <v>0.78116117462452361</v>
      </c>
      <c r="J130" s="832"/>
      <c r="K130" s="832"/>
      <c r="L130" s="832"/>
      <c r="M130" s="832"/>
      <c r="N130" s="1527"/>
      <c r="O130" s="832"/>
      <c r="P130" s="832"/>
      <c r="Q130" s="1478"/>
      <c r="R130" s="1478"/>
      <c r="S130" s="1478"/>
      <c r="U130" s="740"/>
      <c r="V130" s="484"/>
      <c r="W130" s="484"/>
      <c r="X130" s="484"/>
      <c r="Y130" s="484"/>
      <c r="Z130" s="484"/>
      <c r="AA130" s="484"/>
      <c r="AB130" s="484"/>
      <c r="AC130" s="484"/>
      <c r="AD130" s="484"/>
      <c r="AE130" s="484"/>
      <c r="AF130" s="484"/>
      <c r="AG130" s="484"/>
      <c r="AH130" s="484"/>
      <c r="AI130" s="484"/>
      <c r="AJ130" s="484"/>
      <c r="AK130" s="484"/>
      <c r="AL130" s="484"/>
      <c r="AM130" s="484"/>
      <c r="AN130" s="484"/>
      <c r="AO130" s="484"/>
      <c r="AP130" s="484"/>
      <c r="AQ130" s="484"/>
      <c r="AR130" s="484"/>
      <c r="AS130" s="484"/>
      <c r="AT130" s="484"/>
      <c r="AU130" s="484"/>
      <c r="AV130" s="484"/>
      <c r="AW130" s="484"/>
      <c r="AX130" s="484"/>
      <c r="AZ130" s="740"/>
      <c r="BA130" s="740"/>
      <c r="BB130" s="484"/>
      <c r="BC130" s="484"/>
      <c r="BD130" s="484"/>
      <c r="BE130" s="484"/>
      <c r="BF130" s="484"/>
      <c r="BG130" s="484"/>
      <c r="BH130" s="484"/>
      <c r="BI130" s="484"/>
      <c r="BJ130" s="484"/>
      <c r="BK130" s="484"/>
      <c r="BL130" s="484"/>
      <c r="BM130" s="484"/>
      <c r="BN130" s="484"/>
      <c r="BO130" s="484"/>
      <c r="BP130" s="484"/>
      <c r="BQ130" s="484"/>
      <c r="BR130" s="484"/>
      <c r="BS130" s="484"/>
      <c r="BT130" s="484"/>
      <c r="BU130" s="484"/>
      <c r="BV130" s="484"/>
      <c r="BW130" s="484"/>
      <c r="BX130" s="484"/>
      <c r="BY130" s="484"/>
      <c r="BZ130" s="484"/>
      <c r="CA130" s="484"/>
      <c r="CB130" s="484"/>
      <c r="CC130" s="484"/>
    </row>
    <row r="131" spans="2:81" hidden="1" outlineLevel="1">
      <c r="B131" s="754" t="str">
        <f>+B125</f>
        <v>250ml golden can</v>
      </c>
      <c r="C131" s="336"/>
      <c r="D131" s="754" t="str">
        <f>+D125</f>
        <v>250ml 金罐</v>
      </c>
      <c r="E131" s="336"/>
      <c r="F131" s="832"/>
      <c r="G131" s="832">
        <f t="shared" si="197"/>
        <v>0.53104561403508777</v>
      </c>
      <c r="H131" s="832">
        <f t="shared" si="197"/>
        <v>0.61377260981912141</v>
      </c>
      <c r="I131" s="832">
        <f t="shared" si="197"/>
        <v>0.60929562712752028</v>
      </c>
      <c r="J131" s="832"/>
      <c r="K131" s="832"/>
      <c r="L131" s="832"/>
      <c r="M131" s="832"/>
      <c r="N131" s="1527"/>
      <c r="O131" s="832"/>
      <c r="P131" s="832"/>
      <c r="Q131" s="1478"/>
      <c r="R131" s="1478"/>
      <c r="S131" s="1478"/>
      <c r="U131" s="740"/>
      <c r="V131" s="484"/>
      <c r="W131" s="484"/>
      <c r="X131" s="484"/>
      <c r="Y131" s="484"/>
      <c r="Z131" s="484"/>
      <c r="AA131" s="484"/>
      <c r="AB131" s="484"/>
      <c r="AC131" s="484"/>
      <c r="AD131" s="484"/>
      <c r="AE131" s="484"/>
      <c r="AF131" s="484"/>
      <c r="AG131" s="484"/>
      <c r="AH131" s="484"/>
      <c r="AI131" s="484"/>
      <c r="AJ131" s="484"/>
      <c r="AK131" s="484"/>
      <c r="AL131" s="484"/>
      <c r="AM131" s="484"/>
      <c r="AN131" s="484"/>
      <c r="AO131" s="484"/>
      <c r="AP131" s="484"/>
      <c r="AQ131" s="484"/>
      <c r="AR131" s="484"/>
      <c r="AS131" s="484"/>
      <c r="AT131" s="484"/>
      <c r="AU131" s="484"/>
      <c r="AV131" s="484"/>
      <c r="AW131" s="484"/>
      <c r="AX131" s="484"/>
      <c r="AZ131" s="740"/>
      <c r="BA131" s="740"/>
      <c r="BB131" s="484"/>
      <c r="BC131" s="484"/>
      <c r="BD131" s="484"/>
      <c r="BE131" s="484"/>
      <c r="BF131" s="484"/>
      <c r="BG131" s="484"/>
      <c r="BH131" s="484"/>
      <c r="BI131" s="484"/>
      <c r="BJ131" s="484"/>
      <c r="BK131" s="484"/>
      <c r="BL131" s="484"/>
      <c r="BM131" s="484"/>
      <c r="BN131" s="484"/>
      <c r="BO131" s="484"/>
      <c r="BP131" s="484"/>
      <c r="BQ131" s="484"/>
      <c r="BR131" s="484"/>
      <c r="BS131" s="484"/>
      <c r="BT131" s="484"/>
      <c r="BU131" s="484"/>
      <c r="BV131" s="484"/>
      <c r="BW131" s="484"/>
      <c r="BX131" s="484"/>
      <c r="BY131" s="484"/>
      <c r="BZ131" s="484"/>
      <c r="CA131" s="484"/>
      <c r="CB131" s="484"/>
      <c r="CC131" s="484"/>
    </row>
    <row r="132" spans="2:81" hidden="1" outlineLevel="1">
      <c r="B132" s="754" t="str">
        <f>+B126</f>
        <v>250ml golden tetra pak</v>
      </c>
      <c r="C132" s="336"/>
      <c r="D132" s="754" t="str">
        <f>+D126</f>
        <v>250ml 金砖</v>
      </c>
      <c r="E132" s="336"/>
      <c r="F132" s="832"/>
      <c r="G132" s="832">
        <f t="shared" si="197"/>
        <v>0.90706666666666658</v>
      </c>
      <c r="H132" s="832">
        <f t="shared" si="197"/>
        <v>1.002488888888889</v>
      </c>
      <c r="I132" s="832">
        <f t="shared" si="197"/>
        <v>1.0875555555555556</v>
      </c>
      <c r="J132" s="832"/>
      <c r="K132" s="832"/>
      <c r="L132" s="832"/>
      <c r="M132" s="832"/>
      <c r="N132" s="1527"/>
      <c r="O132" s="832"/>
      <c r="P132" s="832"/>
      <c r="Q132" s="1478"/>
      <c r="R132" s="1478"/>
      <c r="S132" s="1478"/>
      <c r="U132" s="740"/>
      <c r="V132" s="484"/>
      <c r="W132" s="484"/>
      <c r="X132" s="484"/>
      <c r="Y132" s="484"/>
      <c r="Z132" s="484"/>
      <c r="AA132" s="484"/>
      <c r="AB132" s="484"/>
      <c r="AC132" s="484"/>
      <c r="AD132" s="484"/>
      <c r="AE132" s="484"/>
      <c r="AF132" s="484"/>
      <c r="AG132" s="484"/>
      <c r="AH132" s="484"/>
      <c r="AI132" s="484"/>
      <c r="AJ132" s="484"/>
      <c r="AK132" s="484"/>
      <c r="AL132" s="484"/>
      <c r="AM132" s="484"/>
      <c r="AN132" s="484"/>
      <c r="AO132" s="484"/>
      <c r="AP132" s="484"/>
      <c r="AQ132" s="484"/>
      <c r="AR132" s="484"/>
      <c r="AS132" s="484"/>
      <c r="AT132" s="484"/>
      <c r="AU132" s="484"/>
      <c r="AV132" s="484"/>
      <c r="AW132" s="484"/>
      <c r="AX132" s="484"/>
      <c r="AZ132" s="740"/>
      <c r="BA132" s="740"/>
      <c r="BB132" s="484"/>
      <c r="BC132" s="484"/>
      <c r="BD132" s="484"/>
      <c r="BE132" s="484"/>
      <c r="BF132" s="484"/>
      <c r="BG132" s="484"/>
      <c r="BH132" s="484"/>
      <c r="BI132" s="484"/>
      <c r="BJ132" s="484"/>
      <c r="BK132" s="484"/>
      <c r="BL132" s="484"/>
      <c r="BM132" s="484"/>
      <c r="BN132" s="484"/>
      <c r="BO132" s="484"/>
      <c r="BP132" s="484"/>
      <c r="BQ132" s="484"/>
      <c r="BR132" s="484"/>
      <c r="BS132" s="484"/>
      <c r="BT132" s="484"/>
      <c r="BU132" s="484"/>
      <c r="BV132" s="484"/>
      <c r="BW132" s="484"/>
      <c r="BX132" s="484"/>
      <c r="BY132" s="484"/>
      <c r="BZ132" s="484"/>
      <c r="CA132" s="484"/>
      <c r="CB132" s="484"/>
      <c r="CC132" s="484"/>
    </row>
    <row r="133" spans="2:81" hidden="1" outlineLevel="1">
      <c r="B133" s="754" t="str">
        <f>+B127</f>
        <v>other energy drinks</v>
      </c>
      <c r="C133" s="336"/>
      <c r="D133" s="754" t="str">
        <f>+D127</f>
        <v>其他东鹏特饮</v>
      </c>
      <c r="E133" s="336"/>
      <c r="F133" s="832"/>
      <c r="G133" s="832"/>
      <c r="H133" s="832"/>
      <c r="I133" s="832">
        <f>+(I112-I121)/I127</f>
        <v>0.41577060931899595</v>
      </c>
      <c r="J133" s="832"/>
      <c r="K133" s="832"/>
      <c r="L133" s="832"/>
      <c r="M133" s="832"/>
      <c r="N133" s="1527"/>
      <c r="O133" s="832"/>
      <c r="P133" s="832"/>
      <c r="Q133" s="1478"/>
      <c r="R133" s="1478"/>
      <c r="S133" s="1478"/>
      <c r="U133" s="740"/>
      <c r="V133" s="484"/>
      <c r="W133" s="484"/>
      <c r="X133" s="484"/>
      <c r="Y133" s="484"/>
      <c r="Z133" s="484"/>
      <c r="AA133" s="484"/>
      <c r="AB133" s="484"/>
      <c r="AC133" s="484"/>
      <c r="AD133" s="484"/>
      <c r="AE133" s="484"/>
      <c r="AF133" s="484"/>
      <c r="AG133" s="484"/>
      <c r="AH133" s="484"/>
      <c r="AI133" s="484"/>
      <c r="AJ133" s="484"/>
      <c r="AK133" s="484"/>
      <c r="AL133" s="484"/>
      <c r="AM133" s="484"/>
      <c r="AN133" s="484"/>
      <c r="AO133" s="484"/>
      <c r="AP133" s="484"/>
      <c r="AQ133" s="484"/>
      <c r="AR133" s="484"/>
      <c r="AS133" s="484"/>
      <c r="AT133" s="484"/>
      <c r="AU133" s="484"/>
      <c r="AV133" s="484"/>
      <c r="AW133" s="484"/>
      <c r="AX133" s="484"/>
      <c r="AZ133" s="740"/>
      <c r="BA133" s="740"/>
      <c r="BB133" s="484"/>
      <c r="BC133" s="484"/>
      <c r="BD133" s="484"/>
      <c r="BE133" s="484"/>
      <c r="BF133" s="484"/>
      <c r="BG133" s="484"/>
      <c r="BH133" s="484"/>
      <c r="BI133" s="484"/>
      <c r="BJ133" s="484"/>
      <c r="BK133" s="484"/>
      <c r="BL133" s="484"/>
      <c r="BM133" s="484"/>
      <c r="BN133" s="484"/>
      <c r="BO133" s="484"/>
      <c r="BP133" s="484"/>
      <c r="BQ133" s="484"/>
      <c r="BR133" s="484"/>
      <c r="BS133" s="484"/>
      <c r="BT133" s="484"/>
      <c r="BU133" s="484"/>
      <c r="BV133" s="484"/>
      <c r="BW133" s="484"/>
      <c r="BX133" s="484"/>
      <c r="BY133" s="484"/>
      <c r="BZ133" s="484"/>
      <c r="CA133" s="484"/>
      <c r="CB133" s="484"/>
      <c r="CC133" s="484"/>
    </row>
    <row r="134" spans="2:81" collapsed="1">
      <c r="B134" s="343"/>
      <c r="C134" s="343"/>
      <c r="D134" s="343"/>
      <c r="E134" s="343"/>
      <c r="F134" s="343"/>
      <c r="G134" s="343"/>
      <c r="H134" s="343"/>
      <c r="I134" s="343"/>
      <c r="J134" s="343"/>
      <c r="K134" s="343"/>
      <c r="L134" s="343"/>
      <c r="M134" s="343"/>
      <c r="N134" s="1528"/>
      <c r="O134" s="343"/>
      <c r="P134" s="343"/>
      <c r="Q134" s="302"/>
      <c r="R134" s="302"/>
      <c r="S134" s="302"/>
      <c r="U134" s="740"/>
      <c r="V134" s="484"/>
      <c r="W134" s="484"/>
      <c r="X134" s="484"/>
      <c r="Y134" s="484"/>
      <c r="Z134" s="484"/>
      <c r="AA134" s="484"/>
      <c r="AB134" s="484"/>
      <c r="AC134" s="484"/>
      <c r="AD134" s="484"/>
      <c r="AE134" s="484"/>
      <c r="AF134" s="484"/>
      <c r="AG134" s="484"/>
      <c r="AH134" s="484"/>
      <c r="AI134" s="484"/>
      <c r="AJ134" s="484"/>
      <c r="AK134" s="484"/>
      <c r="AL134" s="484"/>
      <c r="AM134" s="484"/>
      <c r="AN134" s="484"/>
      <c r="AO134" s="484"/>
      <c r="AP134" s="484"/>
      <c r="AQ134" s="484"/>
      <c r="AR134" s="484"/>
      <c r="AS134" s="484"/>
      <c r="AT134" s="484"/>
      <c r="AU134" s="484"/>
      <c r="AV134" s="484"/>
      <c r="AW134" s="484"/>
      <c r="AX134" s="484"/>
      <c r="AZ134" s="740"/>
      <c r="BA134" s="740"/>
      <c r="BB134" s="484"/>
      <c r="BC134" s="484"/>
      <c r="BD134" s="484"/>
      <c r="BE134" s="484"/>
      <c r="BF134" s="484"/>
      <c r="BG134" s="484"/>
      <c r="BH134" s="484"/>
      <c r="BI134" s="484"/>
      <c r="BJ134" s="484"/>
      <c r="BK134" s="484"/>
      <c r="BL134" s="484"/>
      <c r="BM134" s="484"/>
      <c r="BN134" s="484"/>
      <c r="BO134" s="484"/>
      <c r="BP134" s="484"/>
      <c r="BQ134" s="484"/>
      <c r="BR134" s="484"/>
      <c r="BS134" s="484"/>
      <c r="BT134" s="484"/>
      <c r="BU134" s="484"/>
      <c r="BV134" s="484"/>
      <c r="BW134" s="484"/>
      <c r="BX134" s="484"/>
      <c r="BY134" s="484"/>
      <c r="BZ134" s="484"/>
      <c r="CA134" s="484"/>
      <c r="CB134" s="484"/>
      <c r="CC134" s="484"/>
    </row>
    <row r="135" spans="2:81" s="37" customFormat="1">
      <c r="B135" s="829" t="s">
        <v>1185</v>
      </c>
      <c r="C135" s="760"/>
      <c r="D135" s="351" t="s">
        <v>1184</v>
      </c>
      <c r="E135" s="760"/>
      <c r="F135" s="1210"/>
      <c r="G135" s="756">
        <f t="shared" ref="G135:L135" si="198">+G74/G106*1000</f>
        <v>5323.039162333027</v>
      </c>
      <c r="H135" s="756">
        <f t="shared" si="198"/>
        <v>4717.2338577675864</v>
      </c>
      <c r="I135" s="756">
        <f t="shared" si="198"/>
        <v>4421.4786531794653</v>
      </c>
      <c r="J135" s="756">
        <f t="shared" si="198"/>
        <v>4370.5199349583363</v>
      </c>
      <c r="K135" s="756">
        <f t="shared" si="198"/>
        <v>4395.0578580221581</v>
      </c>
      <c r="L135" s="756">
        <f t="shared" si="198"/>
        <v>4334.5742383258894</v>
      </c>
      <c r="M135" s="756">
        <f>+M74/M106*1000</f>
        <v>4314.5547113724369</v>
      </c>
      <c r="N135" s="1529">
        <f>M135*(1+N136)</f>
        <v>4271.4091642587127</v>
      </c>
      <c r="O135" s="756">
        <f>N135*(1+O136)</f>
        <v>4271.4091642587127</v>
      </c>
      <c r="P135" s="756">
        <f>O135*(1+P136)</f>
        <v>4271.4091642587127</v>
      </c>
      <c r="Q135" s="756"/>
      <c r="R135" s="756"/>
      <c r="S135" s="756"/>
      <c r="T135" s="944"/>
      <c r="U135" s="1208"/>
      <c r="V135" s="1209"/>
      <c r="W135" s="1209"/>
      <c r="X135" s="1209"/>
      <c r="Y135" s="1209"/>
      <c r="Z135" s="1209"/>
      <c r="AA135" s="1209"/>
      <c r="AB135" s="1209"/>
      <c r="AC135" s="1209"/>
      <c r="AD135" s="1209"/>
      <c r="AE135" s="1209"/>
      <c r="AF135" s="1209"/>
      <c r="AG135" s="1209"/>
      <c r="AH135" s="1209"/>
      <c r="AI135" s="1209"/>
      <c r="AJ135" s="1209"/>
      <c r="AK135" s="1209"/>
      <c r="AL135" s="1209"/>
      <c r="AM135" s="1209"/>
      <c r="AN135" s="1209"/>
      <c r="AO135" s="1209"/>
      <c r="AP135" s="1209"/>
      <c r="AQ135" s="1209"/>
      <c r="AR135" s="1209"/>
      <c r="AS135" s="1209"/>
      <c r="AT135" s="1209"/>
      <c r="AU135" s="1209"/>
      <c r="AV135" s="1209"/>
      <c r="AW135" s="1209"/>
      <c r="AX135" s="1209"/>
      <c r="AY135" s="944"/>
      <c r="AZ135" s="1208"/>
      <c r="BA135" s="1208"/>
      <c r="BB135" s="1209"/>
      <c r="BC135" s="1209"/>
      <c r="BD135" s="1209"/>
      <c r="BE135" s="1209"/>
      <c r="BF135" s="1209"/>
      <c r="BG135" s="1209"/>
      <c r="BH135" s="1209"/>
      <c r="BI135" s="1209"/>
      <c r="BJ135" s="1209"/>
      <c r="BK135" s="1209"/>
      <c r="BL135" s="1209"/>
      <c r="BM135" s="1209"/>
      <c r="BN135" s="1209"/>
      <c r="BO135" s="1209"/>
      <c r="BP135" s="1209"/>
      <c r="BQ135" s="1209"/>
      <c r="BR135" s="1209"/>
      <c r="BS135" s="1209"/>
      <c r="BT135" s="1209"/>
      <c r="BU135" s="1209"/>
      <c r="BV135" s="1209"/>
      <c r="BW135" s="1209"/>
      <c r="BX135" s="1209"/>
      <c r="BY135" s="1209"/>
      <c r="BZ135" s="1209"/>
      <c r="CA135" s="1209"/>
      <c r="CB135" s="1209"/>
      <c r="CC135" s="1209"/>
    </row>
    <row r="136" spans="2:81" s="37" customFormat="1">
      <c r="B136" s="1168" t="s">
        <v>216</v>
      </c>
      <c r="C136" s="311"/>
      <c r="D136" s="314"/>
      <c r="E136" s="398"/>
      <c r="F136" s="1234"/>
      <c r="G136" s="313"/>
      <c r="H136" s="1235">
        <f t="shared" ref="H136:M136" si="199">H135/G135-1</f>
        <v>-0.11380816223413304</v>
      </c>
      <c r="I136" s="1235">
        <f t="shared" si="199"/>
        <v>-6.2696744216129696E-2</v>
      </c>
      <c r="J136" s="1235">
        <f t="shared" si="199"/>
        <v>-1.1525266142466739E-2</v>
      </c>
      <c r="K136" s="1235">
        <f t="shared" si="199"/>
        <v>5.6144173757339821E-3</v>
      </c>
      <c r="L136" s="1235">
        <f t="shared" si="199"/>
        <v>-1.3761734577821261E-2</v>
      </c>
      <c r="M136" s="1235">
        <f t="shared" si="199"/>
        <v>-4.6185682497814629E-3</v>
      </c>
      <c r="N136" s="1693">
        <v>-0.01</v>
      </c>
      <c r="O136" s="1694">
        <v>0</v>
      </c>
      <c r="P136" s="1694">
        <v>0</v>
      </c>
      <c r="Q136" s="1312"/>
      <c r="R136" s="1312"/>
      <c r="S136" s="1312"/>
      <c r="T136" s="944"/>
      <c r="U136" s="1164"/>
      <c r="V136" s="494"/>
      <c r="W136" s="494"/>
      <c r="X136" s="494"/>
      <c r="Y136" s="494"/>
      <c r="Z136" s="494"/>
      <c r="AA136" s="494"/>
      <c r="AB136" s="494"/>
      <c r="AC136" s="494"/>
      <c r="AD136" s="494"/>
      <c r="AE136" s="494"/>
      <c r="AF136" s="494"/>
      <c r="AG136" s="494"/>
      <c r="AH136" s="494"/>
      <c r="AI136" s="494"/>
      <c r="AJ136" s="494"/>
      <c r="AK136" s="494"/>
      <c r="AL136" s="494"/>
      <c r="AM136" s="494"/>
      <c r="AN136" s="494"/>
      <c r="AO136" s="494"/>
      <c r="AP136" s="494"/>
      <c r="AQ136" s="494"/>
      <c r="AR136" s="494"/>
      <c r="AS136" s="494"/>
      <c r="AT136" s="494"/>
      <c r="AU136" s="494"/>
      <c r="AV136" s="494"/>
      <c r="AW136" s="494"/>
      <c r="AX136" s="494"/>
      <c r="AY136" s="944"/>
    </row>
    <row r="137" spans="2:81">
      <c r="B137" s="310" t="s">
        <v>1328</v>
      </c>
      <c r="C137" s="307"/>
      <c r="D137" s="747"/>
      <c r="E137" s="1287"/>
      <c r="F137" s="418"/>
      <c r="G137" s="1288">
        <f t="shared" ref="G137:L137" si="200">G74/G106</f>
        <v>5.3230391623330267</v>
      </c>
      <c r="H137" s="1288">
        <f t="shared" si="200"/>
        <v>4.7172338577675861</v>
      </c>
      <c r="I137" s="1288">
        <f t="shared" si="200"/>
        <v>4.4214786531794656</v>
      </c>
      <c r="J137" s="1288">
        <f t="shared" si="200"/>
        <v>4.3705199349583363</v>
      </c>
      <c r="K137" s="1288">
        <f t="shared" si="200"/>
        <v>4.3950578580221578</v>
      </c>
      <c r="L137" s="1288">
        <f t="shared" si="200"/>
        <v>4.3345742383258896</v>
      </c>
      <c r="M137" s="1288">
        <f>M74/M106</f>
        <v>4.3145547113724367</v>
      </c>
      <c r="N137" s="1530"/>
      <c r="O137" s="1198"/>
      <c r="P137" s="1198"/>
      <c r="Q137" s="492"/>
      <c r="R137" s="492"/>
      <c r="S137" s="492"/>
      <c r="U137" s="789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</row>
    <row r="138" spans="2:81">
      <c r="B138" s="343" t="s">
        <v>216</v>
      </c>
      <c r="C138" s="307"/>
      <c r="D138" s="747"/>
      <c r="E138" s="1287"/>
      <c r="F138" s="418"/>
      <c r="G138" s="309"/>
      <c r="H138" s="1198">
        <f t="shared" ref="H138:M138" si="201">H137/G137-1</f>
        <v>-0.11380816223413304</v>
      </c>
      <c r="I138" s="1198">
        <f t="shared" si="201"/>
        <v>-6.2696744216129585E-2</v>
      </c>
      <c r="J138" s="1198">
        <f t="shared" si="201"/>
        <v>-1.152526614246685E-2</v>
      </c>
      <c r="K138" s="1198">
        <f t="shared" si="201"/>
        <v>5.6144173757339821E-3</v>
      </c>
      <c r="L138" s="1198">
        <f t="shared" si="201"/>
        <v>-1.376173457782115E-2</v>
      </c>
      <c r="M138" s="1198">
        <f t="shared" si="201"/>
        <v>-4.6185682497815739E-3</v>
      </c>
      <c r="N138" s="1530"/>
      <c r="O138" s="1198"/>
      <c r="P138" s="1198"/>
      <c r="Q138" s="492"/>
      <c r="R138" s="492"/>
      <c r="S138" s="492"/>
      <c r="U138" s="789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</row>
    <row r="139" spans="2:81" hidden="1" outlineLevel="1">
      <c r="B139" s="343" t="s">
        <v>1125</v>
      </c>
      <c r="C139" s="307"/>
      <c r="D139" s="343" t="s">
        <v>1121</v>
      </c>
      <c r="E139" s="307"/>
      <c r="F139" s="348"/>
      <c r="G139" s="349">
        <f t="shared" ref="G139:L139" si="202">+G75/G108*1000</f>
        <v>4302.0412120167603</v>
      </c>
      <c r="H139" s="349">
        <f t="shared" si="202"/>
        <v>4296.4527924740823</v>
      </c>
      <c r="I139" s="349">
        <f t="shared" si="202"/>
        <v>4202.5941423733984</v>
      </c>
      <c r="J139" s="1211">
        <f t="shared" si="202"/>
        <v>4242.7303656361646</v>
      </c>
      <c r="K139" s="349">
        <f t="shared" si="202"/>
        <v>4306.3000304390716</v>
      </c>
      <c r="L139" s="349">
        <f t="shared" si="202"/>
        <v>4261.5036972002572</v>
      </c>
      <c r="M139" s="349">
        <f>+M75/M108*1000</f>
        <v>4260.1797749187917</v>
      </c>
      <c r="N139" s="1519">
        <f>+N75/N108*1000</f>
        <v>4227.7937384276956</v>
      </c>
      <c r="O139" s="349">
        <f>+O75/O108*1000</f>
        <v>4240.0926644384517</v>
      </c>
      <c r="P139" s="349">
        <f>+P75/P108*1000</f>
        <v>4238.3140073675504</v>
      </c>
      <c r="Q139" s="1465"/>
      <c r="R139" s="1465"/>
      <c r="S139" s="1465"/>
      <c r="U139" s="740"/>
      <c r="V139" s="484"/>
      <c r="W139" s="484"/>
      <c r="X139" s="484"/>
      <c r="Y139" s="484"/>
      <c r="Z139" s="484"/>
      <c r="AA139" s="484"/>
      <c r="AB139" s="484"/>
      <c r="AC139" s="484"/>
      <c r="AD139" s="484"/>
      <c r="AE139" s="484"/>
      <c r="AF139" s="484"/>
      <c r="AG139" s="484"/>
      <c r="AH139" s="484"/>
      <c r="AI139" s="484"/>
      <c r="AJ139" s="484"/>
      <c r="AK139" s="484"/>
      <c r="AL139" s="484"/>
      <c r="AM139" s="484"/>
      <c r="AN139" s="484"/>
      <c r="AO139" s="484"/>
      <c r="AP139" s="484"/>
      <c r="AQ139" s="484"/>
      <c r="AR139" s="484"/>
      <c r="AS139" s="484"/>
      <c r="AT139" s="484"/>
      <c r="AU139" s="484"/>
      <c r="AV139" s="484"/>
      <c r="AW139" s="484"/>
      <c r="AX139" s="484"/>
      <c r="AZ139" s="740"/>
      <c r="BA139" s="740"/>
      <c r="BB139" s="484"/>
      <c r="BC139" s="484"/>
      <c r="BD139" s="484"/>
      <c r="BE139" s="484"/>
      <c r="BF139" s="484"/>
      <c r="BG139" s="484"/>
      <c r="BH139" s="484"/>
      <c r="BI139" s="484"/>
      <c r="BJ139" s="484"/>
      <c r="BK139" s="484"/>
      <c r="BL139" s="484"/>
      <c r="BM139" s="484"/>
      <c r="BN139" s="484"/>
      <c r="BO139" s="484"/>
      <c r="BP139" s="484"/>
      <c r="BQ139" s="484"/>
      <c r="BR139" s="484"/>
      <c r="BS139" s="484"/>
      <c r="BT139" s="484"/>
      <c r="BU139" s="484"/>
      <c r="BV139" s="484"/>
      <c r="BW139" s="484"/>
      <c r="BX139" s="484"/>
      <c r="BY139" s="484"/>
      <c r="BZ139" s="484"/>
      <c r="CA139" s="484"/>
      <c r="CB139" s="484"/>
      <c r="CC139" s="484"/>
    </row>
    <row r="140" spans="2:81" hidden="1" outlineLevel="1">
      <c r="B140" s="343" t="s">
        <v>1124</v>
      </c>
      <c r="C140" s="307"/>
      <c r="D140" s="343" t="s">
        <v>1120</v>
      </c>
      <c r="E140" s="307"/>
      <c r="F140" s="348"/>
      <c r="G140" s="349">
        <f t="shared" ref="G140:I142" si="203">+G76/G109*1000</f>
        <v>5837.1370213108485</v>
      </c>
      <c r="H140" s="349">
        <f t="shared" si="203"/>
        <v>5403.822813393077</v>
      </c>
      <c r="I140" s="349">
        <f t="shared" si="203"/>
        <v>4712.5414662702751</v>
      </c>
      <c r="J140" s="1128">
        <f t="shared" ref="J140:O143" si="204">I140</f>
        <v>4712.5414662702751</v>
      </c>
      <c r="K140" s="1128">
        <f t="shared" si="204"/>
        <v>4712.5414662702751</v>
      </c>
      <c r="L140" s="1128">
        <f t="shared" si="204"/>
        <v>4712.5414662702751</v>
      </c>
      <c r="M140" s="1128">
        <f t="shared" si="204"/>
        <v>4712.5414662702751</v>
      </c>
      <c r="N140" s="1531">
        <f t="shared" si="204"/>
        <v>4712.5414662702751</v>
      </c>
      <c r="O140" s="1128">
        <f t="shared" si="204"/>
        <v>4712.5414662702751</v>
      </c>
      <c r="P140" s="1128">
        <f t="shared" ref="P140:P143" si="205">O140</f>
        <v>4712.5414662702751</v>
      </c>
      <c r="Q140" s="1465"/>
      <c r="R140" s="1465"/>
      <c r="S140" s="1465"/>
      <c r="U140" s="740"/>
      <c r="V140" s="484"/>
      <c r="W140" s="484"/>
      <c r="X140" s="484"/>
      <c r="Y140" s="484"/>
      <c r="Z140" s="484"/>
      <c r="AA140" s="484"/>
      <c r="AB140" s="484"/>
      <c r="AC140" s="484"/>
      <c r="AD140" s="484"/>
      <c r="AE140" s="484"/>
      <c r="AF140" s="484"/>
      <c r="AG140" s="484"/>
      <c r="AH140" s="484"/>
      <c r="AI140" s="484"/>
      <c r="AJ140" s="484"/>
      <c r="AK140" s="484"/>
      <c r="AL140" s="484"/>
      <c r="AM140" s="484"/>
      <c r="AN140" s="484"/>
      <c r="AO140" s="484"/>
      <c r="AP140" s="484"/>
      <c r="AQ140" s="484"/>
      <c r="AR140" s="484"/>
      <c r="AS140" s="484"/>
      <c r="AT140" s="484"/>
      <c r="AU140" s="484"/>
      <c r="AV140" s="484"/>
      <c r="AW140" s="484"/>
      <c r="AX140" s="484"/>
      <c r="AZ140" s="740"/>
      <c r="BA140" s="740"/>
      <c r="BB140" s="484"/>
      <c r="BC140" s="484"/>
      <c r="BD140" s="484"/>
      <c r="BE140" s="484"/>
      <c r="BF140" s="484"/>
      <c r="BG140" s="484"/>
      <c r="BH140" s="484"/>
      <c r="BI140" s="484"/>
      <c r="BJ140" s="484"/>
      <c r="BK140" s="484"/>
      <c r="BL140" s="484"/>
      <c r="BM140" s="484"/>
      <c r="BN140" s="484"/>
      <c r="BO140" s="484"/>
      <c r="BP140" s="484"/>
      <c r="BQ140" s="484"/>
      <c r="BR140" s="484"/>
      <c r="BS140" s="484"/>
      <c r="BT140" s="484"/>
      <c r="BU140" s="484"/>
      <c r="BV140" s="484"/>
      <c r="BW140" s="484"/>
      <c r="BX140" s="484"/>
      <c r="BY140" s="484"/>
      <c r="BZ140" s="484"/>
      <c r="CA140" s="484"/>
      <c r="CB140" s="484"/>
      <c r="CC140" s="484"/>
    </row>
    <row r="141" spans="2:81" hidden="1" outlineLevel="1">
      <c r="B141" s="343" t="s">
        <v>1126</v>
      </c>
      <c r="C141" s="307"/>
      <c r="D141" s="343" t="s">
        <v>1122</v>
      </c>
      <c r="E141" s="307"/>
      <c r="F141" s="348"/>
      <c r="G141" s="349">
        <f t="shared" si="203"/>
        <v>7275.4235272352444</v>
      </c>
      <c r="H141" s="349">
        <f t="shared" si="203"/>
        <v>5657.9947796067863</v>
      </c>
      <c r="I141" s="349">
        <f t="shared" si="203"/>
        <v>5506.6319996561961</v>
      </c>
      <c r="J141" s="1128">
        <f t="shared" si="204"/>
        <v>5506.6319996561961</v>
      </c>
      <c r="K141" s="1128">
        <f t="shared" si="204"/>
        <v>5506.6319996561961</v>
      </c>
      <c r="L141" s="1128">
        <f t="shared" si="204"/>
        <v>5506.6319996561961</v>
      </c>
      <c r="M141" s="1128">
        <f t="shared" si="204"/>
        <v>5506.6319996561961</v>
      </c>
      <c r="N141" s="1531">
        <f t="shared" si="204"/>
        <v>5506.6319996561961</v>
      </c>
      <c r="O141" s="1128">
        <f t="shared" si="204"/>
        <v>5506.6319996561961</v>
      </c>
      <c r="P141" s="1128">
        <f t="shared" si="205"/>
        <v>5506.6319996561961</v>
      </c>
      <c r="Q141" s="1465"/>
      <c r="R141" s="1465"/>
      <c r="S141" s="1465"/>
      <c r="U141" s="740"/>
      <c r="V141" s="484"/>
      <c r="W141" s="484"/>
      <c r="X141" s="484"/>
      <c r="Y141" s="484"/>
      <c r="Z141" s="484"/>
      <c r="AA141" s="484"/>
      <c r="AB141" s="484"/>
      <c r="AC141" s="484"/>
      <c r="AD141" s="484"/>
      <c r="AE141" s="484"/>
      <c r="AF141" s="484"/>
      <c r="AG141" s="484"/>
      <c r="AH141" s="484"/>
      <c r="AI141" s="484"/>
      <c r="AJ141" s="484"/>
      <c r="AK141" s="484"/>
      <c r="AL141" s="484"/>
      <c r="AM141" s="484"/>
      <c r="AN141" s="484"/>
      <c r="AO141" s="484"/>
      <c r="AP141" s="484"/>
      <c r="AQ141" s="484"/>
      <c r="AR141" s="484"/>
      <c r="AS141" s="484"/>
      <c r="AT141" s="484"/>
      <c r="AU141" s="484"/>
      <c r="AV141" s="484"/>
      <c r="AW141" s="484"/>
      <c r="AX141" s="484"/>
      <c r="AZ141" s="740"/>
      <c r="BA141" s="740"/>
      <c r="BB141" s="484"/>
      <c r="BC141" s="484"/>
      <c r="BD141" s="484"/>
      <c r="BE141" s="484"/>
      <c r="BF141" s="484"/>
      <c r="BG141" s="484"/>
      <c r="BH141" s="484"/>
      <c r="BI141" s="484"/>
      <c r="BJ141" s="484"/>
      <c r="BK141" s="484"/>
      <c r="BL141" s="484"/>
      <c r="BM141" s="484"/>
      <c r="BN141" s="484"/>
      <c r="BO141" s="484"/>
      <c r="BP141" s="484"/>
      <c r="BQ141" s="484"/>
      <c r="BR141" s="484"/>
      <c r="BS141" s="484"/>
      <c r="BT141" s="484"/>
      <c r="BU141" s="484"/>
      <c r="BV141" s="484"/>
      <c r="BW141" s="484"/>
      <c r="BX141" s="484"/>
      <c r="BY141" s="484"/>
      <c r="BZ141" s="484"/>
      <c r="CA141" s="484"/>
      <c r="CB141" s="484"/>
      <c r="CC141" s="484"/>
    </row>
    <row r="142" spans="2:81" hidden="1" outlineLevel="1">
      <c r="B142" s="343" t="s">
        <v>1127</v>
      </c>
      <c r="C142" s="307"/>
      <c r="D142" s="343" t="s">
        <v>1123</v>
      </c>
      <c r="E142" s="307"/>
      <c r="F142" s="348"/>
      <c r="G142" s="349">
        <f t="shared" si="203"/>
        <v>3481.3366651967272</v>
      </c>
      <c r="H142" s="349">
        <f t="shared" si="203"/>
        <v>3260.1658095406983</v>
      </c>
      <c r="I142" s="349">
        <f t="shared" si="203"/>
        <v>3438.0261544748673</v>
      </c>
      <c r="J142" s="1128">
        <f t="shared" si="204"/>
        <v>3438.0261544748673</v>
      </c>
      <c r="K142" s="1128">
        <f t="shared" si="204"/>
        <v>3438.0261544748673</v>
      </c>
      <c r="L142" s="1128">
        <f t="shared" si="204"/>
        <v>3438.0261544748673</v>
      </c>
      <c r="M142" s="1128">
        <f t="shared" si="204"/>
        <v>3438.0261544748673</v>
      </c>
      <c r="N142" s="1531">
        <f t="shared" si="204"/>
        <v>3438.0261544748673</v>
      </c>
      <c r="O142" s="1128">
        <f t="shared" si="204"/>
        <v>3438.0261544748673</v>
      </c>
      <c r="P142" s="1128">
        <f t="shared" si="205"/>
        <v>3438.0261544748673</v>
      </c>
      <c r="Q142" s="1465"/>
      <c r="R142" s="1465"/>
      <c r="S142" s="1465"/>
      <c r="U142" s="740"/>
      <c r="V142" s="484"/>
      <c r="W142" s="484"/>
      <c r="X142" s="484"/>
      <c r="Y142" s="484"/>
      <c r="Z142" s="484"/>
      <c r="AA142" s="484"/>
      <c r="AB142" s="484"/>
      <c r="AC142" s="484"/>
      <c r="AD142" s="484"/>
      <c r="AE142" s="484"/>
      <c r="AF142" s="484"/>
      <c r="AG142" s="484"/>
      <c r="AH142" s="484"/>
      <c r="AI142" s="484"/>
      <c r="AJ142" s="484"/>
      <c r="AK142" s="484"/>
      <c r="AL142" s="484"/>
      <c r="AM142" s="484"/>
      <c r="AN142" s="484"/>
      <c r="AO142" s="484"/>
      <c r="AP142" s="484"/>
      <c r="AQ142" s="484"/>
      <c r="AR142" s="484"/>
      <c r="AS142" s="484"/>
      <c r="AT142" s="484"/>
      <c r="AU142" s="484"/>
      <c r="AV142" s="484"/>
      <c r="AW142" s="484"/>
      <c r="AX142" s="484"/>
      <c r="AZ142" s="740"/>
      <c r="BA142" s="740"/>
      <c r="BB142" s="484"/>
      <c r="BC142" s="484"/>
      <c r="BD142" s="484"/>
      <c r="BE142" s="484"/>
      <c r="BF142" s="484"/>
      <c r="BG142" s="484"/>
      <c r="BH142" s="484"/>
      <c r="BI142" s="484"/>
      <c r="BJ142" s="484"/>
      <c r="BK142" s="484"/>
      <c r="BL142" s="484"/>
      <c r="BM142" s="484"/>
      <c r="BN142" s="484"/>
      <c r="BO142" s="484"/>
      <c r="BP142" s="484"/>
      <c r="BQ142" s="484"/>
      <c r="BR142" s="484"/>
      <c r="BS142" s="484"/>
      <c r="BT142" s="484"/>
      <c r="BU142" s="484"/>
      <c r="BV142" s="484"/>
      <c r="BW142" s="484"/>
      <c r="BX142" s="484"/>
      <c r="BY142" s="484"/>
      <c r="BZ142" s="484"/>
      <c r="CA142" s="484"/>
      <c r="CB142" s="484"/>
      <c r="CC142" s="484"/>
    </row>
    <row r="143" spans="2:81" hidden="1" outlineLevel="1">
      <c r="B143" s="343" t="s">
        <v>1128</v>
      </c>
      <c r="C143" s="307"/>
      <c r="D143" s="343" t="s">
        <v>1271</v>
      </c>
      <c r="E143" s="307"/>
      <c r="F143" s="348"/>
      <c r="G143" s="349"/>
      <c r="H143" s="349"/>
      <c r="I143" s="349">
        <f>+I79/I112*1000</f>
        <v>6562.6304228445906</v>
      </c>
      <c r="J143" s="1128">
        <f t="shared" si="204"/>
        <v>6562.6304228445906</v>
      </c>
      <c r="K143" s="1128">
        <f t="shared" si="204"/>
        <v>6562.6304228445906</v>
      </c>
      <c r="L143" s="1128">
        <f t="shared" si="204"/>
        <v>6562.6304228445906</v>
      </c>
      <c r="M143" s="1128">
        <f t="shared" si="204"/>
        <v>6562.6304228445906</v>
      </c>
      <c r="N143" s="1531">
        <f t="shared" si="204"/>
        <v>6562.6304228445906</v>
      </c>
      <c r="O143" s="1128">
        <f t="shared" si="204"/>
        <v>6562.6304228445906</v>
      </c>
      <c r="P143" s="1128">
        <f t="shared" si="205"/>
        <v>6562.6304228445906</v>
      </c>
      <c r="Q143" s="1465"/>
      <c r="R143" s="1465"/>
      <c r="S143" s="1465"/>
      <c r="U143" s="740"/>
      <c r="V143" s="484"/>
      <c r="W143" s="484"/>
      <c r="X143" s="484"/>
      <c r="Y143" s="484"/>
      <c r="Z143" s="484"/>
      <c r="AA143" s="484"/>
      <c r="AB143" s="484"/>
      <c r="AC143" s="484"/>
      <c r="AD143" s="484"/>
      <c r="AE143" s="484"/>
      <c r="AF143" s="484"/>
      <c r="AG143" s="484"/>
      <c r="AH143" s="484"/>
      <c r="AI143" s="484"/>
      <c r="AJ143" s="484"/>
      <c r="AK143" s="484"/>
      <c r="AL143" s="484"/>
      <c r="AM143" s="484"/>
      <c r="AN143" s="484"/>
      <c r="AO143" s="484"/>
      <c r="AP143" s="484"/>
      <c r="AQ143" s="484"/>
      <c r="AR143" s="484"/>
      <c r="AS143" s="484"/>
      <c r="AT143" s="484"/>
      <c r="AU143" s="484"/>
      <c r="AV143" s="484"/>
      <c r="AW143" s="484"/>
      <c r="AX143" s="484"/>
      <c r="AZ143" s="740"/>
      <c r="BA143" s="740"/>
      <c r="BB143" s="484"/>
      <c r="BC143" s="484"/>
      <c r="BD143" s="484"/>
      <c r="BE143" s="484"/>
      <c r="BF143" s="484"/>
      <c r="BG143" s="484"/>
      <c r="BH143" s="484"/>
      <c r="BI143" s="484"/>
      <c r="BJ143" s="484"/>
      <c r="BK143" s="484"/>
      <c r="BL143" s="484"/>
      <c r="BM143" s="484"/>
      <c r="BN143" s="484"/>
      <c r="BO143" s="484"/>
      <c r="BP143" s="484"/>
      <c r="BQ143" s="484"/>
      <c r="BR143" s="484"/>
      <c r="BS143" s="484"/>
      <c r="BT143" s="484"/>
      <c r="BU143" s="484"/>
      <c r="BV143" s="484"/>
      <c r="BW143" s="484"/>
      <c r="BX143" s="484"/>
      <c r="BY143" s="484"/>
      <c r="BZ143" s="484"/>
      <c r="CA143" s="484"/>
      <c r="CB143" s="484"/>
      <c r="CC143" s="484"/>
    </row>
    <row r="144" spans="2:81" s="37" customFormat="1" collapsed="1">
      <c r="B144" s="829" t="s">
        <v>1186</v>
      </c>
      <c r="C144" s="760"/>
      <c r="D144" s="314" t="s">
        <v>1187</v>
      </c>
      <c r="E144" s="760"/>
      <c r="F144" s="1210"/>
      <c r="G144" s="756">
        <f t="shared" ref="G144:L144" si="206">+G80*1000/G106</f>
        <v>2763.5968690794853</v>
      </c>
      <c r="H144" s="756">
        <f t="shared" si="206"/>
        <v>2405.2575014995336</v>
      </c>
      <c r="I144" s="756">
        <f t="shared" si="206"/>
        <v>2269.6969178895383</v>
      </c>
      <c r="J144" s="756">
        <f t="shared" si="206"/>
        <v>2356.2031270918092</v>
      </c>
      <c r="K144" s="756">
        <f t="shared" si="206"/>
        <v>2493.7633949632977</v>
      </c>
      <c r="L144" s="756">
        <f t="shared" si="206"/>
        <v>2368.6753095971985</v>
      </c>
      <c r="M144" s="756">
        <f>+M80*1000/M106</f>
        <v>2232.7239187817427</v>
      </c>
      <c r="N144" s="1529">
        <f>M144*(1+N145)</f>
        <v>2098.760483654838</v>
      </c>
      <c r="O144" s="756">
        <f>N144*(1+O145)</f>
        <v>2046.291471563467</v>
      </c>
      <c r="P144" s="756">
        <f>O144*(1+P145)</f>
        <v>2046.291471563467</v>
      </c>
      <c r="Q144" s="756"/>
      <c r="R144" s="756"/>
      <c r="S144" s="756"/>
      <c r="T144" s="944"/>
      <c r="U144" s="1208"/>
      <c r="V144" s="1209"/>
      <c r="W144" s="1209"/>
      <c r="X144" s="1209"/>
      <c r="Y144" s="1209"/>
      <c r="Z144" s="1209"/>
      <c r="AA144" s="1209"/>
      <c r="AB144" s="1209"/>
      <c r="AC144" s="1209"/>
      <c r="AD144" s="1209"/>
      <c r="AE144" s="1209"/>
      <c r="AF144" s="1209"/>
      <c r="AG144" s="1209"/>
      <c r="AH144" s="1209"/>
      <c r="AI144" s="1209"/>
      <c r="AJ144" s="1209"/>
      <c r="AK144" s="1209"/>
      <c r="AL144" s="1209"/>
      <c r="AM144" s="1209"/>
      <c r="AN144" s="1209"/>
      <c r="AO144" s="1209"/>
      <c r="AP144" s="1209"/>
      <c r="AQ144" s="1209"/>
      <c r="AR144" s="1209"/>
      <c r="AS144" s="1209"/>
      <c r="AT144" s="1209"/>
      <c r="AU144" s="1209"/>
      <c r="AV144" s="1209"/>
      <c r="AW144" s="1209"/>
      <c r="AX144" s="1209"/>
      <c r="AY144" s="944"/>
      <c r="AZ144" s="1208"/>
      <c r="BA144" s="1208"/>
      <c r="BB144" s="1209"/>
      <c r="BC144" s="1209"/>
      <c r="BD144" s="1209"/>
      <c r="BE144" s="1209"/>
      <c r="BF144" s="1209"/>
      <c r="BG144" s="1209"/>
      <c r="BH144" s="1209"/>
      <c r="BI144" s="1209"/>
      <c r="BJ144" s="1209"/>
      <c r="BK144" s="1209"/>
      <c r="BL144" s="1209"/>
      <c r="BM144" s="1209"/>
      <c r="BN144" s="1209"/>
      <c r="BO144" s="1209"/>
      <c r="BP144" s="1209"/>
      <c r="BQ144" s="1209"/>
      <c r="BR144" s="1209"/>
      <c r="BS144" s="1209"/>
      <c r="BT144" s="1209"/>
      <c r="BU144" s="1209"/>
      <c r="BV144" s="1209"/>
      <c r="BW144" s="1209"/>
      <c r="BX144" s="1209"/>
      <c r="BY144" s="1209"/>
      <c r="BZ144" s="1209"/>
      <c r="CA144" s="1209"/>
      <c r="CB144" s="1209"/>
      <c r="CC144" s="1209"/>
    </row>
    <row r="145" spans="2:81" s="38" customFormat="1">
      <c r="B145" s="754" t="s">
        <v>216</v>
      </c>
      <c r="C145" s="336"/>
      <c r="D145" s="1280"/>
      <c r="E145" s="1281"/>
      <c r="F145" s="1282"/>
      <c r="G145" s="344"/>
      <c r="H145" s="1283">
        <f t="shared" ref="H145:M145" si="207">H144/G144-1</f>
        <v>-0.12966412416703499</v>
      </c>
      <c r="I145" s="1283">
        <f t="shared" si="207"/>
        <v>-5.6360112597292122E-2</v>
      </c>
      <c r="J145" s="1283">
        <f t="shared" si="207"/>
        <v>3.8113550985788835E-2</v>
      </c>
      <c r="K145" s="1283">
        <f t="shared" si="207"/>
        <v>5.8382176939589803E-2</v>
      </c>
      <c r="L145" s="1283">
        <f t="shared" si="207"/>
        <v>-5.0160366303692694E-2</v>
      </c>
      <c r="M145" s="1283">
        <f t="shared" si="207"/>
        <v>-5.7395536764629385E-2</v>
      </c>
      <c r="N145" s="1693">
        <v>-0.06</v>
      </c>
      <c r="O145" s="1694">
        <v>-2.5000000000000001E-2</v>
      </c>
      <c r="P145" s="1694">
        <v>0</v>
      </c>
      <c r="Q145" s="1479"/>
      <c r="R145" s="1479"/>
      <c r="S145" s="1479"/>
      <c r="T145" s="945"/>
      <c r="U145" s="1158"/>
      <c r="V145" s="1200"/>
      <c r="W145" s="1200"/>
      <c r="X145" s="1200"/>
      <c r="Y145" s="1200"/>
      <c r="Z145" s="1200"/>
      <c r="AA145" s="1200"/>
      <c r="AB145" s="1200"/>
      <c r="AC145" s="1200"/>
      <c r="AD145" s="1200"/>
      <c r="AE145" s="1200"/>
      <c r="AF145" s="1200"/>
      <c r="AG145" s="1200"/>
      <c r="AH145" s="1200"/>
      <c r="AI145" s="1200"/>
      <c r="AJ145" s="1200"/>
      <c r="AK145" s="1200"/>
      <c r="AL145" s="1200"/>
      <c r="AM145" s="1200"/>
      <c r="AN145" s="1200"/>
      <c r="AO145" s="1200"/>
      <c r="AP145" s="1200"/>
      <c r="AQ145" s="1200"/>
      <c r="AR145" s="1200"/>
      <c r="AS145" s="1200"/>
      <c r="AT145" s="1200"/>
      <c r="AU145" s="1200"/>
      <c r="AV145" s="1200"/>
      <c r="AW145" s="1200"/>
      <c r="AX145" s="1200"/>
      <c r="AY145" s="945"/>
    </row>
    <row r="146" spans="2:81" hidden="1" outlineLevel="1">
      <c r="B146" s="343" t="str">
        <f>+B139</f>
        <v>500ml golden bottle</v>
      </c>
      <c r="C146" s="307"/>
      <c r="D146" s="343" t="str">
        <f>+D139</f>
        <v>500ml 金瓶</v>
      </c>
      <c r="E146" s="39"/>
      <c r="F146" s="348"/>
      <c r="G146" s="349">
        <f t="shared" ref="G146:O146" si="208">+G82*1000/G108</f>
        <v>2449.7921087497443</v>
      </c>
      <c r="H146" s="349">
        <f t="shared" si="208"/>
        <v>2100.1907655210157</v>
      </c>
      <c r="I146" s="349">
        <f t="shared" si="208"/>
        <v>2006.8416163366276</v>
      </c>
      <c r="J146" s="349">
        <f t="shared" si="208"/>
        <v>2166.0177478686041</v>
      </c>
      <c r="K146" s="349">
        <f t="shared" si="208"/>
        <v>2374.3737540350553</v>
      </c>
      <c r="L146" s="349">
        <f t="shared" si="208"/>
        <v>2263.3595624164323</v>
      </c>
      <c r="M146" s="349">
        <f>+M82*1000/M108</f>
        <v>2134.6042203603174</v>
      </c>
      <c r="N146" s="1519">
        <f t="shared" si="208"/>
        <v>1975.6634723465104</v>
      </c>
      <c r="O146" s="349">
        <f t="shared" si="208"/>
        <v>1901.2718568001565</v>
      </c>
      <c r="P146" s="349">
        <f t="shared" ref="P146:P150" si="209">+P82*1000/P108</f>
        <v>1915.723863434102</v>
      </c>
      <c r="Q146" s="867"/>
      <c r="R146" s="867"/>
      <c r="S146" s="867"/>
      <c r="U146" s="740"/>
      <c r="V146" s="484"/>
      <c r="W146" s="484"/>
      <c r="X146" s="484"/>
      <c r="Y146" s="484"/>
      <c r="Z146" s="484"/>
      <c r="AA146" s="484"/>
      <c r="AB146" s="484"/>
      <c r="AC146" s="484"/>
      <c r="AD146" s="484"/>
      <c r="AE146" s="484"/>
      <c r="AF146" s="484"/>
      <c r="AG146" s="484"/>
      <c r="AH146" s="484"/>
      <c r="AI146" s="484"/>
      <c r="AJ146" s="484"/>
      <c r="AK146" s="484"/>
      <c r="AL146" s="484"/>
      <c r="AM146" s="484"/>
      <c r="AN146" s="484"/>
      <c r="AO146" s="484"/>
      <c r="AP146" s="484"/>
      <c r="AQ146" s="484"/>
      <c r="AR146" s="484"/>
      <c r="AS146" s="484"/>
      <c r="AT146" s="484"/>
      <c r="AU146" s="484"/>
      <c r="AV146" s="484"/>
      <c r="AW146" s="484"/>
      <c r="AX146" s="484"/>
      <c r="AZ146" s="740"/>
      <c r="BA146" s="740"/>
      <c r="BB146" s="484"/>
      <c r="BC146" s="484"/>
      <c r="BD146" s="484"/>
      <c r="BE146" s="484"/>
      <c r="BF146" s="484"/>
      <c r="BG146" s="484"/>
      <c r="BH146" s="484"/>
      <c r="BI146" s="484"/>
      <c r="BJ146" s="484"/>
      <c r="BK146" s="484"/>
      <c r="BL146" s="484"/>
      <c r="BM146" s="484"/>
      <c r="BN146" s="484"/>
      <c r="BO146" s="484"/>
      <c r="BP146" s="484"/>
      <c r="BQ146" s="484"/>
      <c r="BR146" s="484"/>
      <c r="BS146" s="484"/>
      <c r="BT146" s="484"/>
      <c r="BU146" s="484"/>
      <c r="BV146" s="484"/>
      <c r="BW146" s="484"/>
      <c r="BX146" s="484"/>
      <c r="BY146" s="484"/>
      <c r="BZ146" s="484"/>
      <c r="CA146" s="484"/>
      <c r="CB146" s="484"/>
      <c r="CC146" s="484"/>
    </row>
    <row r="147" spans="2:81" hidden="1" outlineLevel="1">
      <c r="B147" s="343" t="str">
        <f>+B140</f>
        <v>250ml golden bottle</v>
      </c>
      <c r="C147" s="307"/>
      <c r="D147" s="343" t="str">
        <f>+D140</f>
        <v>250ml 金瓶</v>
      </c>
      <c r="E147" s="39"/>
      <c r="F147" s="348"/>
      <c r="G147" s="349">
        <f t="shared" ref="G147:O147" si="210">+G83*1000/G109</f>
        <v>2809.6083284701399</v>
      </c>
      <c r="H147" s="349">
        <f t="shared" si="210"/>
        <v>2695.4089193098821</v>
      </c>
      <c r="I147" s="349">
        <f t="shared" si="210"/>
        <v>2634.0763782871709</v>
      </c>
      <c r="J147" s="349">
        <f t="shared" si="210"/>
        <v>2879.6780598254941</v>
      </c>
      <c r="K147" s="349">
        <f t="shared" si="210"/>
        <v>2926.803474488197</v>
      </c>
      <c r="L147" s="349">
        <f t="shared" si="210"/>
        <v>2922.090933021927</v>
      </c>
      <c r="M147" s="349">
        <f>+M83*1000/M109</f>
        <v>2874.965518359224</v>
      </c>
      <c r="N147" s="1519">
        <f t="shared" si="210"/>
        <v>2804.2773963651703</v>
      </c>
      <c r="O147" s="349">
        <f t="shared" si="210"/>
        <v>2804.2773963651698</v>
      </c>
      <c r="P147" s="349">
        <f t="shared" si="209"/>
        <v>2804.2773963651703</v>
      </c>
      <c r="Q147" s="867"/>
      <c r="R147" s="867"/>
      <c r="S147" s="867"/>
      <c r="U147" s="740"/>
      <c r="V147" s="484"/>
      <c r="W147" s="484"/>
      <c r="X147" s="484"/>
      <c r="Y147" s="484"/>
      <c r="Z147" s="484"/>
      <c r="AA147" s="484"/>
      <c r="AB147" s="484"/>
      <c r="AC147" s="484"/>
      <c r="AD147" s="484"/>
      <c r="AE147" s="484"/>
      <c r="AF147" s="484"/>
      <c r="AG147" s="484"/>
      <c r="AH147" s="484"/>
      <c r="AI147" s="484"/>
      <c r="AJ147" s="484"/>
      <c r="AK147" s="484"/>
      <c r="AL147" s="484"/>
      <c r="AM147" s="484"/>
      <c r="AN147" s="484"/>
      <c r="AO147" s="484"/>
      <c r="AP147" s="484"/>
      <c r="AQ147" s="484"/>
      <c r="AR147" s="484"/>
      <c r="AS147" s="484"/>
      <c r="AT147" s="484"/>
      <c r="AU147" s="484"/>
      <c r="AV147" s="484"/>
      <c r="AW147" s="484"/>
      <c r="AX147" s="484"/>
      <c r="AZ147" s="740"/>
      <c r="BA147" s="740"/>
      <c r="BB147" s="484"/>
      <c r="BC147" s="484"/>
      <c r="BD147" s="484"/>
      <c r="BE147" s="484"/>
      <c r="BF147" s="484"/>
      <c r="BG147" s="484"/>
      <c r="BH147" s="484"/>
      <c r="BI147" s="484"/>
      <c r="BJ147" s="484"/>
      <c r="BK147" s="484"/>
      <c r="BL147" s="484"/>
      <c r="BM147" s="484"/>
      <c r="BN147" s="484"/>
      <c r="BO147" s="484"/>
      <c r="BP147" s="484"/>
      <c r="BQ147" s="484"/>
      <c r="BR147" s="484"/>
      <c r="BS147" s="484"/>
      <c r="BT147" s="484"/>
      <c r="BU147" s="484"/>
      <c r="BV147" s="484"/>
      <c r="BW147" s="484"/>
      <c r="BX147" s="484"/>
      <c r="BY147" s="484"/>
      <c r="BZ147" s="484"/>
      <c r="CA147" s="484"/>
      <c r="CB147" s="484"/>
      <c r="CC147" s="484"/>
    </row>
    <row r="148" spans="2:81" hidden="1" outlineLevel="1">
      <c r="B148" s="343" t="str">
        <f>+B141</f>
        <v>250ml golden can</v>
      </c>
      <c r="C148" s="307"/>
      <c r="D148" s="343" t="str">
        <f>+D141</f>
        <v>250ml 金罐</v>
      </c>
      <c r="E148" s="39"/>
      <c r="F148" s="348"/>
      <c r="G148" s="349">
        <f t="shared" ref="G148:O148" si="211">+G84*1000/G110</f>
        <v>4102.0509025556985</v>
      </c>
      <c r="H148" s="349">
        <f t="shared" si="211"/>
        <v>3325.1820822632926</v>
      </c>
      <c r="I148" s="349">
        <f t="shared" si="211"/>
        <v>3298.1279814345271</v>
      </c>
      <c r="J148" s="349">
        <f t="shared" si="211"/>
        <v>3479.846837423182</v>
      </c>
      <c r="K148" s="349">
        <f t="shared" si="211"/>
        <v>3479.846837423182</v>
      </c>
      <c r="L148" s="349">
        <f t="shared" si="211"/>
        <v>3479.846837423182</v>
      </c>
      <c r="M148" s="349">
        <f>+M84*1000/M110</f>
        <v>3452.3136774249015</v>
      </c>
      <c r="N148" s="1519">
        <f t="shared" si="211"/>
        <v>3397.2473574283399</v>
      </c>
      <c r="O148" s="349">
        <f t="shared" si="211"/>
        <v>3397.2473574283399</v>
      </c>
      <c r="P148" s="349">
        <f t="shared" si="209"/>
        <v>3397.2473574283385</v>
      </c>
      <c r="Q148" s="867"/>
      <c r="R148" s="867"/>
      <c r="S148" s="867"/>
      <c r="U148" s="740"/>
      <c r="V148" s="484"/>
      <c r="W148" s="484"/>
      <c r="X148" s="484"/>
      <c r="Y148" s="484"/>
      <c r="Z148" s="484"/>
      <c r="AA148" s="484"/>
      <c r="AB148" s="484"/>
      <c r="AC148" s="484"/>
      <c r="AD148" s="484"/>
      <c r="AE148" s="484"/>
      <c r="AF148" s="484"/>
      <c r="AG148" s="484"/>
      <c r="AH148" s="484"/>
      <c r="AI148" s="484"/>
      <c r="AJ148" s="484"/>
      <c r="AK148" s="484"/>
      <c r="AL148" s="484"/>
      <c r="AM148" s="484"/>
      <c r="AN148" s="484"/>
      <c r="AO148" s="484"/>
      <c r="AP148" s="484"/>
      <c r="AQ148" s="484"/>
      <c r="AR148" s="484"/>
      <c r="AS148" s="484"/>
      <c r="AT148" s="484"/>
      <c r="AU148" s="484"/>
      <c r="AV148" s="484"/>
      <c r="AW148" s="484"/>
      <c r="AX148" s="484"/>
      <c r="AZ148" s="740"/>
      <c r="BA148" s="740"/>
      <c r="BB148" s="484"/>
      <c r="BC148" s="484"/>
      <c r="BD148" s="484"/>
      <c r="BE148" s="484"/>
      <c r="BF148" s="484"/>
      <c r="BG148" s="484"/>
      <c r="BH148" s="484"/>
      <c r="BI148" s="484"/>
      <c r="BJ148" s="484"/>
      <c r="BK148" s="484"/>
      <c r="BL148" s="484"/>
      <c r="BM148" s="484"/>
      <c r="BN148" s="484"/>
      <c r="BO148" s="484"/>
      <c r="BP148" s="484"/>
      <c r="BQ148" s="484"/>
      <c r="BR148" s="484"/>
      <c r="BS148" s="484"/>
      <c r="BT148" s="484"/>
      <c r="BU148" s="484"/>
      <c r="BV148" s="484"/>
      <c r="BW148" s="484"/>
      <c r="BX148" s="484"/>
      <c r="BY148" s="484"/>
      <c r="BZ148" s="484"/>
      <c r="CA148" s="484"/>
      <c r="CB148" s="484"/>
      <c r="CC148" s="484"/>
    </row>
    <row r="149" spans="2:81" hidden="1" outlineLevel="1">
      <c r="B149" s="343" t="str">
        <f>+B142</f>
        <v>250ml golden tetra pak</v>
      </c>
      <c r="C149" s="307"/>
      <c r="D149" s="343" t="str">
        <f>+D142</f>
        <v>250ml 金砖</v>
      </c>
      <c r="E149" s="39"/>
      <c r="F149" s="348"/>
      <c r="G149" s="349">
        <f t="shared" ref="G149:O149" si="212">+G85*1000/G111</f>
        <v>2464.7508452153461</v>
      </c>
      <c r="H149" s="349">
        <f t="shared" si="212"/>
        <v>2434.017556304309</v>
      </c>
      <c r="I149" s="349">
        <f t="shared" si="212"/>
        <v>2500.1879852881084</v>
      </c>
      <c r="J149" s="349">
        <f t="shared" si="212"/>
        <v>2613.6428483857785</v>
      </c>
      <c r="K149" s="349">
        <f t="shared" si="212"/>
        <v>2613.6428483857785</v>
      </c>
      <c r="L149" s="349">
        <f t="shared" si="212"/>
        <v>2613.642848385779</v>
      </c>
      <c r="M149" s="349">
        <f>+M85*1000/M111</f>
        <v>2596.4527176134043</v>
      </c>
      <c r="N149" s="1519">
        <f t="shared" si="212"/>
        <v>2534.5682468328569</v>
      </c>
      <c r="O149" s="349">
        <f t="shared" si="212"/>
        <v>2534.5682468328569</v>
      </c>
      <c r="P149" s="349">
        <f t="shared" si="209"/>
        <v>2534.5682468328569</v>
      </c>
      <c r="Q149" s="867"/>
      <c r="R149" s="867"/>
      <c r="S149" s="867"/>
      <c r="U149" s="740"/>
      <c r="V149" s="484"/>
      <c r="W149" s="484"/>
      <c r="X149" s="484"/>
      <c r="Y149" s="484"/>
      <c r="Z149" s="484"/>
      <c r="AA149" s="484"/>
      <c r="AB149" s="484"/>
      <c r="AC149" s="484"/>
      <c r="AD149" s="484"/>
      <c r="AE149" s="484"/>
      <c r="AF149" s="484"/>
      <c r="AG149" s="484"/>
      <c r="AH149" s="484"/>
      <c r="AI149" s="484"/>
      <c r="AJ149" s="484"/>
      <c r="AK149" s="484"/>
      <c r="AL149" s="484"/>
      <c r="AM149" s="484"/>
      <c r="AN149" s="484"/>
      <c r="AO149" s="484"/>
      <c r="AP149" s="484"/>
      <c r="AQ149" s="484"/>
      <c r="AR149" s="484"/>
      <c r="AS149" s="484"/>
      <c r="AT149" s="484"/>
      <c r="AU149" s="484"/>
      <c r="AV149" s="484"/>
      <c r="AW149" s="484"/>
      <c r="AX149" s="484"/>
      <c r="AZ149" s="740"/>
      <c r="BA149" s="740"/>
      <c r="BB149" s="484"/>
      <c r="BC149" s="484"/>
      <c r="BD149" s="484"/>
      <c r="BE149" s="484"/>
      <c r="BF149" s="484"/>
      <c r="BG149" s="484"/>
      <c r="BH149" s="484"/>
      <c r="BI149" s="484"/>
      <c r="BJ149" s="484"/>
      <c r="BK149" s="484"/>
      <c r="BL149" s="484"/>
      <c r="BM149" s="484"/>
      <c r="BN149" s="484"/>
      <c r="BO149" s="484"/>
      <c r="BP149" s="484"/>
      <c r="BQ149" s="484"/>
      <c r="BR149" s="484"/>
      <c r="BS149" s="484"/>
      <c r="BT149" s="484"/>
      <c r="BU149" s="484"/>
      <c r="BV149" s="484"/>
      <c r="BW149" s="484"/>
      <c r="BX149" s="484"/>
      <c r="BY149" s="484"/>
      <c r="BZ149" s="484"/>
      <c r="CA149" s="484"/>
      <c r="CB149" s="484"/>
      <c r="CC149" s="484"/>
    </row>
    <row r="150" spans="2:81" hidden="1" outlineLevel="1">
      <c r="B150" s="343" t="str">
        <f>+B143</f>
        <v>other energy drinks</v>
      </c>
      <c r="C150" s="307"/>
      <c r="D150" s="343" t="str">
        <f>+D143</f>
        <v>其他东鹏特饮</v>
      </c>
      <c r="E150" s="39"/>
      <c r="F150" s="348"/>
      <c r="G150" s="349"/>
      <c r="H150" s="349"/>
      <c r="I150" s="349">
        <f t="shared" ref="I150:O150" si="213">+I86*1000/I112</f>
        <v>3422.0483250961011</v>
      </c>
      <c r="J150" s="349">
        <f t="shared" si="213"/>
        <v>3638.6151290499729</v>
      </c>
      <c r="K150" s="349" t="e">
        <f t="shared" si="213"/>
        <v>#DIV/0!</v>
      </c>
      <c r="L150" s="349" t="e">
        <f t="shared" si="213"/>
        <v>#DIV/0!</v>
      </c>
      <c r="M150" s="349" t="e">
        <f>+M86*1000/M112</f>
        <v>#DIV/0!</v>
      </c>
      <c r="N150" s="1519" t="e">
        <f t="shared" si="213"/>
        <v>#DIV/0!</v>
      </c>
      <c r="O150" s="349" t="e">
        <f t="shared" si="213"/>
        <v>#DIV/0!</v>
      </c>
      <c r="P150" s="349" t="e">
        <f t="shared" si="209"/>
        <v>#DIV/0!</v>
      </c>
      <c r="Q150" s="867"/>
      <c r="R150" s="867"/>
      <c r="S150" s="867"/>
      <c r="U150" s="740"/>
      <c r="V150" s="484"/>
      <c r="W150" s="484"/>
      <c r="X150" s="484"/>
      <c r="Y150" s="484"/>
      <c r="Z150" s="484"/>
      <c r="AA150" s="484"/>
      <c r="AB150" s="484"/>
      <c r="AC150" s="484"/>
      <c r="AD150" s="484"/>
      <c r="AE150" s="484"/>
      <c r="AF150" s="484"/>
      <c r="AG150" s="484"/>
      <c r="AH150" s="484"/>
      <c r="AI150" s="484"/>
      <c r="AJ150" s="484"/>
      <c r="AK150" s="484"/>
      <c r="AL150" s="484"/>
      <c r="AM150" s="484"/>
      <c r="AN150" s="484"/>
      <c r="AO150" s="484"/>
      <c r="AP150" s="484"/>
      <c r="AQ150" s="484"/>
      <c r="AR150" s="484"/>
      <c r="AS150" s="484"/>
      <c r="AT150" s="484"/>
      <c r="AU150" s="484"/>
      <c r="AV150" s="484"/>
      <c r="AW150" s="484"/>
      <c r="AX150" s="484"/>
      <c r="AZ150" s="740"/>
      <c r="BA150" s="740"/>
      <c r="BB150" s="484"/>
      <c r="BC150" s="484"/>
      <c r="BD150" s="484"/>
      <c r="BE150" s="484"/>
      <c r="BF150" s="484"/>
      <c r="BG150" s="484"/>
      <c r="BH150" s="484"/>
      <c r="BI150" s="484"/>
      <c r="BJ150" s="484"/>
      <c r="BK150" s="484"/>
      <c r="BL150" s="484"/>
      <c r="BM150" s="484"/>
      <c r="BN150" s="484"/>
      <c r="BO150" s="484"/>
      <c r="BP150" s="484"/>
      <c r="BQ150" s="484"/>
      <c r="BR150" s="484"/>
      <c r="BS150" s="484"/>
      <c r="BT150" s="484"/>
      <c r="BU150" s="484"/>
      <c r="BV150" s="484"/>
      <c r="BW150" s="484"/>
      <c r="BX150" s="484"/>
      <c r="BY150" s="484"/>
      <c r="BZ150" s="484"/>
      <c r="CA150" s="484"/>
      <c r="CB150" s="484"/>
      <c r="CC150" s="484"/>
    </row>
    <row r="151" spans="2:81" hidden="1" outlineLevel="1">
      <c r="B151" s="1168" t="s">
        <v>216</v>
      </c>
      <c r="D151" s="343"/>
      <c r="E151" s="39"/>
      <c r="F151" s="630"/>
      <c r="G151" s="867"/>
      <c r="H151" s="492">
        <f t="shared" ref="H151:O151" si="214">H144/G144-1</f>
        <v>-0.12966412416703499</v>
      </c>
      <c r="I151" s="492">
        <f t="shared" si="214"/>
        <v>-5.6360112597292122E-2</v>
      </c>
      <c r="J151" s="492">
        <f t="shared" si="214"/>
        <v>3.8113550985788835E-2</v>
      </c>
      <c r="K151" s="492">
        <f t="shared" si="214"/>
        <v>5.8382176939589803E-2</v>
      </c>
      <c r="L151" s="492">
        <f t="shared" si="214"/>
        <v>-5.0160366303692694E-2</v>
      </c>
      <c r="M151" s="492">
        <f t="shared" si="214"/>
        <v>-5.7395536764629385E-2</v>
      </c>
      <c r="N151" s="1533">
        <f t="shared" si="214"/>
        <v>-6.0000000000000053E-2</v>
      </c>
      <c r="O151" s="492">
        <f t="shared" si="214"/>
        <v>-2.5000000000000022E-2</v>
      </c>
      <c r="P151" s="492">
        <f>P144/O144-1</f>
        <v>0</v>
      </c>
      <c r="Q151" s="492"/>
      <c r="R151" s="492"/>
      <c r="S151" s="492"/>
      <c r="U151" s="740"/>
      <c r="V151" s="484"/>
      <c r="W151" s="484"/>
      <c r="X151" s="484"/>
      <c r="Y151" s="484"/>
      <c r="Z151" s="484"/>
      <c r="AA151" s="484"/>
      <c r="AB151" s="484"/>
      <c r="AC151" s="484"/>
      <c r="AD151" s="484"/>
      <c r="AE151" s="484"/>
      <c r="AF151" s="484"/>
      <c r="AG151" s="484"/>
      <c r="AH151" s="484"/>
      <c r="AI151" s="484"/>
      <c r="AJ151" s="484"/>
      <c r="AK151" s="484"/>
      <c r="AL151" s="484"/>
      <c r="AM151" s="484"/>
      <c r="AN151" s="484"/>
      <c r="AO151" s="484"/>
      <c r="AP151" s="484"/>
      <c r="AQ151" s="484"/>
      <c r="AR151" s="484"/>
      <c r="AS151" s="484"/>
      <c r="AT151" s="484"/>
      <c r="AU151" s="484"/>
      <c r="AV151" s="484"/>
      <c r="AW151" s="484"/>
      <c r="AX151" s="484"/>
      <c r="AZ151" s="740"/>
      <c r="BA151" s="740"/>
      <c r="BB151" s="484"/>
      <c r="BC151" s="484"/>
      <c r="BD151" s="484"/>
      <c r="BE151" s="484"/>
      <c r="BF151" s="484"/>
      <c r="BG151" s="484"/>
      <c r="BH151" s="484"/>
      <c r="BI151" s="484"/>
      <c r="BJ151" s="484"/>
      <c r="BK151" s="484"/>
      <c r="BL151" s="484"/>
      <c r="BM151" s="484"/>
      <c r="BN151" s="484"/>
      <c r="BO151" s="484"/>
      <c r="BP151" s="484"/>
      <c r="BQ151" s="484"/>
      <c r="BR151" s="484"/>
      <c r="BS151" s="484"/>
      <c r="BT151" s="484"/>
      <c r="BU151" s="484"/>
      <c r="BV151" s="484"/>
      <c r="BW151" s="484"/>
      <c r="BX151" s="484"/>
      <c r="BY151" s="484"/>
      <c r="BZ151" s="484"/>
      <c r="CA151" s="484"/>
      <c r="CB151" s="484"/>
      <c r="CC151" s="484"/>
    </row>
    <row r="152" spans="2:81" s="37" customFormat="1" ht="12.75" customHeight="1" collapsed="1">
      <c r="B152" s="829" t="s">
        <v>1189</v>
      </c>
      <c r="C152" s="760"/>
      <c r="D152" s="351" t="s">
        <v>1188</v>
      </c>
      <c r="E152" s="760"/>
      <c r="F152" s="1210"/>
      <c r="G152" s="756">
        <f>+G135-G144</f>
        <v>2559.4422932535417</v>
      </c>
      <c r="H152" s="756">
        <f>+H135-H144</f>
        <v>2311.9763562680528</v>
      </c>
      <c r="I152" s="756">
        <f>+I135-I144</f>
        <v>2151.7817352899269</v>
      </c>
      <c r="J152" s="756">
        <f t="shared" ref="J152:O152" si="215">+J135-J144</f>
        <v>2014.3168078665271</v>
      </c>
      <c r="K152" s="756">
        <f t="shared" si="215"/>
        <v>1901.2944630588604</v>
      </c>
      <c r="L152" s="756">
        <f t="shared" si="215"/>
        <v>1965.8989287286909</v>
      </c>
      <c r="M152" s="756">
        <f>+M135-M144</f>
        <v>2081.8307925906943</v>
      </c>
      <c r="N152" s="1529">
        <f t="shared" si="215"/>
        <v>2172.6486806038747</v>
      </c>
      <c r="O152" s="756">
        <f t="shared" si="215"/>
        <v>2225.1176926952458</v>
      </c>
      <c r="P152" s="756">
        <f>+P135-P144</f>
        <v>2225.1176926952458</v>
      </c>
      <c r="Q152" s="756"/>
      <c r="R152" s="756"/>
      <c r="S152" s="756"/>
      <c r="T152" s="944"/>
      <c r="U152" s="1208"/>
      <c r="V152" s="1209"/>
      <c r="W152" s="1209"/>
      <c r="X152" s="1209"/>
      <c r="Y152" s="1209"/>
      <c r="Z152" s="1209"/>
      <c r="AA152" s="1209"/>
      <c r="AB152" s="1209"/>
      <c r="AC152" s="1209"/>
      <c r="AD152" s="1209"/>
      <c r="AE152" s="1209"/>
      <c r="AF152" s="1209"/>
      <c r="AG152" s="1209"/>
      <c r="AH152" s="1209"/>
      <c r="AI152" s="1209"/>
      <c r="AJ152" s="1209"/>
      <c r="AK152" s="1209"/>
      <c r="AL152" s="1209"/>
      <c r="AM152" s="1209"/>
      <c r="AN152" s="1209"/>
      <c r="AO152" s="1209"/>
      <c r="AP152" s="1209"/>
      <c r="AQ152" s="1209"/>
      <c r="AR152" s="1209"/>
      <c r="AS152" s="1209"/>
      <c r="AT152" s="1209"/>
      <c r="AU152" s="1209"/>
      <c r="AV152" s="1209"/>
      <c r="AW152" s="1209"/>
      <c r="AX152" s="1209"/>
      <c r="AY152" s="944"/>
      <c r="AZ152" s="1208"/>
      <c r="BA152" s="1208"/>
      <c r="BB152" s="1209"/>
      <c r="BC152" s="1209"/>
      <c r="BD152" s="1209"/>
      <c r="BE152" s="1209"/>
      <c r="BF152" s="1209"/>
      <c r="BG152" s="1209"/>
      <c r="BH152" s="1209"/>
      <c r="BI152" s="1209"/>
      <c r="BJ152" s="1209"/>
      <c r="BK152" s="1209"/>
      <c r="BL152" s="1209"/>
      <c r="BM152" s="1209"/>
      <c r="BN152" s="1209"/>
      <c r="BO152" s="1209"/>
      <c r="BP152" s="1209"/>
      <c r="BQ152" s="1209"/>
      <c r="BR152" s="1209"/>
      <c r="BS152" s="1209"/>
      <c r="BT152" s="1209"/>
      <c r="BU152" s="1209"/>
      <c r="BV152" s="1209"/>
      <c r="BW152" s="1209"/>
      <c r="BX152" s="1209"/>
      <c r="BY152" s="1209"/>
      <c r="BZ152" s="1209"/>
      <c r="CA152" s="1209"/>
      <c r="CB152" s="1209"/>
      <c r="CC152" s="1209"/>
    </row>
    <row r="153" spans="2:81" hidden="1" outlineLevel="1">
      <c r="B153" s="343" t="str">
        <f>+B146</f>
        <v>500ml golden bottle</v>
      </c>
      <c r="C153" s="307"/>
      <c r="D153" s="343" t="str">
        <f>+D146</f>
        <v>500ml 金瓶</v>
      </c>
      <c r="E153" s="39"/>
      <c r="F153" s="348"/>
      <c r="G153" s="349">
        <f t="shared" ref="G153:I156" si="216">+G139-G146</f>
        <v>1852.2491032670159</v>
      </c>
      <c r="H153" s="349">
        <f t="shared" si="216"/>
        <v>2196.2620269530667</v>
      </c>
      <c r="I153" s="349">
        <f t="shared" si="216"/>
        <v>2195.7525260367711</v>
      </c>
      <c r="J153" s="349"/>
      <c r="K153" s="349"/>
      <c r="L153" s="349"/>
      <c r="M153" s="349"/>
      <c r="N153" s="1519"/>
      <c r="O153" s="349"/>
      <c r="P153" s="349"/>
      <c r="Q153" s="867"/>
      <c r="R153" s="867"/>
      <c r="S153" s="867"/>
      <c r="U153" s="740"/>
      <c r="V153" s="484"/>
      <c r="W153" s="484"/>
      <c r="X153" s="484"/>
      <c r="Y153" s="484"/>
      <c r="Z153" s="484"/>
      <c r="AA153" s="484"/>
      <c r="AB153" s="484"/>
      <c r="AC153" s="484"/>
      <c r="AD153" s="484"/>
      <c r="AE153" s="484"/>
      <c r="AF153" s="484"/>
      <c r="AG153" s="484"/>
      <c r="AH153" s="484"/>
      <c r="AI153" s="484"/>
      <c r="AJ153" s="484"/>
      <c r="AK153" s="484"/>
      <c r="AL153" s="484"/>
      <c r="AM153" s="484"/>
      <c r="AN153" s="484"/>
      <c r="AO153" s="484"/>
      <c r="AP153" s="484"/>
      <c r="AQ153" s="484"/>
      <c r="AR153" s="484"/>
      <c r="AS153" s="484"/>
      <c r="AT153" s="484"/>
      <c r="AU153" s="484"/>
      <c r="AV153" s="484"/>
      <c r="AW153" s="484"/>
      <c r="AX153" s="484"/>
      <c r="AZ153" s="740"/>
      <c r="BA153" s="740"/>
      <c r="BB153" s="484"/>
      <c r="BC153" s="484"/>
      <c r="BD153" s="484"/>
      <c r="BE153" s="484"/>
      <c r="BF153" s="484"/>
      <c r="BG153" s="484"/>
      <c r="BH153" s="484"/>
      <c r="BI153" s="484"/>
      <c r="BJ153" s="484"/>
      <c r="BK153" s="484"/>
      <c r="BL153" s="484"/>
      <c r="BM153" s="484"/>
      <c r="BN153" s="484"/>
      <c r="BO153" s="484"/>
      <c r="BP153" s="484"/>
      <c r="BQ153" s="484"/>
      <c r="BR153" s="484"/>
      <c r="BS153" s="484"/>
      <c r="BT153" s="484"/>
      <c r="BU153" s="484"/>
      <c r="BV153" s="484"/>
      <c r="BW153" s="484"/>
      <c r="BX153" s="484"/>
      <c r="BY153" s="484"/>
      <c r="BZ153" s="484"/>
      <c r="CA153" s="484"/>
      <c r="CB153" s="484"/>
      <c r="CC153" s="484"/>
    </row>
    <row r="154" spans="2:81" hidden="1" outlineLevel="1">
      <c r="B154" s="343" t="str">
        <f>+B147</f>
        <v>250ml golden bottle</v>
      </c>
      <c r="C154" s="307"/>
      <c r="D154" s="343" t="str">
        <f>+D147</f>
        <v>250ml 金瓶</v>
      </c>
      <c r="E154" s="39"/>
      <c r="F154" s="348"/>
      <c r="G154" s="349">
        <f t="shared" si="216"/>
        <v>3027.5286928407086</v>
      </c>
      <c r="H154" s="349">
        <f t="shared" si="216"/>
        <v>2708.4138940831949</v>
      </c>
      <c r="I154" s="349">
        <f t="shared" si="216"/>
        <v>2078.4650879831042</v>
      </c>
      <c r="J154" s="349"/>
      <c r="K154" s="349"/>
      <c r="L154" s="349"/>
      <c r="M154" s="349"/>
      <c r="N154" s="1519"/>
      <c r="O154" s="349"/>
      <c r="P154" s="349"/>
      <c r="Q154" s="867"/>
      <c r="R154" s="867"/>
      <c r="S154" s="867"/>
      <c r="U154" s="740"/>
      <c r="V154" s="484"/>
      <c r="W154" s="484"/>
      <c r="X154" s="484"/>
      <c r="Y154" s="484"/>
      <c r="Z154" s="484"/>
      <c r="AA154" s="484"/>
      <c r="AB154" s="484"/>
      <c r="AC154" s="484"/>
      <c r="AD154" s="484"/>
      <c r="AE154" s="484"/>
      <c r="AF154" s="484"/>
      <c r="AG154" s="484"/>
      <c r="AH154" s="484"/>
      <c r="AI154" s="484"/>
      <c r="AJ154" s="484"/>
      <c r="AK154" s="484"/>
      <c r="AL154" s="484"/>
      <c r="AM154" s="484"/>
      <c r="AN154" s="484"/>
      <c r="AO154" s="484"/>
      <c r="AP154" s="484"/>
      <c r="AQ154" s="484"/>
      <c r="AR154" s="484"/>
      <c r="AS154" s="484"/>
      <c r="AT154" s="484"/>
      <c r="AU154" s="484"/>
      <c r="AV154" s="484"/>
      <c r="AW154" s="484"/>
      <c r="AX154" s="484"/>
      <c r="AZ154" s="740"/>
      <c r="BA154" s="740"/>
      <c r="BB154" s="484"/>
      <c r="BC154" s="484"/>
      <c r="BD154" s="484"/>
      <c r="BE154" s="484"/>
      <c r="BF154" s="484"/>
      <c r="BG154" s="484"/>
      <c r="BH154" s="484"/>
      <c r="BI154" s="484"/>
      <c r="BJ154" s="484"/>
      <c r="BK154" s="484"/>
      <c r="BL154" s="484"/>
      <c r="BM154" s="484"/>
      <c r="BN154" s="484"/>
      <c r="BO154" s="484"/>
      <c r="BP154" s="484"/>
      <c r="BQ154" s="484"/>
      <c r="BR154" s="484"/>
      <c r="BS154" s="484"/>
      <c r="BT154" s="484"/>
      <c r="BU154" s="484"/>
      <c r="BV154" s="484"/>
      <c r="BW154" s="484"/>
      <c r="BX154" s="484"/>
      <c r="BY154" s="484"/>
      <c r="BZ154" s="484"/>
      <c r="CA154" s="484"/>
      <c r="CB154" s="484"/>
      <c r="CC154" s="484"/>
    </row>
    <row r="155" spans="2:81" hidden="1" outlineLevel="1">
      <c r="B155" s="343" t="str">
        <f>+B148</f>
        <v>250ml golden can</v>
      </c>
      <c r="C155" s="307"/>
      <c r="D155" s="343" t="str">
        <f>+D148</f>
        <v>250ml 金罐</v>
      </c>
      <c r="E155" s="39"/>
      <c r="F155" s="348"/>
      <c r="G155" s="349">
        <f t="shared" si="216"/>
        <v>3173.3726246795459</v>
      </c>
      <c r="H155" s="349">
        <f t="shared" si="216"/>
        <v>2332.8126973434937</v>
      </c>
      <c r="I155" s="349">
        <f t="shared" si="216"/>
        <v>2208.504018221669</v>
      </c>
      <c r="J155" s="349"/>
      <c r="K155" s="349"/>
      <c r="L155" s="349"/>
      <c r="M155" s="349"/>
      <c r="N155" s="1519"/>
      <c r="O155" s="349"/>
      <c r="P155" s="349"/>
      <c r="Q155" s="867"/>
      <c r="R155" s="867"/>
      <c r="S155" s="867"/>
      <c r="U155" s="740"/>
      <c r="V155" s="484"/>
      <c r="W155" s="484"/>
      <c r="X155" s="484"/>
      <c r="Y155" s="484"/>
      <c r="Z155" s="484"/>
      <c r="AA155" s="484"/>
      <c r="AB155" s="484"/>
      <c r="AC155" s="484"/>
      <c r="AD155" s="484"/>
      <c r="AE155" s="484"/>
      <c r="AF155" s="484"/>
      <c r="AG155" s="484"/>
      <c r="AH155" s="484"/>
      <c r="AI155" s="484"/>
      <c r="AJ155" s="484"/>
      <c r="AK155" s="484"/>
      <c r="AL155" s="484"/>
      <c r="AM155" s="484"/>
      <c r="AN155" s="484"/>
      <c r="AO155" s="484"/>
      <c r="AP155" s="484"/>
      <c r="AQ155" s="484"/>
      <c r="AR155" s="484"/>
      <c r="AS155" s="484"/>
      <c r="AT155" s="484"/>
      <c r="AU155" s="484"/>
      <c r="AV155" s="484"/>
      <c r="AW155" s="484"/>
      <c r="AX155" s="484"/>
      <c r="AZ155" s="740"/>
      <c r="BA155" s="740"/>
      <c r="BB155" s="484"/>
      <c r="BC155" s="484"/>
      <c r="BD155" s="484"/>
      <c r="BE155" s="484"/>
      <c r="BF155" s="484"/>
      <c r="BG155" s="484"/>
      <c r="BH155" s="484"/>
      <c r="BI155" s="484"/>
      <c r="BJ155" s="484"/>
      <c r="BK155" s="484"/>
      <c r="BL155" s="484"/>
      <c r="BM155" s="484"/>
      <c r="BN155" s="484"/>
      <c r="BO155" s="484"/>
      <c r="BP155" s="484"/>
      <c r="BQ155" s="484"/>
      <c r="BR155" s="484"/>
      <c r="BS155" s="484"/>
      <c r="BT155" s="484"/>
      <c r="BU155" s="484"/>
      <c r="BV155" s="484"/>
      <c r="BW155" s="484"/>
      <c r="BX155" s="484"/>
      <c r="BY155" s="484"/>
      <c r="BZ155" s="484"/>
      <c r="CA155" s="484"/>
      <c r="CB155" s="484"/>
      <c r="CC155" s="484"/>
    </row>
    <row r="156" spans="2:81" hidden="1" outlineLevel="1">
      <c r="B156" s="343" t="str">
        <f>+B149</f>
        <v>250ml golden tetra pak</v>
      </c>
      <c r="C156" s="307"/>
      <c r="D156" s="343" t="str">
        <f>+D149</f>
        <v>250ml 金砖</v>
      </c>
      <c r="E156" s="39"/>
      <c r="F156" s="348"/>
      <c r="G156" s="349">
        <f t="shared" si="216"/>
        <v>1016.5858199813811</v>
      </c>
      <c r="H156" s="349">
        <f t="shared" si="216"/>
        <v>826.14825323638934</v>
      </c>
      <c r="I156" s="349">
        <f t="shared" si="216"/>
        <v>937.83816918675893</v>
      </c>
      <c r="J156" s="349"/>
      <c r="K156" s="349"/>
      <c r="L156" s="349"/>
      <c r="M156" s="349"/>
      <c r="N156" s="1519"/>
      <c r="O156" s="349"/>
      <c r="P156" s="349"/>
      <c r="Q156" s="867"/>
      <c r="R156" s="867"/>
      <c r="S156" s="867"/>
      <c r="U156" s="740"/>
      <c r="V156" s="484"/>
      <c r="W156" s="484"/>
      <c r="X156" s="484"/>
      <c r="Y156" s="484"/>
      <c r="Z156" s="484"/>
      <c r="AA156" s="484"/>
      <c r="AB156" s="484"/>
      <c r="AC156" s="484"/>
      <c r="AD156" s="484"/>
      <c r="AE156" s="484"/>
      <c r="AF156" s="484"/>
      <c r="AG156" s="484"/>
      <c r="AH156" s="484"/>
      <c r="AI156" s="484"/>
      <c r="AJ156" s="484"/>
      <c r="AK156" s="484"/>
      <c r="AL156" s="484"/>
      <c r="AM156" s="484"/>
      <c r="AN156" s="484"/>
      <c r="AO156" s="484"/>
      <c r="AP156" s="484"/>
      <c r="AQ156" s="484"/>
      <c r="AR156" s="484"/>
      <c r="AS156" s="484"/>
      <c r="AT156" s="484"/>
      <c r="AU156" s="484"/>
      <c r="AV156" s="484"/>
      <c r="AW156" s="484"/>
      <c r="AX156" s="484"/>
      <c r="AZ156" s="740"/>
      <c r="BA156" s="740"/>
      <c r="BB156" s="484"/>
      <c r="BC156" s="484"/>
      <c r="BD156" s="484"/>
      <c r="BE156" s="484"/>
      <c r="BF156" s="484"/>
      <c r="BG156" s="484"/>
      <c r="BH156" s="484"/>
      <c r="BI156" s="484"/>
      <c r="BJ156" s="484"/>
      <c r="BK156" s="484"/>
      <c r="BL156" s="484"/>
      <c r="BM156" s="484"/>
      <c r="BN156" s="484"/>
      <c r="BO156" s="484"/>
      <c r="BP156" s="484"/>
      <c r="BQ156" s="484"/>
      <c r="BR156" s="484"/>
      <c r="BS156" s="484"/>
      <c r="BT156" s="484"/>
      <c r="BU156" s="484"/>
      <c r="BV156" s="484"/>
      <c r="BW156" s="484"/>
      <c r="BX156" s="484"/>
      <c r="BY156" s="484"/>
      <c r="BZ156" s="484"/>
      <c r="CA156" s="484"/>
      <c r="CB156" s="484"/>
      <c r="CC156" s="484"/>
    </row>
    <row r="157" spans="2:81" hidden="1" outlineLevel="1">
      <c r="B157" s="343" t="str">
        <f>+B150</f>
        <v>other energy drinks</v>
      </c>
      <c r="C157" s="307"/>
      <c r="D157" s="343" t="str">
        <f>+D150</f>
        <v>其他东鹏特饮</v>
      </c>
      <c r="E157" s="39"/>
      <c r="F157" s="348"/>
      <c r="G157" s="349"/>
      <c r="H157" s="349"/>
      <c r="I157" s="349">
        <f>+I143-I150</f>
        <v>3140.5820977484896</v>
      </c>
      <c r="J157" s="349"/>
      <c r="K157" s="349"/>
      <c r="L157" s="349"/>
      <c r="M157" s="349"/>
      <c r="N157" s="1519"/>
      <c r="O157" s="349"/>
      <c r="P157" s="349"/>
      <c r="Q157" s="867"/>
      <c r="R157" s="867"/>
      <c r="S157" s="867"/>
      <c r="U157" s="740"/>
      <c r="V157" s="484"/>
      <c r="W157" s="484"/>
      <c r="X157" s="484"/>
      <c r="Y157" s="484"/>
      <c r="Z157" s="484"/>
      <c r="AA157" s="484"/>
      <c r="AB157" s="484"/>
      <c r="AC157" s="484"/>
      <c r="AD157" s="484"/>
      <c r="AE157" s="484"/>
      <c r="AF157" s="484"/>
      <c r="AG157" s="484"/>
      <c r="AH157" s="484"/>
      <c r="AI157" s="484"/>
      <c r="AJ157" s="484"/>
      <c r="AK157" s="484"/>
      <c r="AL157" s="484"/>
      <c r="AM157" s="484"/>
      <c r="AN157" s="484"/>
      <c r="AO157" s="484"/>
      <c r="AP157" s="484"/>
      <c r="AQ157" s="484"/>
      <c r="AR157" s="484"/>
      <c r="AS157" s="484"/>
      <c r="AT157" s="484"/>
      <c r="AU157" s="484"/>
      <c r="AV157" s="484"/>
      <c r="AW157" s="484"/>
      <c r="AX157" s="484"/>
      <c r="AZ157" s="740"/>
      <c r="BA157" s="740"/>
      <c r="BB157" s="484"/>
      <c r="BC157" s="484"/>
      <c r="BD157" s="484"/>
      <c r="BE157" s="484"/>
      <c r="BF157" s="484"/>
      <c r="BG157" s="484"/>
      <c r="BH157" s="484"/>
      <c r="BI157" s="484"/>
      <c r="BJ157" s="484"/>
      <c r="BK157" s="484"/>
      <c r="BL157" s="484"/>
      <c r="BM157" s="484"/>
      <c r="BN157" s="484"/>
      <c r="BO157" s="484"/>
      <c r="BP157" s="484"/>
      <c r="BQ157" s="484"/>
      <c r="BR157" s="484"/>
      <c r="BS157" s="484"/>
      <c r="BT157" s="484"/>
      <c r="BU157" s="484"/>
      <c r="BV157" s="484"/>
      <c r="BW157" s="484"/>
      <c r="BX157" s="484"/>
      <c r="BY157" s="484"/>
      <c r="BZ157" s="484"/>
      <c r="CA157" s="484"/>
      <c r="CB157" s="484"/>
      <c r="CC157" s="484"/>
    </row>
    <row r="158" spans="2:81" hidden="1" outlineLevel="1">
      <c r="B158" s="902" t="s">
        <v>1089</v>
      </c>
      <c r="C158" s="902"/>
      <c r="D158" s="902"/>
      <c r="E158" s="903"/>
      <c r="F158" s="903"/>
      <c r="G158" s="905"/>
      <c r="H158" s="903"/>
      <c r="I158" s="904"/>
      <c r="J158" s="904"/>
      <c r="K158" s="904"/>
      <c r="L158" s="904"/>
      <c r="M158" s="904"/>
      <c r="N158" s="1517"/>
      <c r="O158" s="904"/>
      <c r="P158" s="904"/>
      <c r="Q158" s="904"/>
      <c r="R158" s="904"/>
      <c r="S158" s="904"/>
      <c r="U158" s="902"/>
      <c r="V158" s="902"/>
      <c r="W158" s="902"/>
      <c r="X158" s="902"/>
      <c r="Y158" s="902"/>
      <c r="Z158" s="902"/>
      <c r="AA158" s="902"/>
      <c r="AB158" s="902"/>
      <c r="AC158" s="902"/>
      <c r="AD158" s="902"/>
      <c r="AE158" s="902"/>
      <c r="AF158" s="902"/>
      <c r="AG158" s="902"/>
      <c r="AH158" s="1111"/>
      <c r="AI158" s="1111"/>
      <c r="AJ158" s="1111"/>
      <c r="AK158" s="1111"/>
      <c r="AL158" s="1111"/>
      <c r="AM158" s="1111"/>
      <c r="AN158" s="1111"/>
      <c r="AO158" s="1111"/>
      <c r="AP158" s="1111"/>
      <c r="AQ158" s="1111"/>
      <c r="AR158" s="1111"/>
      <c r="AS158" s="1111"/>
      <c r="AT158" s="1111"/>
      <c r="AU158" s="1111"/>
      <c r="AV158" s="1111"/>
      <c r="AW158" s="1111"/>
      <c r="AX158" s="1111"/>
    </row>
    <row r="159" spans="2:81" s="743" customFormat="1" hidden="1" outlineLevel="1">
      <c r="B159" s="680" t="s">
        <v>1196</v>
      </c>
      <c r="C159" s="680"/>
      <c r="D159" s="758" t="s">
        <v>1194</v>
      </c>
      <c r="E159" s="744"/>
      <c r="F159" s="401"/>
      <c r="G159" s="401">
        <v>5.1938000000000004</v>
      </c>
      <c r="H159" s="401">
        <v>5.0506000000000002</v>
      </c>
      <c r="I159" s="401">
        <v>5.0003000000000002</v>
      </c>
      <c r="J159" s="761"/>
      <c r="K159" s="761"/>
      <c r="L159" s="761"/>
      <c r="M159" s="761"/>
      <c r="N159" s="1534"/>
      <c r="O159" s="761"/>
      <c r="P159" s="761"/>
      <c r="Q159" s="1480"/>
      <c r="R159" s="1480"/>
      <c r="S159" s="1480"/>
      <c r="T159" s="943"/>
      <c r="U159" s="745"/>
      <c r="V159" s="746"/>
      <c r="W159" s="746"/>
      <c r="X159" s="746"/>
      <c r="Y159" s="746"/>
      <c r="Z159" s="746"/>
      <c r="AA159" s="746"/>
      <c r="AB159" s="746"/>
      <c r="AC159" s="746"/>
      <c r="AD159" s="746"/>
      <c r="AE159" s="746"/>
      <c r="AF159" s="746"/>
      <c r="AG159" s="746"/>
      <c r="AH159" s="746"/>
      <c r="AI159" s="746"/>
      <c r="AJ159" s="746"/>
      <c r="AK159" s="746"/>
      <c r="AL159" s="746"/>
      <c r="AM159" s="746"/>
      <c r="AN159" s="746"/>
      <c r="AO159" s="746"/>
      <c r="AP159" s="746"/>
      <c r="AQ159" s="746"/>
      <c r="AR159" s="746"/>
      <c r="AS159" s="746"/>
      <c r="AT159" s="746"/>
      <c r="AU159" s="746"/>
      <c r="AV159" s="746"/>
      <c r="AW159" s="746"/>
      <c r="AX159" s="746"/>
      <c r="AY159" s="943"/>
      <c r="AZ159" s="745"/>
      <c r="BA159" s="745"/>
      <c r="BB159" s="779"/>
      <c r="BC159" s="779"/>
      <c r="BD159" s="779"/>
      <c r="BE159" s="779"/>
      <c r="BF159" s="779"/>
      <c r="BG159" s="779"/>
      <c r="BH159" s="779"/>
      <c r="BI159" s="746"/>
      <c r="BJ159" s="779"/>
      <c r="BK159" s="779"/>
      <c r="BL159" s="779"/>
      <c r="BM159" s="779"/>
      <c r="BN159" s="779"/>
      <c r="BO159" s="779"/>
      <c r="BP159" s="779"/>
      <c r="BQ159" s="779"/>
      <c r="BR159" s="779"/>
      <c r="BS159" s="779"/>
      <c r="BT159" s="779"/>
      <c r="BU159" s="779"/>
      <c r="BV159" s="779"/>
      <c r="BW159" s="779"/>
      <c r="BX159" s="779"/>
      <c r="BY159" s="779"/>
      <c r="BZ159" s="779"/>
      <c r="CA159" s="779"/>
      <c r="CB159" s="779"/>
      <c r="CC159" s="779"/>
    </row>
    <row r="160" spans="2:81" hidden="1" outlineLevel="1">
      <c r="B160" s="758" t="s">
        <v>1201</v>
      </c>
      <c r="C160" s="758"/>
      <c r="D160" s="758" t="s">
        <v>1195</v>
      </c>
      <c r="E160" s="744"/>
      <c r="F160" s="401"/>
      <c r="G160" s="401">
        <v>0.19639999999999999</v>
      </c>
      <c r="H160" s="401">
        <v>0.1885</v>
      </c>
      <c r="I160" s="401">
        <v>0.17760000000000001</v>
      </c>
      <c r="J160" s="761"/>
      <c r="K160" s="761"/>
      <c r="L160" s="761"/>
      <c r="M160" s="761"/>
      <c r="N160" s="1534"/>
      <c r="O160" s="761"/>
      <c r="P160" s="761"/>
      <c r="Q160" s="1480"/>
      <c r="R160" s="1480"/>
      <c r="S160" s="1480"/>
      <c r="U160" s="740"/>
      <c r="V160" s="484"/>
      <c r="W160" s="484"/>
      <c r="X160" s="484"/>
      <c r="Y160" s="484"/>
      <c r="Z160" s="484"/>
      <c r="AA160" s="484"/>
      <c r="AB160" s="484"/>
      <c r="AC160" s="484"/>
      <c r="AD160" s="484"/>
      <c r="AE160" s="484"/>
      <c r="AF160" s="484"/>
      <c r="AG160" s="484"/>
      <c r="AH160" s="484"/>
      <c r="AI160" s="484"/>
      <c r="AJ160" s="484"/>
      <c r="AK160" s="484"/>
      <c r="AL160" s="484"/>
      <c r="AM160" s="484"/>
      <c r="AN160" s="484"/>
      <c r="AO160" s="484"/>
      <c r="AP160" s="484"/>
      <c r="AQ160" s="484"/>
      <c r="AR160" s="484"/>
      <c r="AS160" s="484"/>
      <c r="AT160" s="484"/>
      <c r="AU160" s="484"/>
      <c r="AV160" s="484"/>
      <c r="AW160" s="484"/>
      <c r="AX160" s="484"/>
      <c r="AZ160" s="740"/>
      <c r="BA160" s="740"/>
      <c r="BB160" s="484"/>
      <c r="BC160" s="484"/>
      <c r="BD160" s="484"/>
      <c r="BE160" s="484"/>
      <c r="BF160" s="484"/>
      <c r="BG160" s="484"/>
      <c r="BH160" s="484"/>
      <c r="BI160" s="484"/>
      <c r="BJ160" s="484"/>
      <c r="BK160" s="484"/>
      <c r="BL160" s="484"/>
      <c r="BM160" s="484"/>
      <c r="BN160" s="484"/>
      <c r="BO160" s="484"/>
      <c r="BP160" s="484"/>
      <c r="BQ160" s="484"/>
      <c r="BR160" s="484"/>
      <c r="BS160" s="484"/>
      <c r="BT160" s="484"/>
      <c r="BU160" s="484"/>
      <c r="BV160" s="484"/>
      <c r="BW160" s="484"/>
      <c r="BX160" s="484"/>
      <c r="BY160" s="484"/>
      <c r="BZ160" s="484"/>
      <c r="CA160" s="484"/>
      <c r="CB160" s="484"/>
      <c r="CC160" s="484"/>
    </row>
    <row r="161" spans="2:81" hidden="1" outlineLevel="1">
      <c r="B161" s="758" t="s">
        <v>1202</v>
      </c>
      <c r="C161" s="758"/>
      <c r="D161" s="758" t="s">
        <v>1198</v>
      </c>
      <c r="E161" s="744"/>
      <c r="F161" s="401"/>
      <c r="G161" s="401">
        <v>5.5100000000000003E-2</v>
      </c>
      <c r="H161" s="401">
        <v>5.1200000000000002E-2</v>
      </c>
      <c r="I161" s="401">
        <v>4.8800000000000003E-2</v>
      </c>
      <c r="J161" s="761"/>
      <c r="K161" s="761"/>
      <c r="L161" s="761"/>
      <c r="M161" s="761"/>
      <c r="N161" s="1534"/>
      <c r="O161" s="761"/>
      <c r="P161" s="761"/>
      <c r="Q161" s="1480"/>
      <c r="R161" s="1480"/>
      <c r="S161" s="1480"/>
      <c r="U161" s="740"/>
      <c r="V161" s="484"/>
      <c r="W161" s="484"/>
      <c r="X161" s="484"/>
      <c r="Y161" s="484"/>
      <c r="Z161" s="484"/>
      <c r="AA161" s="484"/>
      <c r="AB161" s="484"/>
      <c r="AC161" s="484"/>
      <c r="AD161" s="484"/>
      <c r="AE161" s="484"/>
      <c r="AF161" s="484"/>
      <c r="AG161" s="484"/>
      <c r="AH161" s="484"/>
      <c r="AI161" s="484"/>
      <c r="AJ161" s="484"/>
      <c r="AK161" s="484"/>
      <c r="AL161" s="484"/>
      <c r="AM161" s="484"/>
      <c r="AN161" s="484"/>
      <c r="AO161" s="484"/>
      <c r="AP161" s="484"/>
      <c r="AQ161" s="484"/>
      <c r="AR161" s="484"/>
      <c r="AS161" s="484"/>
      <c r="AT161" s="484"/>
      <c r="AU161" s="484"/>
      <c r="AV161" s="484"/>
      <c r="AW161" s="484"/>
      <c r="AX161" s="484"/>
      <c r="AZ161" s="740"/>
      <c r="BA161" s="740"/>
      <c r="BB161" s="484"/>
      <c r="BC161" s="484"/>
      <c r="BD161" s="484"/>
      <c r="BE161" s="484"/>
      <c r="BF161" s="484"/>
      <c r="BG161" s="484"/>
      <c r="BH161" s="484"/>
      <c r="BI161" s="484"/>
      <c r="BJ161" s="484"/>
      <c r="BK161" s="484"/>
      <c r="BL161" s="484"/>
      <c r="BM161" s="484"/>
      <c r="BN161" s="484"/>
      <c r="BO161" s="484"/>
      <c r="BP161" s="484"/>
      <c r="BQ161" s="484"/>
      <c r="BR161" s="484"/>
      <c r="BS161" s="484"/>
      <c r="BT161" s="484"/>
      <c r="BU161" s="484"/>
      <c r="BV161" s="484"/>
      <c r="BW161" s="484"/>
      <c r="BX161" s="484"/>
      <c r="BY161" s="484"/>
      <c r="BZ161" s="484"/>
      <c r="CA161" s="484"/>
      <c r="CB161" s="484"/>
      <c r="CC161" s="484"/>
    </row>
    <row r="162" spans="2:81" hidden="1" outlineLevel="1">
      <c r="B162" s="758" t="s">
        <v>1203</v>
      </c>
      <c r="C162" s="758"/>
      <c r="D162" s="758" t="s">
        <v>1199</v>
      </c>
      <c r="E162" s="744"/>
      <c r="F162" s="401"/>
      <c r="G162" s="401">
        <v>6.6500000000000004E-2</v>
      </c>
      <c r="H162" s="401">
        <v>6.93E-2</v>
      </c>
      <c r="I162" s="401">
        <v>6.7500000000000004E-2</v>
      </c>
      <c r="J162" s="761"/>
      <c r="K162" s="761"/>
      <c r="L162" s="761"/>
      <c r="M162" s="761"/>
      <c r="N162" s="1534"/>
      <c r="O162" s="761"/>
      <c r="P162" s="761"/>
      <c r="Q162" s="1480"/>
      <c r="R162" s="1480"/>
      <c r="S162" s="1480"/>
      <c r="U162" s="740"/>
      <c r="V162" s="484"/>
      <c r="W162" s="484"/>
      <c r="X162" s="484"/>
      <c r="Y162" s="484"/>
      <c r="Z162" s="484"/>
      <c r="AA162" s="484"/>
      <c r="AB162" s="484"/>
      <c r="AC162" s="484"/>
      <c r="AD162" s="484"/>
      <c r="AE162" s="484"/>
      <c r="AF162" s="484"/>
      <c r="AG162" s="484"/>
      <c r="AH162" s="484"/>
      <c r="AI162" s="484"/>
      <c r="AJ162" s="484"/>
      <c r="AK162" s="484"/>
      <c r="AL162" s="484"/>
      <c r="AM162" s="484"/>
      <c r="AN162" s="484"/>
      <c r="AO162" s="484"/>
      <c r="AP162" s="484"/>
      <c r="AQ162" s="484"/>
      <c r="AR162" s="484"/>
      <c r="AS162" s="484"/>
      <c r="AT162" s="484"/>
      <c r="AU162" s="484"/>
      <c r="AV162" s="484"/>
      <c r="AW162" s="484"/>
      <c r="AX162" s="484"/>
      <c r="AZ162" s="740"/>
      <c r="BA162" s="740"/>
      <c r="BB162" s="484"/>
      <c r="BC162" s="484"/>
      <c r="BD162" s="484"/>
      <c r="BE162" s="484"/>
      <c r="BF162" s="484"/>
      <c r="BG162" s="484"/>
      <c r="BH162" s="484"/>
      <c r="BI162" s="484"/>
      <c r="BJ162" s="484"/>
      <c r="BK162" s="484"/>
      <c r="BL162" s="484"/>
      <c r="BM162" s="484"/>
      <c r="BN162" s="484"/>
      <c r="BO162" s="484"/>
      <c r="BP162" s="484"/>
      <c r="BQ162" s="484"/>
      <c r="BR162" s="484"/>
      <c r="BS162" s="484"/>
      <c r="BT162" s="484"/>
      <c r="BU162" s="484"/>
      <c r="BV162" s="484"/>
      <c r="BW162" s="484"/>
      <c r="BX162" s="484"/>
      <c r="BY162" s="484"/>
      <c r="BZ162" s="484"/>
      <c r="CA162" s="484"/>
      <c r="CB162" s="484"/>
      <c r="CC162" s="484"/>
    </row>
    <row r="163" spans="2:81" hidden="1" outlineLevel="1">
      <c r="B163" s="758" t="s">
        <v>1205</v>
      </c>
      <c r="C163" s="758"/>
      <c r="D163" s="758" t="s">
        <v>1200</v>
      </c>
      <c r="E163" s="744"/>
      <c r="F163" s="401"/>
      <c r="G163" s="401">
        <v>1.4887999999999999</v>
      </c>
      <c r="H163" s="401">
        <v>1.3771</v>
      </c>
      <c r="I163" s="401">
        <v>1.3506</v>
      </c>
      <c r="J163" s="761"/>
      <c r="K163" s="761"/>
      <c r="L163" s="761"/>
      <c r="M163" s="761"/>
      <c r="N163" s="1534"/>
      <c r="O163" s="761"/>
      <c r="P163" s="761"/>
      <c r="Q163" s="1480"/>
      <c r="R163" s="1480"/>
      <c r="S163" s="1480"/>
      <c r="U163" s="740"/>
      <c r="V163" s="484"/>
      <c r="W163" s="484"/>
      <c r="X163" s="484"/>
      <c r="Y163" s="484"/>
      <c r="Z163" s="484"/>
      <c r="AA163" s="484"/>
      <c r="AB163" s="484"/>
      <c r="AC163" s="484"/>
      <c r="AD163" s="484"/>
      <c r="AE163" s="484"/>
      <c r="AF163" s="484"/>
      <c r="AG163" s="484"/>
      <c r="AH163" s="484"/>
      <c r="AI163" s="484"/>
      <c r="AJ163" s="484"/>
      <c r="AK163" s="484"/>
      <c r="AL163" s="484"/>
      <c r="AM163" s="484"/>
      <c r="AN163" s="484"/>
      <c r="AO163" s="484"/>
      <c r="AP163" s="484"/>
      <c r="AQ163" s="484"/>
      <c r="AR163" s="484"/>
      <c r="AS163" s="484"/>
      <c r="AT163" s="484"/>
      <c r="AU163" s="484"/>
      <c r="AV163" s="484"/>
      <c r="AW163" s="484"/>
      <c r="AX163" s="484"/>
      <c r="AZ163" s="740"/>
      <c r="BA163" s="740"/>
    </row>
    <row r="164" spans="2:81" s="743" customFormat="1" hidden="1" outlineLevel="1">
      <c r="B164" s="680" t="s">
        <v>1206</v>
      </c>
      <c r="C164" s="680"/>
      <c r="D164" s="758" t="s">
        <v>1197</v>
      </c>
      <c r="E164" s="744"/>
      <c r="F164" s="401"/>
      <c r="G164" s="401">
        <v>1.6567708333333333</v>
      </c>
      <c r="H164" s="401">
        <v>1.3463750000000001</v>
      </c>
      <c r="I164" s="401">
        <v>0.97643749999999996</v>
      </c>
      <c r="J164" s="761"/>
      <c r="K164" s="761"/>
      <c r="L164" s="761"/>
      <c r="M164" s="761"/>
      <c r="N164" s="1534"/>
      <c r="O164" s="761"/>
      <c r="P164" s="761"/>
      <c r="Q164" s="1480"/>
      <c r="R164" s="1480"/>
      <c r="S164" s="1480"/>
      <c r="T164" s="943"/>
      <c r="U164" s="745"/>
      <c r="V164" s="746"/>
      <c r="W164" s="746"/>
      <c r="X164" s="746"/>
      <c r="Y164" s="746"/>
      <c r="Z164" s="746"/>
      <c r="AA164" s="746"/>
      <c r="AB164" s="746"/>
      <c r="AC164" s="746"/>
      <c r="AD164" s="746"/>
      <c r="AE164" s="746"/>
      <c r="AF164" s="746"/>
      <c r="AG164" s="746"/>
      <c r="AH164" s="746"/>
      <c r="AI164" s="746"/>
      <c r="AJ164" s="746"/>
      <c r="AK164" s="746"/>
      <c r="AL164" s="746"/>
      <c r="AM164" s="746"/>
      <c r="AN164" s="746"/>
      <c r="AO164" s="746"/>
      <c r="AP164" s="746"/>
      <c r="AQ164" s="746"/>
      <c r="AR164" s="746"/>
      <c r="AS164" s="746"/>
      <c r="AT164" s="746"/>
      <c r="AU164" s="746"/>
      <c r="AV164" s="746"/>
      <c r="AW164" s="746"/>
      <c r="AX164" s="746"/>
      <c r="AY164" s="943"/>
      <c r="AZ164" s="745"/>
      <c r="BA164" s="745"/>
      <c r="BB164" s="779"/>
      <c r="BC164" s="779"/>
      <c r="BD164" s="779"/>
      <c r="BE164" s="779"/>
      <c r="BF164" s="779"/>
      <c r="BG164" s="768"/>
      <c r="BH164" s="768"/>
      <c r="BI164" s="768"/>
      <c r="BJ164" s="779"/>
      <c r="BK164" s="779"/>
      <c r="BL164" s="779"/>
      <c r="BM164" s="779"/>
      <c r="BN164" s="779"/>
      <c r="BO164" s="779"/>
      <c r="BP164" s="779"/>
      <c r="BQ164" s="779"/>
      <c r="BR164" s="779"/>
      <c r="BS164" s="779"/>
      <c r="BT164" s="779"/>
      <c r="BU164" s="779"/>
      <c r="BV164" s="779"/>
      <c r="BW164" s="779"/>
      <c r="BX164" s="779"/>
      <c r="BY164" s="779"/>
      <c r="BZ164" s="779"/>
      <c r="CA164" s="779"/>
      <c r="CB164" s="779"/>
      <c r="CC164" s="779"/>
    </row>
    <row r="165" spans="2:81" hidden="1" outlineLevel="1">
      <c r="B165" s="680" t="s">
        <v>1207</v>
      </c>
      <c r="C165" s="863"/>
      <c r="D165" s="758" t="s">
        <v>1204</v>
      </c>
      <c r="E165" s="744"/>
      <c r="F165" s="401"/>
      <c r="G165" s="401">
        <v>0.79531137191666668</v>
      </c>
      <c r="H165" s="401">
        <v>0.63529750583333322</v>
      </c>
      <c r="I165" s="401">
        <v>0.51321660349999987</v>
      </c>
      <c r="J165" s="761"/>
      <c r="K165" s="761"/>
      <c r="L165" s="761"/>
      <c r="M165" s="761"/>
      <c r="N165" s="1534"/>
      <c r="O165" s="761"/>
      <c r="P165" s="761"/>
      <c r="Q165" s="1480"/>
      <c r="R165" s="1480"/>
      <c r="S165" s="1480"/>
      <c r="U165" s="740"/>
      <c r="V165" s="484"/>
      <c r="W165" s="484"/>
      <c r="X165" s="484"/>
      <c r="Y165" s="484"/>
      <c r="Z165" s="484"/>
      <c r="AA165" s="484"/>
      <c r="AB165" s="484"/>
      <c r="AC165" s="484"/>
      <c r="AD165" s="484"/>
      <c r="AE165" s="484"/>
      <c r="AF165" s="484"/>
      <c r="AG165" s="484"/>
      <c r="AH165" s="484"/>
      <c r="AI165" s="484"/>
      <c r="AJ165" s="484"/>
      <c r="AK165" s="484"/>
      <c r="AL165" s="484"/>
      <c r="AM165" s="484"/>
      <c r="AN165" s="484"/>
      <c r="AO165" s="484"/>
      <c r="AP165" s="484"/>
      <c r="AQ165" s="484"/>
      <c r="AR165" s="484"/>
      <c r="AS165" s="484"/>
      <c r="AT165" s="484"/>
      <c r="AU165" s="484"/>
      <c r="AV165" s="484"/>
      <c r="AW165" s="484"/>
      <c r="AX165" s="484"/>
      <c r="AZ165" s="740"/>
      <c r="BA165" s="740"/>
    </row>
    <row r="166" spans="2:81" hidden="1" outlineLevel="1">
      <c r="B166" s="902" t="s">
        <v>905</v>
      </c>
      <c r="C166" s="902"/>
      <c r="D166" s="902"/>
      <c r="E166" s="903"/>
      <c r="F166" s="903"/>
      <c r="G166" s="905"/>
      <c r="H166" s="903"/>
      <c r="I166" s="903"/>
      <c r="J166" s="903"/>
      <c r="K166" s="903"/>
      <c r="L166" s="903"/>
      <c r="M166" s="903"/>
      <c r="N166" s="1535"/>
      <c r="O166" s="903"/>
      <c r="P166" s="903"/>
      <c r="Q166" s="904"/>
      <c r="R166" s="904"/>
      <c r="S166" s="904"/>
      <c r="U166" s="902"/>
      <c r="V166" s="934"/>
      <c r="W166" s="934"/>
      <c r="X166" s="934"/>
      <c r="Y166" s="934"/>
      <c r="Z166" s="934"/>
      <c r="AA166" s="934"/>
      <c r="AB166" s="934"/>
      <c r="AC166" s="934"/>
      <c r="AD166" s="934"/>
      <c r="AE166" s="934"/>
      <c r="AF166" s="934"/>
      <c r="AG166" s="934"/>
      <c r="AH166" s="933"/>
      <c r="AI166" s="933"/>
      <c r="AJ166" s="933"/>
      <c r="AK166" s="933"/>
      <c r="AL166" s="933"/>
      <c r="AM166" s="933"/>
      <c r="AN166" s="933"/>
      <c r="AO166" s="933"/>
      <c r="AP166" s="933"/>
      <c r="AQ166" s="933"/>
      <c r="AR166" s="933"/>
      <c r="AS166" s="933"/>
      <c r="AT166" s="933"/>
      <c r="AU166" s="933"/>
      <c r="AV166" s="933"/>
      <c r="AW166" s="933"/>
      <c r="AX166" s="933"/>
    </row>
    <row r="167" spans="2:81" hidden="1" outlineLevel="1">
      <c r="B167" s="680" t="str">
        <f>+B159</f>
        <v>Sugar (rmb/kg)</v>
      </c>
      <c r="C167" s="680"/>
      <c r="D167" s="758" t="str">
        <f>+D159</f>
        <v>白砂糖</v>
      </c>
      <c r="E167" s="39"/>
      <c r="F167" s="755"/>
      <c r="G167" s="755"/>
      <c r="H167" s="755">
        <f t="shared" ref="H167:I173" si="217">+H159/G159-1</f>
        <v>-2.7571335053332868E-2</v>
      </c>
      <c r="I167" s="755">
        <f t="shared" si="217"/>
        <v>-9.9592127668000074E-3</v>
      </c>
      <c r="J167" s="755"/>
      <c r="K167" s="755"/>
      <c r="L167" s="755"/>
      <c r="M167" s="755"/>
      <c r="N167" s="1536"/>
      <c r="O167" s="755"/>
      <c r="P167" s="755"/>
      <c r="Q167" s="755"/>
      <c r="R167" s="755"/>
      <c r="S167" s="755"/>
      <c r="U167" s="740"/>
      <c r="V167" s="484"/>
      <c r="W167" s="484"/>
      <c r="X167" s="484"/>
      <c r="Y167" s="484"/>
      <c r="Z167" s="484"/>
      <c r="AA167" s="484"/>
      <c r="AB167" s="484"/>
      <c r="AC167" s="484"/>
      <c r="AD167" s="484"/>
      <c r="AE167" s="484"/>
      <c r="AF167" s="484"/>
      <c r="AG167" s="484"/>
      <c r="AH167" s="484"/>
      <c r="AI167" s="484"/>
      <c r="AJ167" s="484"/>
      <c r="AK167" s="484"/>
      <c r="AL167" s="484"/>
      <c r="AM167" s="484"/>
      <c r="AN167" s="484"/>
      <c r="AO167" s="484"/>
      <c r="AP167" s="484"/>
      <c r="AQ167" s="484"/>
      <c r="AR167" s="484"/>
      <c r="AS167" s="484"/>
      <c r="AT167" s="484"/>
      <c r="AU167" s="484"/>
      <c r="AV167" s="484"/>
      <c r="AW167" s="484"/>
      <c r="AX167" s="484"/>
      <c r="AZ167" s="745"/>
      <c r="BA167" s="740"/>
      <c r="BB167" s="778"/>
      <c r="BC167" s="778"/>
      <c r="BD167" s="778"/>
      <c r="BE167" s="778"/>
      <c r="BF167" s="778"/>
      <c r="BG167" s="778"/>
      <c r="BH167" s="778"/>
      <c r="BI167" s="778"/>
      <c r="BJ167" s="778"/>
      <c r="BK167" s="778"/>
      <c r="BL167" s="778"/>
      <c r="BM167" s="778"/>
      <c r="BN167" s="778"/>
      <c r="BO167" s="778"/>
      <c r="BP167" s="778"/>
      <c r="BQ167" s="778"/>
      <c r="BR167" s="778"/>
      <c r="BS167" s="778"/>
      <c r="BT167" s="778"/>
      <c r="BU167" s="778"/>
      <c r="BV167" s="778"/>
      <c r="BW167" s="778"/>
      <c r="BX167" s="778"/>
      <c r="BY167" s="778"/>
      <c r="BZ167" s="778"/>
      <c r="CA167" s="778"/>
      <c r="CB167" s="778"/>
      <c r="CC167" s="778"/>
    </row>
    <row r="168" spans="2:81" hidden="1" outlineLevel="1">
      <c r="B168" s="680" t="str">
        <f t="shared" ref="B168:B173" si="218">+B160</f>
        <v>bottle body (rmb/unit)</v>
      </c>
      <c r="C168" s="680"/>
      <c r="D168" s="758" t="str">
        <f t="shared" ref="D168:D173" si="219">+D160</f>
        <v>瓶坯</v>
      </c>
      <c r="E168" s="39"/>
      <c r="F168" s="755"/>
      <c r="G168" s="755"/>
      <c r="H168" s="755">
        <f t="shared" si="217"/>
        <v>-4.0224032586558045E-2</v>
      </c>
      <c r="I168" s="755">
        <f t="shared" si="217"/>
        <v>-5.7824933687002589E-2</v>
      </c>
      <c r="J168" s="755"/>
      <c r="K168" s="755"/>
      <c r="L168" s="755"/>
      <c r="M168" s="755"/>
      <c r="N168" s="1536"/>
      <c r="O168" s="755"/>
      <c r="P168" s="755"/>
      <c r="Q168" s="755"/>
      <c r="R168" s="755"/>
      <c r="S168" s="755"/>
      <c r="U168" s="740"/>
      <c r="V168" s="484"/>
      <c r="W168" s="484"/>
      <c r="X168" s="484"/>
      <c r="Y168" s="484"/>
      <c r="Z168" s="484"/>
      <c r="AA168" s="484"/>
      <c r="AB168" s="484"/>
      <c r="AC168" s="484"/>
      <c r="AD168" s="484"/>
      <c r="AE168" s="484"/>
      <c r="AF168" s="484"/>
      <c r="AG168" s="484"/>
      <c r="AH168" s="484"/>
      <c r="AI168" s="484"/>
      <c r="AJ168" s="484"/>
      <c r="AK168" s="484"/>
      <c r="AL168" s="484"/>
      <c r="AM168" s="484"/>
      <c r="AN168" s="484"/>
      <c r="AO168" s="484"/>
      <c r="AP168" s="484"/>
      <c r="AQ168" s="484"/>
      <c r="AR168" s="484"/>
      <c r="AS168" s="484"/>
      <c r="AT168" s="484"/>
      <c r="AU168" s="484"/>
      <c r="AV168" s="484"/>
      <c r="AW168" s="484"/>
      <c r="AX168" s="484"/>
      <c r="AZ168" s="745"/>
      <c r="BA168" s="740"/>
      <c r="BB168" s="778"/>
      <c r="BC168" s="778"/>
      <c r="BD168" s="778"/>
      <c r="BE168" s="778"/>
      <c r="BF168" s="778"/>
      <c r="BG168" s="778"/>
      <c r="BH168" s="778"/>
      <c r="BI168" s="778"/>
      <c r="BJ168" s="778"/>
      <c r="BK168" s="778"/>
      <c r="BL168" s="778"/>
      <c r="BM168" s="778"/>
      <c r="BN168" s="778"/>
      <c r="BO168" s="778"/>
      <c r="BP168" s="778"/>
      <c r="BQ168" s="778"/>
      <c r="BR168" s="778"/>
      <c r="BS168" s="778"/>
      <c r="BT168" s="778"/>
      <c r="BU168" s="778"/>
      <c r="BV168" s="778"/>
      <c r="BW168" s="778"/>
      <c r="BX168" s="778"/>
      <c r="BY168" s="778"/>
      <c r="BZ168" s="778"/>
      <c r="CA168" s="778"/>
      <c r="CB168" s="778"/>
      <c r="CC168" s="778"/>
    </row>
    <row r="169" spans="2:81" hidden="1" outlineLevel="1">
      <c r="B169" s="680" t="str">
        <f t="shared" si="218"/>
        <v>bottle cup (rmb/unit)</v>
      </c>
      <c r="C169" s="680"/>
      <c r="D169" s="758" t="str">
        <f t="shared" si="219"/>
        <v>瓶盖</v>
      </c>
      <c r="E169" s="39"/>
      <c r="F169" s="630"/>
      <c r="G169" s="630"/>
      <c r="H169" s="755">
        <f t="shared" si="217"/>
        <v>-7.0780399274047223E-2</v>
      </c>
      <c r="I169" s="755">
        <f t="shared" si="217"/>
        <v>-4.6875E-2</v>
      </c>
      <c r="J169" s="630"/>
      <c r="K169" s="630"/>
      <c r="L169" s="630"/>
      <c r="M169" s="630"/>
      <c r="N169" s="1537"/>
      <c r="O169" s="630"/>
      <c r="P169" s="630"/>
      <c r="Q169" s="630"/>
      <c r="R169" s="630"/>
      <c r="S169" s="630"/>
      <c r="U169" s="740"/>
      <c r="V169" s="484"/>
      <c r="W169" s="484"/>
      <c r="X169" s="484"/>
      <c r="Y169" s="484"/>
      <c r="Z169" s="484"/>
      <c r="AA169" s="484"/>
      <c r="AB169" s="484"/>
      <c r="AC169" s="484"/>
      <c r="AD169" s="484"/>
      <c r="AE169" s="484"/>
      <c r="AF169" s="484"/>
      <c r="AG169" s="484"/>
      <c r="AH169" s="484"/>
      <c r="AI169" s="484"/>
      <c r="AJ169" s="484"/>
      <c r="AK169" s="484"/>
      <c r="AL169" s="484"/>
      <c r="AM169" s="484"/>
      <c r="AN169" s="484"/>
      <c r="AO169" s="484"/>
      <c r="AP169" s="484"/>
      <c r="AQ169" s="484"/>
      <c r="AR169" s="484"/>
      <c r="AS169" s="484"/>
      <c r="AT169" s="484"/>
      <c r="AU169" s="484"/>
      <c r="AV169" s="484"/>
      <c r="AW169" s="484"/>
      <c r="AX169" s="484"/>
      <c r="AZ169" s="740"/>
      <c r="BA169" s="740"/>
      <c r="BB169" s="484"/>
      <c r="BC169" s="484"/>
      <c r="BD169" s="484"/>
      <c r="BE169" s="484"/>
      <c r="BF169" s="484"/>
      <c r="BG169" s="484"/>
      <c r="BH169" s="484"/>
      <c r="BI169" s="484"/>
      <c r="BJ169" s="484"/>
      <c r="BK169" s="484"/>
      <c r="BL169" s="484"/>
      <c r="BM169" s="484"/>
      <c r="BN169" s="484"/>
      <c r="BO169" s="484"/>
      <c r="BP169" s="484"/>
      <c r="BQ169" s="484"/>
      <c r="BR169" s="484"/>
      <c r="BS169" s="484"/>
      <c r="BT169" s="484"/>
      <c r="BU169" s="484"/>
      <c r="BV169" s="484"/>
      <c r="BW169" s="484"/>
      <c r="BX169" s="484"/>
      <c r="BY169" s="484"/>
      <c r="BZ169" s="484"/>
      <c r="CA169" s="484"/>
      <c r="CB169" s="484"/>
      <c r="CC169" s="484"/>
    </row>
    <row r="170" spans="2:81" hidden="1" outlineLevel="1">
      <c r="B170" s="680" t="str">
        <f t="shared" si="218"/>
        <v>bottle cup outside (rmb/unit)</v>
      </c>
      <c r="C170" s="680"/>
      <c r="D170" s="758" t="str">
        <f t="shared" si="219"/>
        <v>外帽</v>
      </c>
      <c r="E170" s="39"/>
      <c r="F170" s="782"/>
      <c r="G170" s="630"/>
      <c r="H170" s="755">
        <f t="shared" si="217"/>
        <v>4.2105263157894646E-2</v>
      </c>
      <c r="I170" s="755">
        <f t="shared" si="217"/>
        <v>-2.5974025974025872E-2</v>
      </c>
      <c r="J170" s="630"/>
      <c r="K170" s="630"/>
      <c r="L170" s="630"/>
      <c r="M170" s="630"/>
      <c r="N170" s="1537"/>
      <c r="O170" s="630"/>
      <c r="P170" s="630"/>
      <c r="Q170" s="630"/>
      <c r="R170" s="630"/>
      <c r="S170" s="630"/>
      <c r="U170" s="740"/>
      <c r="V170" s="484"/>
      <c r="W170" s="484"/>
      <c r="X170" s="484"/>
      <c r="Y170" s="484"/>
      <c r="Z170" s="484"/>
      <c r="AA170" s="484"/>
      <c r="AB170" s="484"/>
      <c r="AC170" s="484"/>
      <c r="AD170" s="484"/>
      <c r="AE170" s="484"/>
      <c r="AF170" s="484"/>
      <c r="AG170" s="484"/>
      <c r="AH170" s="484"/>
      <c r="AI170" s="484"/>
      <c r="AJ170" s="484"/>
      <c r="AK170" s="484"/>
      <c r="AL170" s="484"/>
      <c r="AM170" s="484"/>
      <c r="AN170" s="484"/>
      <c r="AO170" s="484"/>
      <c r="AP170" s="484"/>
      <c r="AQ170" s="484"/>
      <c r="AR170" s="484"/>
      <c r="AS170" s="484"/>
      <c r="AT170" s="484"/>
      <c r="AU170" s="484"/>
      <c r="AV170" s="484"/>
      <c r="AW170" s="484"/>
      <c r="AX170" s="484"/>
      <c r="AZ170" s="740"/>
      <c r="BA170" s="740"/>
      <c r="BB170" s="484"/>
      <c r="BC170" s="484"/>
      <c r="BD170" s="484"/>
      <c r="BE170" s="484"/>
      <c r="BF170" s="484"/>
      <c r="BG170" s="484"/>
      <c r="BH170" s="484"/>
      <c r="BI170" s="484"/>
      <c r="BJ170" s="484"/>
      <c r="BK170" s="484"/>
      <c r="BL170" s="484"/>
      <c r="BM170" s="484"/>
      <c r="BN170" s="484"/>
      <c r="BO170" s="484"/>
      <c r="BP170" s="484"/>
      <c r="BQ170" s="484"/>
      <c r="BR170" s="484"/>
      <c r="BS170" s="484"/>
      <c r="BT170" s="484"/>
      <c r="BU170" s="484"/>
      <c r="BV170" s="484"/>
      <c r="BW170" s="484"/>
      <c r="BX170" s="484"/>
      <c r="BY170" s="484"/>
      <c r="BZ170" s="484"/>
      <c r="CA170" s="484"/>
      <c r="CB170" s="484"/>
      <c r="CC170" s="484"/>
    </row>
    <row r="171" spans="2:81" hidden="1" outlineLevel="1">
      <c r="B171" s="680" t="str">
        <f t="shared" si="218"/>
        <v>carton (rmb/unit)</v>
      </c>
      <c r="C171" s="680"/>
      <c r="D171" s="758" t="str">
        <f t="shared" si="219"/>
        <v>纸箱</v>
      </c>
      <c r="E171" s="39"/>
      <c r="F171" s="755"/>
      <c r="G171" s="782"/>
      <c r="H171" s="755">
        <f t="shared" si="217"/>
        <v>-7.5026867275658216E-2</v>
      </c>
      <c r="I171" s="755">
        <f t="shared" si="217"/>
        <v>-1.9243337448260789E-2</v>
      </c>
      <c r="J171" s="630"/>
      <c r="K171" s="630"/>
      <c r="L171" s="630"/>
      <c r="M171" s="630"/>
      <c r="N171" s="1537"/>
      <c r="O171" s="630"/>
      <c r="P171" s="630"/>
      <c r="Q171" s="630"/>
      <c r="R171" s="630"/>
      <c r="S171" s="630"/>
      <c r="U171" s="740"/>
      <c r="V171" s="484"/>
      <c r="W171" s="484"/>
      <c r="X171" s="484"/>
      <c r="Y171" s="484"/>
      <c r="Z171" s="484"/>
      <c r="AA171" s="484"/>
      <c r="AB171" s="484"/>
      <c r="AC171" s="484"/>
      <c r="AD171" s="484"/>
      <c r="AE171" s="484"/>
      <c r="AF171" s="484"/>
      <c r="AG171" s="484"/>
      <c r="AH171" s="484"/>
      <c r="AI171" s="484"/>
      <c r="AJ171" s="484"/>
      <c r="AK171" s="484"/>
      <c r="AL171" s="484"/>
      <c r="AM171" s="484"/>
      <c r="AN171" s="484"/>
      <c r="AO171" s="484"/>
      <c r="AP171" s="484"/>
      <c r="AQ171" s="484"/>
      <c r="AR171" s="484"/>
      <c r="AS171" s="484"/>
      <c r="AT171" s="484"/>
      <c r="AU171" s="484"/>
      <c r="AV171" s="484"/>
      <c r="AW171" s="484"/>
      <c r="AX171" s="484"/>
      <c r="AZ171" s="740"/>
      <c r="BA171" s="740"/>
      <c r="BB171" s="484"/>
      <c r="BC171" s="484"/>
      <c r="BD171" s="484"/>
      <c r="BE171" s="484"/>
      <c r="BF171" s="484"/>
      <c r="BG171" s="484"/>
      <c r="BH171" s="484"/>
      <c r="BI171" s="484"/>
      <c r="BJ171" s="484"/>
      <c r="BK171" s="484"/>
      <c r="BL171" s="484"/>
      <c r="BM171" s="484"/>
      <c r="BN171" s="484"/>
      <c r="BO171" s="484"/>
      <c r="BP171" s="484"/>
      <c r="BQ171" s="484"/>
      <c r="BR171" s="484"/>
      <c r="BS171" s="484"/>
      <c r="BT171" s="484"/>
      <c r="BU171" s="484"/>
      <c r="BV171" s="484"/>
      <c r="BW171" s="484"/>
      <c r="BX171" s="484"/>
      <c r="BY171" s="484"/>
      <c r="BZ171" s="484"/>
      <c r="CA171" s="484"/>
      <c r="CB171" s="484"/>
      <c r="CC171" s="484"/>
    </row>
    <row r="172" spans="2:81" hidden="1" outlineLevel="1">
      <c r="B172" s="680" t="str">
        <f t="shared" si="218"/>
        <v>PET (usd/kg) - Wind</v>
      </c>
      <c r="C172" s="680"/>
      <c r="D172" s="758" t="str">
        <f t="shared" si="219"/>
        <v>PET</v>
      </c>
      <c r="E172" s="39"/>
      <c r="F172" s="755"/>
      <c r="G172" s="783"/>
      <c r="H172" s="755">
        <f t="shared" si="217"/>
        <v>-0.18734988997170698</v>
      </c>
      <c r="I172" s="755">
        <f t="shared" si="217"/>
        <v>-0.27476557422709136</v>
      </c>
      <c r="J172" s="755"/>
      <c r="K172" s="755"/>
      <c r="L172" s="755"/>
      <c r="M172" s="755"/>
      <c r="N172" s="1536"/>
      <c r="O172" s="755"/>
      <c r="P172" s="755"/>
      <c r="Q172" s="755"/>
      <c r="R172" s="755"/>
      <c r="S172" s="755"/>
      <c r="U172" s="740"/>
      <c r="V172" s="484"/>
      <c r="W172" s="484"/>
      <c r="X172" s="484"/>
      <c r="Y172" s="484"/>
      <c r="Z172" s="484"/>
      <c r="AA172" s="484"/>
      <c r="AB172" s="484"/>
      <c r="AC172" s="484"/>
      <c r="AD172" s="484"/>
      <c r="AE172" s="484"/>
      <c r="AF172" s="484"/>
      <c r="AG172" s="484"/>
      <c r="AH172" s="484"/>
      <c r="AI172" s="484"/>
      <c r="AJ172" s="484"/>
      <c r="AK172" s="484"/>
      <c r="AL172" s="484"/>
      <c r="AM172" s="484"/>
      <c r="AN172" s="484"/>
      <c r="AO172" s="484"/>
      <c r="AP172" s="484"/>
      <c r="AQ172" s="484"/>
      <c r="AR172" s="484"/>
      <c r="AS172" s="484"/>
      <c r="AT172" s="484"/>
      <c r="AU172" s="484"/>
      <c r="AV172" s="484"/>
      <c r="AW172" s="484"/>
      <c r="AX172" s="484"/>
      <c r="AZ172" s="740"/>
      <c r="BA172" s="740"/>
      <c r="BB172" s="484"/>
      <c r="BC172" s="484"/>
      <c r="BD172" s="484"/>
      <c r="BE172" s="484"/>
      <c r="BF172" s="484"/>
      <c r="BG172" s="484"/>
      <c r="BH172" s="484"/>
      <c r="BI172" s="484"/>
      <c r="BJ172" s="484"/>
      <c r="BK172" s="484"/>
      <c r="BL172" s="484"/>
      <c r="BM172" s="484"/>
      <c r="BN172" s="484"/>
      <c r="BO172" s="484"/>
      <c r="BP172" s="484"/>
      <c r="BQ172" s="484"/>
      <c r="BR172" s="484"/>
      <c r="BS172" s="484"/>
      <c r="BT172" s="484"/>
      <c r="BU172" s="484"/>
      <c r="BV172" s="484"/>
      <c r="BW172" s="484"/>
      <c r="BX172" s="484"/>
      <c r="BY172" s="484"/>
      <c r="BZ172" s="484"/>
      <c r="CA172" s="484"/>
      <c r="CB172" s="484"/>
      <c r="CC172" s="484"/>
    </row>
    <row r="173" spans="2:81" hidden="1" outlineLevel="1">
      <c r="B173" s="680" t="str">
        <f t="shared" si="218"/>
        <v>Pulp (rmb/kg) - Wind</v>
      </c>
      <c r="C173" s="680"/>
      <c r="D173" s="758" t="str">
        <f t="shared" si="219"/>
        <v>纸浆</v>
      </c>
      <c r="E173" s="39"/>
      <c r="F173" s="755"/>
      <c r="G173" s="783"/>
      <c r="H173" s="755">
        <f t="shared" si="217"/>
        <v>-0.20119650206648854</v>
      </c>
      <c r="I173" s="755">
        <f t="shared" si="217"/>
        <v>-0.19216335844605159</v>
      </c>
      <c r="J173" s="755"/>
      <c r="K173" s="755"/>
      <c r="L173" s="755"/>
      <c r="M173" s="755"/>
      <c r="N173" s="1536"/>
      <c r="O173" s="755"/>
      <c r="P173" s="755"/>
      <c r="Q173" s="755"/>
      <c r="R173" s="755"/>
      <c r="S173" s="755"/>
      <c r="U173" s="740"/>
      <c r="V173" s="484"/>
      <c r="W173" s="484"/>
      <c r="X173" s="484"/>
      <c r="Y173" s="484"/>
      <c r="Z173" s="484"/>
      <c r="AA173" s="484"/>
      <c r="AB173" s="484"/>
      <c r="AC173" s="484"/>
      <c r="AD173" s="484"/>
      <c r="AE173" s="484"/>
      <c r="AF173" s="484"/>
      <c r="AG173" s="484"/>
      <c r="AH173" s="484"/>
      <c r="AI173" s="484"/>
      <c r="AJ173" s="484"/>
      <c r="AK173" s="484"/>
      <c r="AL173" s="484"/>
      <c r="AM173" s="484"/>
      <c r="AN173" s="484"/>
      <c r="AO173" s="484"/>
      <c r="AP173" s="484"/>
      <c r="AQ173" s="484"/>
      <c r="AR173" s="484"/>
      <c r="AS173" s="484"/>
      <c r="AT173" s="484"/>
      <c r="AU173" s="484"/>
      <c r="AV173" s="484"/>
      <c r="AW173" s="484"/>
      <c r="AX173" s="484"/>
      <c r="AZ173" s="740"/>
      <c r="BA173" s="740"/>
      <c r="BB173" s="484"/>
      <c r="BC173" s="484"/>
      <c r="BD173" s="484"/>
      <c r="BE173" s="484"/>
      <c r="BF173" s="484"/>
      <c r="BG173" s="484"/>
      <c r="BH173" s="484"/>
      <c r="BI173" s="484"/>
      <c r="BJ173" s="484"/>
      <c r="BK173" s="484"/>
      <c r="BL173" s="484"/>
      <c r="BM173" s="484"/>
      <c r="BN173" s="484"/>
      <c r="BO173" s="484"/>
      <c r="BP173" s="484"/>
      <c r="BQ173" s="484"/>
      <c r="BR173" s="484"/>
      <c r="BS173" s="484"/>
      <c r="BT173" s="484"/>
      <c r="BU173" s="484"/>
      <c r="BV173" s="484"/>
      <c r="BW173" s="484"/>
      <c r="BX173" s="484"/>
      <c r="BY173" s="484"/>
      <c r="BZ173" s="484"/>
      <c r="CA173" s="484"/>
      <c r="CB173" s="484"/>
      <c r="CC173" s="484"/>
    </row>
    <row r="174" spans="2:81" s="305" customFormat="1" collapsed="1">
      <c r="B174" s="304"/>
      <c r="C174" s="304"/>
      <c r="D174" s="306"/>
      <c r="E174" s="303"/>
      <c r="F174" s="630"/>
      <c r="G174" s="630"/>
      <c r="H174" s="630"/>
      <c r="I174" s="630"/>
      <c r="J174" s="63"/>
      <c r="K174" s="63"/>
      <c r="L174" s="63"/>
      <c r="M174" s="63"/>
      <c r="N174" s="1538"/>
      <c r="O174" s="63"/>
      <c r="P174" s="63"/>
      <c r="Q174" s="63"/>
      <c r="R174" s="63"/>
      <c r="S174" s="63"/>
      <c r="T174" s="948"/>
      <c r="U174" s="306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948"/>
    </row>
    <row r="175" spans="2:81" s="38" customFormat="1">
      <c r="B175" s="900" t="s">
        <v>1138</v>
      </c>
      <c r="C175" s="900"/>
      <c r="D175" s="900" t="s">
        <v>1272</v>
      </c>
      <c r="E175" s="901"/>
      <c r="F175" s="901">
        <f t="shared" ref="F175:P175" si="220">F8</f>
        <v>2017</v>
      </c>
      <c r="G175" s="901">
        <f t="shared" si="220"/>
        <v>2018</v>
      </c>
      <c r="H175" s="901">
        <f t="shared" si="220"/>
        <v>2019</v>
      </c>
      <c r="I175" s="901">
        <f t="shared" si="220"/>
        <v>2020</v>
      </c>
      <c r="J175" s="901">
        <f t="shared" si="220"/>
        <v>2021</v>
      </c>
      <c r="K175" s="901">
        <f t="shared" si="220"/>
        <v>2022</v>
      </c>
      <c r="L175" s="901">
        <f t="shared" si="220"/>
        <v>2023</v>
      </c>
      <c r="M175" s="901">
        <f t="shared" si="220"/>
        <v>2024</v>
      </c>
      <c r="N175" s="1516" t="str">
        <f t="shared" si="220"/>
        <v>2025E</v>
      </c>
      <c r="O175" s="901" t="str">
        <f t="shared" si="220"/>
        <v>2026E</v>
      </c>
      <c r="P175" s="901" t="str">
        <f t="shared" si="220"/>
        <v>2027E</v>
      </c>
      <c r="Q175" s="935"/>
      <c r="R175" s="935"/>
      <c r="S175" s="935"/>
      <c r="T175" s="945"/>
      <c r="U175" s="1157" t="str">
        <f>D175</f>
        <v>其他饮料</v>
      </c>
      <c r="V175" s="935" t="str">
        <f t="shared" ref="V175:AE175" si="221">V8</f>
        <v>1H20</v>
      </c>
      <c r="W175" s="935" t="str">
        <f t="shared" si="221"/>
        <v>2H20</v>
      </c>
      <c r="X175" s="935" t="str">
        <f t="shared" si="221"/>
        <v>1H21</v>
      </c>
      <c r="Y175" s="935" t="str">
        <f t="shared" si="221"/>
        <v>2H21</v>
      </c>
      <c r="Z175" s="935" t="str">
        <f t="shared" si="221"/>
        <v>1H22</v>
      </c>
      <c r="AA175" s="935" t="str">
        <f t="shared" si="221"/>
        <v>2H22</v>
      </c>
      <c r="AB175" s="901" t="str">
        <f t="shared" si="221"/>
        <v>1H23</v>
      </c>
      <c r="AC175" s="901" t="str">
        <f t="shared" si="221"/>
        <v>2H23</v>
      </c>
      <c r="AD175" s="901" t="str">
        <f t="shared" si="221"/>
        <v>1H24</v>
      </c>
      <c r="AE175" s="901" t="str">
        <f t="shared" si="221"/>
        <v>2H24</v>
      </c>
      <c r="AF175" s="901"/>
      <c r="AG175" s="901"/>
      <c r="AH175" s="935"/>
      <c r="AI175" s="935"/>
      <c r="AJ175" s="935"/>
      <c r="AK175" s="935"/>
      <c r="AL175" s="935"/>
      <c r="AM175" s="935"/>
      <c r="AN175" s="935"/>
      <c r="AO175" s="935"/>
      <c r="AP175" s="935"/>
      <c r="AQ175" s="935"/>
      <c r="AR175" s="935"/>
      <c r="AS175" s="935"/>
      <c r="AT175" s="935"/>
      <c r="AU175" s="935"/>
      <c r="AV175" s="935"/>
      <c r="AW175" s="935"/>
      <c r="AX175" s="935"/>
      <c r="AY175" s="945"/>
      <c r="AZ175" s="1183" t="str">
        <f>+D175</f>
        <v>其他饮料</v>
      </c>
      <c r="BA175" s="935"/>
      <c r="BB175" s="935"/>
      <c r="BC175" s="935"/>
      <c r="BD175" s="935"/>
      <c r="BE175" s="935"/>
      <c r="BF175" s="935"/>
      <c r="BG175" s="935"/>
      <c r="BH175" s="935"/>
      <c r="BI175" s="935"/>
      <c r="BJ175" s="1347" t="str">
        <f t="shared" ref="BJ175:BU175" si="222">BJ$8</f>
        <v>1Q22</v>
      </c>
      <c r="BK175" s="1347" t="str">
        <f t="shared" si="222"/>
        <v>2Q22</v>
      </c>
      <c r="BL175" s="1347" t="str">
        <f t="shared" si="222"/>
        <v>3Q22</v>
      </c>
      <c r="BM175" s="1347" t="str">
        <f t="shared" si="222"/>
        <v>4Q22</v>
      </c>
      <c r="BN175" s="1347" t="str">
        <f t="shared" si="222"/>
        <v>1Q23</v>
      </c>
      <c r="BO175" s="1347" t="str">
        <f t="shared" si="222"/>
        <v>2Q23</v>
      </c>
      <c r="BP175" s="1347" t="str">
        <f t="shared" si="222"/>
        <v>3Q23</v>
      </c>
      <c r="BQ175" s="1347" t="str">
        <f t="shared" si="222"/>
        <v>4Q23</v>
      </c>
      <c r="BR175" s="1347" t="str">
        <f t="shared" si="222"/>
        <v>1Q24</v>
      </c>
      <c r="BS175" s="1347" t="str">
        <f t="shared" si="222"/>
        <v>2Q24</v>
      </c>
      <c r="BT175" s="1347" t="str">
        <f t="shared" si="222"/>
        <v>3Q24</v>
      </c>
      <c r="BU175" s="1347" t="str">
        <f t="shared" si="222"/>
        <v>4Q24</v>
      </c>
      <c r="BV175" s="1347" t="str">
        <f>BV$8</f>
        <v>1Q25</v>
      </c>
      <c r="BW175" s="1347" t="str">
        <f>BW$8</f>
        <v>2Q25</v>
      </c>
      <c r="BX175" s="1347" t="str">
        <f t="shared" ref="BX175:CC175" si="223">BX$8</f>
        <v>3Q25</v>
      </c>
      <c r="BY175" s="1347" t="str">
        <f t="shared" si="223"/>
        <v>4Q25E</v>
      </c>
      <c r="BZ175" s="1347" t="str">
        <f t="shared" si="223"/>
        <v>1Q26E</v>
      </c>
      <c r="CA175" s="1347" t="str">
        <f t="shared" si="223"/>
        <v>2Q26E</v>
      </c>
      <c r="CB175" s="1347" t="str">
        <f t="shared" si="223"/>
        <v>3Q26E</v>
      </c>
      <c r="CC175" s="1347" t="str">
        <f t="shared" si="223"/>
        <v>4Q26E</v>
      </c>
    </row>
    <row r="176" spans="2:81">
      <c r="B176" s="902" t="s">
        <v>903</v>
      </c>
      <c r="C176" s="902"/>
      <c r="D176" s="902" t="s">
        <v>862</v>
      </c>
      <c r="E176" s="903"/>
      <c r="F176" s="903"/>
      <c r="G176" s="903"/>
      <c r="H176" s="903"/>
      <c r="I176" s="904"/>
      <c r="J176" s="904"/>
      <c r="K176" s="904"/>
      <c r="L176" s="904"/>
      <c r="M176" s="904"/>
      <c r="N176" s="1517"/>
      <c r="O176" s="904"/>
      <c r="P176" s="904"/>
      <c r="Q176" s="904"/>
      <c r="R176" s="904"/>
      <c r="S176" s="904"/>
      <c r="U176" s="1111"/>
      <c r="V176" s="930"/>
      <c r="W176" s="930"/>
      <c r="X176" s="930"/>
      <c r="Y176" s="930"/>
      <c r="Z176" s="930"/>
      <c r="AA176" s="930"/>
      <c r="AB176" s="930"/>
      <c r="AC176" s="930"/>
      <c r="AD176" s="930"/>
      <c r="AE176" s="930"/>
      <c r="AF176" s="930"/>
      <c r="AG176" s="930"/>
      <c r="AH176" s="930"/>
      <c r="AI176" s="930"/>
      <c r="AJ176" s="930"/>
      <c r="AK176" s="930"/>
      <c r="AL176" s="930"/>
      <c r="AM176" s="930"/>
      <c r="AN176" s="930"/>
      <c r="AO176" s="930"/>
      <c r="AP176" s="930"/>
      <c r="AQ176" s="930"/>
      <c r="AR176" s="930"/>
      <c r="AS176" s="930"/>
      <c r="AT176" s="930"/>
      <c r="AU176" s="930"/>
      <c r="AV176" s="930"/>
      <c r="AW176" s="930"/>
      <c r="AX176" s="930"/>
    </row>
    <row r="177" spans="2:81" s="37" customFormat="1">
      <c r="B177" s="311" t="s">
        <v>53</v>
      </c>
      <c r="C177" s="311"/>
      <c r="D177" s="311" t="s">
        <v>51</v>
      </c>
      <c r="E177" s="312"/>
      <c r="F177" s="400"/>
      <c r="G177" s="400">
        <f>9905.42/100+G243</f>
        <v>135.6807</v>
      </c>
      <c r="H177" s="400">
        <f>14789.16/100+H243</f>
        <v>188.77680000000001</v>
      </c>
      <c r="I177" s="400">
        <f>23992.69/100+I243</f>
        <v>280.5093</v>
      </c>
      <c r="J177" s="400">
        <f>371.94956093</f>
        <v>371.94956093000002</v>
      </c>
      <c r="K177" s="400">
        <v>319.02572300000003</v>
      </c>
      <c r="L177" s="400">
        <v>914.47520785999995</v>
      </c>
      <c r="M177" s="2085">
        <f>M188+M190</f>
        <v>2518.1798534899999</v>
      </c>
      <c r="N177" s="1518">
        <f>N201*N216/1000</f>
        <v>5031.826983243719</v>
      </c>
      <c r="O177" s="350">
        <f>O201*O216/1000</f>
        <v>6725.0367631052313</v>
      </c>
      <c r="P177" s="350">
        <f>P201*P216/1000</f>
        <v>8490.3589134203539</v>
      </c>
      <c r="Q177" s="756"/>
      <c r="R177" s="756"/>
      <c r="S177" s="756"/>
      <c r="T177" s="944"/>
      <c r="U177" s="760" t="str">
        <f>+D177</f>
        <v>营业收入</v>
      </c>
      <c r="V177" s="1232">
        <f>18688.73/100</f>
        <v>186.88729999999998</v>
      </c>
      <c r="W177" s="1169">
        <f>+I177+I243-V177</f>
        <v>134.20440000000002</v>
      </c>
      <c r="X177" s="1232">
        <f>12526/100</f>
        <v>125.26</v>
      </c>
      <c r="Y177" s="1169">
        <f>+J177-X177</f>
        <v>246.68956093000003</v>
      </c>
      <c r="Z177" s="1232">
        <f>165.92805397-Z243</f>
        <v>165.92805397000001</v>
      </c>
      <c r="AA177" s="1169">
        <f>+K177-Z177</f>
        <v>153.09766903000002</v>
      </c>
      <c r="AB177" s="1232">
        <v>319.98480000000001</v>
      </c>
      <c r="AC177" s="1169">
        <f>L177-AB177</f>
        <v>594.49040786</v>
      </c>
      <c r="AD177" s="1169">
        <f>BR177+BS177</f>
        <v>1005.6999999999999</v>
      </c>
      <c r="AE177" s="1169">
        <f>M177-AD177</f>
        <v>1512.4798534900001</v>
      </c>
      <c r="AF177" s="1169"/>
      <c r="AG177" s="1169"/>
      <c r="AH177" s="1169"/>
      <c r="AI177" s="1169"/>
      <c r="AJ177" s="1169"/>
      <c r="AK177" s="1169"/>
      <c r="AL177" s="1169"/>
      <c r="AM177" s="1169"/>
      <c r="AN177" s="1169"/>
      <c r="AO177" s="1169"/>
      <c r="AP177" s="1169"/>
      <c r="AQ177" s="1169"/>
      <c r="AR177" s="1169"/>
      <c r="AS177" s="1169"/>
      <c r="AT177" s="1169"/>
      <c r="AU177" s="1169"/>
      <c r="AV177" s="1169"/>
      <c r="AW177" s="1169"/>
      <c r="AX177" s="1169"/>
      <c r="AY177" s="944"/>
      <c r="AZ177" s="37" t="str">
        <f>+D177</f>
        <v>营业收入</v>
      </c>
      <c r="BD177" s="1176">
        <f>26053.09/100-V177</f>
        <v>73.643599999999992</v>
      </c>
      <c r="BE177" s="1172">
        <f>+W177-BD177</f>
        <v>60.560800000000029</v>
      </c>
      <c r="BF177" s="1176">
        <v>61.590499999999999</v>
      </c>
      <c r="BG177" s="1172">
        <f>X177-BF177</f>
        <v>63.669500000000006</v>
      </c>
      <c r="BH177" s="1176">
        <f>21087.5/100-X177</f>
        <v>85.614999999999995</v>
      </c>
      <c r="BI177" s="1172">
        <f>Y177-BH177</f>
        <v>161.07456093000002</v>
      </c>
      <c r="BJ177" s="1176">
        <v>92.709699999999998</v>
      </c>
      <c r="BK177" s="1172">
        <f>Z177-BJ177</f>
        <v>73.21835397000001</v>
      </c>
      <c r="BL177" s="1176">
        <f>241.1184-Z177</f>
        <v>75.190346030000001</v>
      </c>
      <c r="BM177" s="1172">
        <f>AA177-BL177</f>
        <v>77.907323000000019</v>
      </c>
      <c r="BN177" s="1176">
        <v>105.57080000000001</v>
      </c>
      <c r="BO177" s="1172">
        <f>AB177-BN177</f>
        <v>214.41399999999999</v>
      </c>
      <c r="BP177" s="1172">
        <f>639.7959-AB177</f>
        <v>319.81109999999995</v>
      </c>
      <c r="BQ177" s="1172">
        <f>AC177-BP177</f>
        <v>274.67930786000005</v>
      </c>
      <c r="BR177" s="1176">
        <v>376.89359999999999</v>
      </c>
      <c r="BS177" s="1172">
        <f>Quarterly!U92</f>
        <v>628.80639999999994</v>
      </c>
      <c r="BT177" s="1172">
        <f>Quarterly!V92</f>
        <v>1016.293</v>
      </c>
      <c r="BU177" s="1172">
        <f>Quarterly!W92</f>
        <v>498.30205348999982</v>
      </c>
      <c r="BV177" s="1172">
        <f>Quarterly!X92</f>
        <v>944.63840000000005</v>
      </c>
      <c r="BW177" s="1172">
        <f>Quarterly!Y92</f>
        <v>1425.4038648699996</v>
      </c>
      <c r="BX177" s="1172">
        <f>Quarterly!Z92</f>
        <v>1901.0519351300006</v>
      </c>
      <c r="BY177" s="1172">
        <f>Quarterly!AA92</f>
        <v>760.73278324371881</v>
      </c>
      <c r="BZ177" s="1172">
        <f>Quarterly!AB92</f>
        <v>1243.4882276949011</v>
      </c>
      <c r="CA177" s="1172">
        <f>Quarterly!AC92</f>
        <v>1832.0599926164005</v>
      </c>
      <c r="CB177" s="1172">
        <f>Quarterly!AD92</f>
        <v>2510.881166472298</v>
      </c>
      <c r="CC177" s="1172">
        <f>Quarterly!AE92</f>
        <v>1138.6073763216318</v>
      </c>
    </row>
    <row r="178" spans="2:81" s="55" customFormat="1" ht="10.5">
      <c r="B178" s="1603" t="s">
        <v>1129</v>
      </c>
      <c r="C178" s="1603"/>
      <c r="D178" s="1603" t="s">
        <v>100</v>
      </c>
      <c r="E178" s="834"/>
      <c r="F178" s="1788"/>
      <c r="G178" s="1788"/>
      <c r="H178" s="1605">
        <f t="shared" ref="H178:P178" si="224">+H177/G177-1</f>
        <v>0.39133126524258799</v>
      </c>
      <c r="I178" s="1605">
        <f t="shared" si="224"/>
        <v>0.48593100423357094</v>
      </c>
      <c r="J178" s="1605">
        <f t="shared" si="224"/>
        <v>0.32597942717050743</v>
      </c>
      <c r="K178" s="1605">
        <f t="shared" si="224"/>
        <v>-0.14228767416117516</v>
      </c>
      <c r="L178" s="1605">
        <f t="shared" si="224"/>
        <v>1.866462300470987</v>
      </c>
      <c r="M178" s="1605">
        <f t="shared" si="224"/>
        <v>1.7536884891421969</v>
      </c>
      <c r="N178" s="1606">
        <f t="shared" si="224"/>
        <v>0.99820000000000042</v>
      </c>
      <c r="O178" s="1605">
        <f t="shared" si="224"/>
        <v>0.33650000000000024</v>
      </c>
      <c r="P178" s="1605">
        <f t="shared" si="224"/>
        <v>0.26249999999999996</v>
      </c>
      <c r="Q178" s="794"/>
      <c r="R178" s="794"/>
      <c r="S178" s="794"/>
      <c r="T178" s="947"/>
      <c r="U178" s="1789"/>
      <c r="V178" s="1789"/>
      <c r="W178" s="1789"/>
      <c r="X178" s="2015">
        <f t="shared" ref="X178:AE178" si="225">X177/V177-1</f>
        <v>-0.32975648960630277</v>
      </c>
      <c r="Y178" s="2015">
        <f t="shared" si="225"/>
        <v>0.83816298817326396</v>
      </c>
      <c r="Z178" s="2015">
        <f t="shared" si="225"/>
        <v>0.32466911999041992</v>
      </c>
      <c r="AA178" s="2015">
        <f t="shared" si="225"/>
        <v>-0.3793913757321794</v>
      </c>
      <c r="AB178" s="2015">
        <f t="shared" si="225"/>
        <v>0.92845508847981573</v>
      </c>
      <c r="AC178" s="2015">
        <f t="shared" si="225"/>
        <v>2.8830794199976197</v>
      </c>
      <c r="AD178" s="2015">
        <f t="shared" si="225"/>
        <v>2.1429617906850571</v>
      </c>
      <c r="AE178" s="2015">
        <f t="shared" si="225"/>
        <v>1.5441619132838604</v>
      </c>
      <c r="AF178" s="2015"/>
      <c r="AG178" s="2015"/>
      <c r="AH178" s="2015"/>
      <c r="AI178" s="2015"/>
      <c r="AJ178" s="2015"/>
      <c r="AK178" s="2015"/>
      <c r="AL178" s="2015"/>
      <c r="AM178" s="2015"/>
      <c r="AN178" s="2015"/>
      <c r="AO178" s="2015"/>
      <c r="AP178" s="2015"/>
      <c r="AQ178" s="2015"/>
      <c r="AR178" s="2015"/>
      <c r="AS178" s="2015"/>
      <c r="AT178" s="2015"/>
      <c r="AU178" s="2015"/>
      <c r="AV178" s="2015"/>
      <c r="AW178" s="2015"/>
      <c r="AX178" s="2015"/>
      <c r="AY178" s="947"/>
      <c r="AZ178" s="1789"/>
      <c r="BA178" s="1789"/>
      <c r="BB178" s="1789"/>
      <c r="BC178" s="1789"/>
      <c r="BD178" s="1789"/>
      <c r="BE178" s="1789"/>
      <c r="BF178" s="1789"/>
      <c r="BG178" s="1789"/>
      <c r="BH178" s="2015">
        <f t="shared" ref="BH178:BT178" si="226">BH177/BD177-1</f>
        <v>0.16255859300740338</v>
      </c>
      <c r="BI178" s="2015">
        <f t="shared" si="226"/>
        <v>1.6597165316508358</v>
      </c>
      <c r="BJ178" s="2015">
        <f t="shared" si="226"/>
        <v>0.50525973973258864</v>
      </c>
      <c r="BK178" s="2015">
        <f t="shared" si="226"/>
        <v>0.1499753252342173</v>
      </c>
      <c r="BL178" s="2015">
        <f t="shared" si="226"/>
        <v>-0.12176200397126669</v>
      </c>
      <c r="BM178" s="2015">
        <f t="shared" si="226"/>
        <v>-0.51632757804718099</v>
      </c>
      <c r="BN178" s="2015">
        <f t="shared" si="226"/>
        <v>0.1387244268938419</v>
      </c>
      <c r="BO178" s="2015">
        <f t="shared" si="226"/>
        <v>1.9284187416703267</v>
      </c>
      <c r="BP178" s="2015">
        <f t="shared" si="226"/>
        <v>3.2533532146852915</v>
      </c>
      <c r="BQ178" s="2015">
        <f t="shared" si="226"/>
        <v>2.5257187294190557</v>
      </c>
      <c r="BR178" s="2015">
        <f t="shared" si="226"/>
        <v>2.570055356215923</v>
      </c>
      <c r="BS178" s="2015">
        <f t="shared" si="226"/>
        <v>1.9326741723954592</v>
      </c>
      <c r="BT178" s="2015">
        <f t="shared" si="226"/>
        <v>2.1777915150537308</v>
      </c>
      <c r="BU178" s="2015">
        <f t="shared" ref="BU178" si="227">BU177/BQ177-1</f>
        <v>0.81412301265873643</v>
      </c>
      <c r="BV178" s="2015">
        <f t="shared" ref="BV178" si="228">BV177/BR177-1</f>
        <v>1.5063795193126124</v>
      </c>
      <c r="BW178" s="2015">
        <f t="shared" ref="BW178" si="229">BW177/BS177-1</f>
        <v>1.266840580614319</v>
      </c>
      <c r="BX178" s="2015">
        <f t="shared" ref="BX178" si="230">BX177/BT177-1</f>
        <v>0.87057466215943702</v>
      </c>
      <c r="BY178" s="2015">
        <f t="shared" ref="BY178" si="231">BY177/BU177-1</f>
        <v>0.52664990624804964</v>
      </c>
      <c r="BZ178" s="2015">
        <f t="shared" ref="BZ178" si="232">BZ177/BV177-1</f>
        <v>0.31636425927095591</v>
      </c>
      <c r="CA178" s="2015">
        <f t="shared" ref="CA178" si="233">CA177/BW177-1</f>
        <v>0.28529186553278296</v>
      </c>
      <c r="CB178" s="2015">
        <f t="shared" ref="CB178" si="234">CB177/BX177-1</f>
        <v>0.32078515061746327</v>
      </c>
      <c r="CC178" s="2015">
        <f t="shared" ref="CC178" si="235">CC177/BY177-1</f>
        <v>0.49672447592790525</v>
      </c>
    </row>
    <row r="179" spans="2:81">
      <c r="B179" s="307" t="s">
        <v>49</v>
      </c>
      <c r="C179" s="307"/>
      <c r="D179" s="307" t="s">
        <v>48</v>
      </c>
      <c r="E179" s="308"/>
      <c r="F179" s="348"/>
      <c r="G179" s="349">
        <f>+G177-G182</f>
        <v>139.1617</v>
      </c>
      <c r="H179" s="349">
        <f>+H177-H182</f>
        <v>197.74680000000001</v>
      </c>
      <c r="I179" s="349">
        <f>+I177-I182</f>
        <v>258.23829999999998</v>
      </c>
      <c r="J179" s="348">
        <v>323.59592900000001</v>
      </c>
      <c r="K179" s="348">
        <v>264.57629100000003</v>
      </c>
      <c r="L179" s="348">
        <v>756.71951799999999</v>
      </c>
      <c r="M179" s="1928">
        <f>M231+M181</f>
        <v>1846.1152317200001</v>
      </c>
      <c r="N179" s="1519">
        <f>N227*N201/1000</f>
        <v>3726.9374297963368</v>
      </c>
      <c r="O179" s="349">
        <f>O227*O201/1000</f>
        <v>4804.9540813649273</v>
      </c>
      <c r="P179" s="349">
        <f>P227*P201/1000</f>
        <v>5826.0068236549741</v>
      </c>
      <c r="Q179" s="867"/>
      <c r="R179" s="867"/>
      <c r="S179" s="867"/>
      <c r="U179" s="789"/>
      <c r="V179" s="867"/>
      <c r="W179" s="867"/>
      <c r="X179" s="867"/>
      <c r="Y179" s="867"/>
      <c r="Z179" s="867"/>
      <c r="AA179" s="867"/>
      <c r="AB179" s="867"/>
      <c r="AC179" s="867"/>
      <c r="AD179" s="867"/>
      <c r="AE179" s="867"/>
      <c r="AF179" s="867"/>
      <c r="AG179" s="867"/>
      <c r="AH179" s="867"/>
      <c r="AI179" s="867"/>
      <c r="AJ179" s="867"/>
      <c r="AK179" s="867"/>
      <c r="AL179" s="867"/>
      <c r="AM179" s="867"/>
      <c r="AN179" s="867"/>
      <c r="AO179" s="867"/>
      <c r="AP179" s="867"/>
      <c r="AQ179" s="867"/>
      <c r="AR179" s="867"/>
      <c r="AS179" s="867"/>
      <c r="AT179" s="867"/>
      <c r="AU179" s="867"/>
      <c r="AV179" s="867"/>
      <c r="AW179" s="867"/>
      <c r="AX179" s="867"/>
    </row>
    <row r="180" spans="2:81" s="37" customFormat="1">
      <c r="B180" s="1927" t="s">
        <v>1260</v>
      </c>
      <c r="C180" s="307"/>
      <c r="D180" s="307"/>
      <c r="E180" s="312"/>
      <c r="F180" s="348"/>
      <c r="G180" s="349"/>
      <c r="H180" s="349"/>
      <c r="I180" s="349"/>
      <c r="J180" s="348"/>
      <c r="K180" s="348"/>
      <c r="L180" s="1928">
        <f>L179-L181</f>
        <v>298.33378721214916</v>
      </c>
      <c r="M180" s="1928">
        <f>M179-M181</f>
        <v>1050.7701502300001</v>
      </c>
      <c r="N180" s="2099">
        <f>N231</f>
        <v>2240.0991811427502</v>
      </c>
      <c r="O180" s="1928">
        <f>O231</f>
        <v>2947.6797720476634</v>
      </c>
      <c r="P180" s="1928">
        <f>P231</f>
        <v>3615.1315301878458</v>
      </c>
      <c r="Q180" s="867"/>
      <c r="R180" s="867"/>
      <c r="S180" s="867"/>
      <c r="T180" s="943"/>
      <c r="U180" s="789"/>
      <c r="V180" s="867"/>
      <c r="W180" s="867"/>
      <c r="X180" s="867"/>
      <c r="Y180" s="867"/>
      <c r="Z180" s="867"/>
      <c r="AA180" s="867"/>
      <c r="AB180" s="867"/>
      <c r="AC180" s="867"/>
      <c r="AD180" s="867"/>
      <c r="AE180" s="867"/>
      <c r="AF180" s="867"/>
      <c r="AG180" s="867"/>
      <c r="AH180" s="867"/>
      <c r="AI180" s="867"/>
      <c r="AJ180" s="867"/>
      <c r="AK180" s="867"/>
      <c r="AL180" s="867"/>
      <c r="AM180" s="867"/>
      <c r="AN180" s="867"/>
      <c r="AO180" s="867"/>
      <c r="AP180" s="867"/>
      <c r="AQ180" s="867"/>
      <c r="AR180" s="867"/>
      <c r="AS180" s="867"/>
      <c r="AT180" s="867"/>
      <c r="AU180" s="867"/>
      <c r="AV180" s="867"/>
      <c r="AW180" s="867"/>
      <c r="AX180" s="867"/>
      <c r="AY180" s="944"/>
    </row>
    <row r="181" spans="2:81">
      <c r="B181" s="1927" t="s">
        <v>1337</v>
      </c>
      <c r="C181" s="680"/>
      <c r="D181" s="758"/>
      <c r="E181" s="309"/>
      <c r="F181" s="633"/>
      <c r="G181" s="633"/>
      <c r="H181" s="633"/>
      <c r="I181" s="633"/>
      <c r="J181" s="633"/>
      <c r="K181" s="633"/>
      <c r="L181" s="633">
        <f>M181/(1+73.51%)</f>
        <v>458.38573078785083</v>
      </c>
      <c r="M181" s="2086">
        <v>795.34508148999998</v>
      </c>
      <c r="N181" s="1519">
        <f>N179-N180</f>
        <v>1486.8382486535866</v>
      </c>
      <c r="O181" s="349">
        <f>O179-O180</f>
        <v>1857.2743093172639</v>
      </c>
      <c r="P181" s="349">
        <f>P179-P180</f>
        <v>2210.8752934671284</v>
      </c>
      <c r="Q181" s="867"/>
      <c r="R181" s="867"/>
      <c r="S181" s="867"/>
      <c r="U181" s="789"/>
      <c r="V181" s="483"/>
      <c r="W181" s="483"/>
      <c r="X181" s="35"/>
      <c r="Y181" s="35"/>
      <c r="Z181" s="1232"/>
      <c r="AA181" s="1169"/>
      <c r="AB181" s="1232"/>
      <c r="AC181" s="1169"/>
      <c r="AD181" s="1232"/>
      <c r="AE181" s="1169"/>
      <c r="AF181" s="1169"/>
      <c r="AG181" s="1169"/>
      <c r="AH181" s="1169"/>
      <c r="AI181" s="1169"/>
      <c r="AJ181" s="1169"/>
      <c r="AK181" s="1169"/>
      <c r="AL181" s="1169"/>
      <c r="AM181" s="1169"/>
      <c r="AN181" s="1169"/>
      <c r="AO181" s="1169"/>
      <c r="AP181" s="1169"/>
      <c r="AQ181" s="1169"/>
      <c r="AR181" s="1169"/>
      <c r="AS181" s="1169"/>
      <c r="AT181" s="1169"/>
      <c r="AU181" s="1169"/>
      <c r="AV181" s="1169"/>
      <c r="AW181" s="35"/>
      <c r="AX181" s="35"/>
    </row>
    <row r="182" spans="2:81" s="37" customFormat="1">
      <c r="B182" s="311" t="s">
        <v>58</v>
      </c>
      <c r="C182" s="311"/>
      <c r="D182" s="311" t="s">
        <v>50</v>
      </c>
      <c r="E182" s="312"/>
      <c r="F182" s="400"/>
      <c r="G182" s="400">
        <f>-348.1/100</f>
        <v>-3.4810000000000003</v>
      </c>
      <c r="H182" s="400">
        <v>-8.9700000000000006</v>
      </c>
      <c r="I182" s="400">
        <f>2227.1/100</f>
        <v>22.271000000000001</v>
      </c>
      <c r="J182" s="350">
        <f t="shared" ref="J182:P182" si="236">J177-J179</f>
        <v>48.353631930000006</v>
      </c>
      <c r="K182" s="350">
        <f t="shared" si="236"/>
        <v>54.449432000000002</v>
      </c>
      <c r="L182" s="350">
        <f t="shared" si="236"/>
        <v>157.75568985999996</v>
      </c>
      <c r="M182" s="350">
        <f t="shared" si="236"/>
        <v>672.0646217699998</v>
      </c>
      <c r="N182" s="1518">
        <f t="shared" si="236"/>
        <v>1304.8895534473822</v>
      </c>
      <c r="O182" s="350">
        <f t="shared" si="236"/>
        <v>1920.082681740304</v>
      </c>
      <c r="P182" s="350">
        <f t="shared" si="236"/>
        <v>2664.3520897653798</v>
      </c>
      <c r="Q182" s="756"/>
      <c r="R182" s="756"/>
      <c r="S182" s="756"/>
      <c r="T182" s="944"/>
      <c r="U182" s="1164"/>
      <c r="V182" s="756"/>
      <c r="W182" s="756"/>
      <c r="X182" s="756"/>
      <c r="Y182" s="756"/>
      <c r="Z182" s="756"/>
      <c r="AA182" s="756"/>
      <c r="AB182" s="756"/>
      <c r="AC182" s="756"/>
      <c r="AD182" s="756"/>
      <c r="AE182" s="756"/>
      <c r="AF182" s="756"/>
      <c r="AG182" s="756"/>
      <c r="AH182" s="756"/>
      <c r="AI182" s="756"/>
      <c r="AJ182" s="756"/>
      <c r="AK182" s="756"/>
      <c r="AL182" s="756"/>
      <c r="AM182" s="756"/>
      <c r="AN182" s="756"/>
      <c r="AO182" s="756"/>
      <c r="AP182" s="756"/>
      <c r="AQ182" s="756"/>
      <c r="AR182" s="756"/>
      <c r="AS182" s="756"/>
      <c r="AT182" s="756"/>
      <c r="AU182" s="756"/>
      <c r="AV182" s="756"/>
      <c r="AW182" s="756"/>
      <c r="AX182" s="756"/>
      <c r="AY182" s="944"/>
    </row>
    <row r="183" spans="2:81" s="55" customFormat="1">
      <c r="B183" s="1603" t="s">
        <v>10</v>
      </c>
      <c r="C183" s="1603"/>
      <c r="D183" s="1603" t="s">
        <v>9</v>
      </c>
      <c r="E183" s="834"/>
      <c r="F183" s="1604"/>
      <c r="G183" s="1605">
        <f t="shared" ref="G183:P183" si="237">+G182/G177</f>
        <v>-2.5655822825206533E-2</v>
      </c>
      <c r="H183" s="1605">
        <f t="shared" si="237"/>
        <v>-4.7516432103944975E-2</v>
      </c>
      <c r="I183" s="1605">
        <f t="shared" si="237"/>
        <v>7.939487211297451E-2</v>
      </c>
      <c r="J183" s="1605">
        <f t="shared" si="237"/>
        <v>0.13000050815787906</v>
      </c>
      <c r="K183" s="1605">
        <f t="shared" si="237"/>
        <v>0.1706741120683864</v>
      </c>
      <c r="L183" s="1605">
        <f t="shared" si="237"/>
        <v>0.17250953170088706</v>
      </c>
      <c r="M183" s="1605">
        <f t="shared" si="237"/>
        <v>0.26688507607531325</v>
      </c>
      <c r="N183" s="1606">
        <f t="shared" si="237"/>
        <v>0.25932719026165674</v>
      </c>
      <c r="O183" s="1605">
        <f t="shared" si="237"/>
        <v>0.2855125926261437</v>
      </c>
      <c r="P183" s="1605">
        <f t="shared" si="237"/>
        <v>0.31380912361124691</v>
      </c>
      <c r="Q183" s="347"/>
      <c r="R183" s="347"/>
      <c r="S183" s="347"/>
      <c r="T183" s="945"/>
      <c r="U183" s="1256"/>
      <c r="V183" s="1787"/>
      <c r="W183" s="1787"/>
      <c r="X183" s="1787"/>
      <c r="Y183" s="1787"/>
      <c r="Z183" s="1787"/>
      <c r="AA183" s="1787"/>
      <c r="AB183" s="1787"/>
      <c r="AC183" s="1787"/>
      <c r="AD183" s="1787"/>
      <c r="AE183" s="1787"/>
      <c r="AF183" s="1787"/>
      <c r="AG183" s="1787"/>
      <c r="AH183" s="1787"/>
      <c r="AI183" s="1787"/>
      <c r="AJ183" s="1787"/>
      <c r="AK183" s="1787"/>
      <c r="AL183" s="1787"/>
      <c r="AM183" s="1787"/>
      <c r="AN183" s="1787"/>
      <c r="AO183" s="1787"/>
      <c r="AP183" s="1787"/>
      <c r="AQ183" s="1787"/>
      <c r="AR183" s="1787"/>
      <c r="AS183" s="1787"/>
      <c r="AT183" s="1787"/>
      <c r="AU183" s="1787"/>
      <c r="AV183" s="1787"/>
      <c r="AW183" s="1787"/>
      <c r="AX183" s="1787"/>
      <c r="AY183" s="947"/>
    </row>
    <row r="184" spans="2:81">
      <c r="B184" s="836"/>
      <c r="C184" s="836"/>
      <c r="D184" s="2005"/>
      <c r="E184" s="838"/>
      <c r="F184" s="839"/>
      <c r="G184" s="840"/>
      <c r="H184" s="840"/>
      <c r="I184" s="840"/>
      <c r="J184" s="839"/>
      <c r="K184" s="839"/>
      <c r="L184" s="839"/>
      <c r="M184" s="839"/>
      <c r="N184" s="1542"/>
      <c r="O184" s="839"/>
      <c r="P184" s="839"/>
      <c r="Q184" s="63"/>
      <c r="R184" s="63"/>
      <c r="S184" s="63"/>
      <c r="U184" s="789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35"/>
      <c r="AW184" s="35"/>
      <c r="AX184" s="35"/>
    </row>
    <row r="185" spans="2:81" hidden="1" outlineLevel="1">
      <c r="B185" s="1212" t="s">
        <v>1264</v>
      </c>
      <c r="C185" s="836"/>
      <c r="D185" s="837"/>
      <c r="E185" s="838"/>
      <c r="F185" s="839"/>
      <c r="G185" s="840"/>
      <c r="H185" s="840"/>
      <c r="I185" s="840"/>
      <c r="J185" s="839"/>
      <c r="K185" s="839"/>
      <c r="L185" s="1244">
        <f>L187*L9</f>
        <v>575.52877765611902</v>
      </c>
      <c r="M185" s="1365">
        <f>M188+M193</f>
        <v>1814.3658317820511</v>
      </c>
      <c r="N185" s="1543">
        <f>N188+N193</f>
        <v>3753.9810931308998</v>
      </c>
      <c r="O185" s="1365">
        <f>O188+O193</f>
        <v>5043.4142866580232</v>
      </c>
      <c r="P185" s="1365">
        <f>P188+P193</f>
        <v>6384.1690726223997</v>
      </c>
      <c r="Q185" s="1481"/>
      <c r="R185" s="1481"/>
      <c r="S185" s="1481"/>
      <c r="U185" s="789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35"/>
      <c r="AW185" s="35"/>
      <c r="AX185" s="35"/>
      <c r="BR185" s="1290">
        <f>BR187*BR9</f>
        <v>240.96600918506797</v>
      </c>
    </row>
    <row r="186" spans="2:81" hidden="1" outlineLevel="1">
      <c r="B186" s="836" t="s">
        <v>216</v>
      </c>
      <c r="C186" s="836"/>
      <c r="D186" s="837"/>
      <c r="E186" s="838"/>
      <c r="F186" s="839"/>
      <c r="G186" s="840"/>
      <c r="H186" s="840"/>
      <c r="I186" s="840"/>
      <c r="J186" s="839"/>
      <c r="K186" s="839"/>
      <c r="L186" s="1243"/>
      <c r="M186" s="1310">
        <f>M185/L185-1</f>
        <v>2.152519738754302</v>
      </c>
      <c r="N186" s="1546">
        <f>N185/M185-1</f>
        <v>1.06903207025442</v>
      </c>
      <c r="O186" s="1310">
        <f>O185/N185-1</f>
        <v>0.34348420024984971</v>
      </c>
      <c r="P186" s="1310">
        <f>P185/O185-1</f>
        <v>0.26584268310284243</v>
      </c>
      <c r="Q186" s="1199"/>
      <c r="R186" s="1199"/>
      <c r="S186" s="1199"/>
      <c r="U186" s="789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35"/>
      <c r="AW186" s="35"/>
      <c r="AX186" s="35"/>
      <c r="BR186" s="1289"/>
    </row>
    <row r="187" spans="2:81" hidden="1" collapsed="1">
      <c r="B187" s="836" t="s">
        <v>1338</v>
      </c>
      <c r="C187" s="836"/>
      <c r="D187" s="837"/>
      <c r="E187" s="838"/>
      <c r="F187" s="839"/>
      <c r="G187" s="840"/>
      <c r="H187" s="840"/>
      <c r="I187" s="840"/>
      <c r="J187" s="839"/>
      <c r="K187" s="839"/>
      <c r="L187" s="1243">
        <v>5.11E-2</v>
      </c>
      <c r="M187" s="2180">
        <f>M185/M9</f>
        <v>0.11455160080124478</v>
      </c>
      <c r="N187" s="1545">
        <f>N185/N9</f>
        <v>0.17882989223273987</v>
      </c>
      <c r="O187" s="1545">
        <f>O185/O9</f>
        <v>0.19853219462844299</v>
      </c>
      <c r="P187" s="1545">
        <f>P185/P9</f>
        <v>0.21429148583095783</v>
      </c>
      <c r="Q187" s="492"/>
      <c r="R187" s="492"/>
      <c r="S187" s="492"/>
      <c r="U187" s="789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35"/>
      <c r="AW187" s="35"/>
      <c r="AX187" s="35"/>
      <c r="BR187" s="1289">
        <v>6.9199999999999998E-2</v>
      </c>
    </row>
    <row r="188" spans="2:81" s="37" customFormat="1">
      <c r="B188" s="2004" t="s">
        <v>1260</v>
      </c>
      <c r="C188" s="1311"/>
      <c r="D188" s="2005" t="s">
        <v>1262</v>
      </c>
      <c r="E188" s="2006"/>
      <c r="F188" s="2007"/>
      <c r="G188" s="2008"/>
      <c r="H188" s="2008"/>
      <c r="I188" s="2008"/>
      <c r="J188" s="2007"/>
      <c r="K188" s="2007"/>
      <c r="L188" s="2009">
        <f>M188/(1+280.37%)</f>
        <v>393.04205623208981</v>
      </c>
      <c r="M188" s="2181">
        <v>1495.01406929</v>
      </c>
      <c r="N188" s="1543">
        <f>M188*(1+N189)</f>
        <v>3303.9810931308998</v>
      </c>
      <c r="O188" s="1365">
        <f>N188*(1+O189)</f>
        <v>4493.4142866580232</v>
      </c>
      <c r="P188" s="1365">
        <f>O188*(1+P189)</f>
        <v>5684.1690726223997</v>
      </c>
      <c r="Q188" s="1481"/>
      <c r="R188" s="1481"/>
      <c r="S188" s="1481"/>
      <c r="T188" s="944"/>
      <c r="U188" s="1164"/>
      <c r="V188" s="494"/>
      <c r="W188" s="494"/>
      <c r="X188" s="494"/>
      <c r="Y188" s="494"/>
      <c r="Z188" s="494"/>
      <c r="AA188" s="494"/>
      <c r="AB188" s="1232">
        <v>124.8535</v>
      </c>
      <c r="AC188" s="494">
        <f>L188-AB188</f>
        <v>268.18855623208981</v>
      </c>
      <c r="AD188" s="1232">
        <v>475.83780000000002</v>
      </c>
      <c r="AE188" s="1169">
        <f>M188-AD188</f>
        <v>1019.1762692899999</v>
      </c>
      <c r="AF188" s="1169"/>
      <c r="AG188" s="1169"/>
      <c r="AH188" s="1169"/>
      <c r="AI188" s="1169"/>
      <c r="AJ188" s="494"/>
      <c r="AK188" s="494"/>
      <c r="AL188" s="494"/>
      <c r="AM188" s="494"/>
      <c r="AN188" s="494"/>
      <c r="AO188" s="494"/>
      <c r="AP188" s="494"/>
      <c r="AQ188" s="494"/>
      <c r="AR188" s="494"/>
      <c r="AS188" s="494"/>
      <c r="AT188" s="494"/>
      <c r="AU188" s="494"/>
      <c r="AV188" s="494"/>
      <c r="AW188" s="494"/>
      <c r="AX188" s="494"/>
      <c r="AY188" s="944"/>
    </row>
    <row r="189" spans="2:81">
      <c r="B189" s="1201" t="s">
        <v>216</v>
      </c>
      <c r="C189" s="836"/>
      <c r="D189" s="837"/>
      <c r="E189" s="838"/>
      <c r="F189" s="839"/>
      <c r="G189" s="840"/>
      <c r="H189" s="840"/>
      <c r="I189" s="840"/>
      <c r="J189" s="839"/>
      <c r="K189" s="839"/>
      <c r="L189" s="1309"/>
      <c r="M189" s="2182">
        <f>M188/L188-1</f>
        <v>2.8037000000000001</v>
      </c>
      <c r="N189" s="2100">
        <v>1.21</v>
      </c>
      <c r="O189" s="1999">
        <v>0.36</v>
      </c>
      <c r="P189" s="1999">
        <v>0.26500000000000001</v>
      </c>
      <c r="Q189" s="1465"/>
      <c r="R189" s="1465"/>
      <c r="S189" s="1465"/>
      <c r="U189" s="789"/>
      <c r="V189" s="35"/>
      <c r="W189" s="35"/>
      <c r="X189" s="35"/>
      <c r="Y189" s="35"/>
      <c r="Z189" s="35"/>
      <c r="AA189" s="35"/>
      <c r="AB189" s="1232"/>
      <c r="AC189" s="35"/>
      <c r="AD189" s="1232"/>
      <c r="AE189" s="303"/>
      <c r="AF189" s="303"/>
      <c r="AG189" s="303"/>
      <c r="AH189" s="303"/>
      <c r="AI189" s="303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35"/>
      <c r="AW189" s="35"/>
      <c r="AX189" s="35"/>
    </row>
    <row r="190" spans="2:81" s="37" customFormat="1">
      <c r="B190" s="2004" t="s">
        <v>1337</v>
      </c>
      <c r="C190" s="829"/>
      <c r="D190" s="1167"/>
      <c r="E190" s="313"/>
      <c r="F190" s="2010"/>
      <c r="G190" s="2010"/>
      <c r="H190" s="2010"/>
      <c r="I190" s="2010"/>
      <c r="J190" s="2010"/>
      <c r="K190" s="2010"/>
      <c r="L190" s="2011">
        <f>L177-L188</f>
        <v>521.43315162791009</v>
      </c>
      <c r="M190" s="2087">
        <v>1023.1657842</v>
      </c>
      <c r="N190" s="1518">
        <f>N177-N188</f>
        <v>1727.8458901128192</v>
      </c>
      <c r="O190" s="350">
        <f>O177-O188</f>
        <v>2231.6224764472081</v>
      </c>
      <c r="P190" s="350">
        <f>P177-P188</f>
        <v>2806.1898407979543</v>
      </c>
      <c r="Q190" s="756"/>
      <c r="R190" s="756"/>
      <c r="S190" s="756"/>
      <c r="T190" s="944"/>
      <c r="U190" s="1164"/>
      <c r="V190" s="2012"/>
      <c r="W190" s="2012"/>
      <c r="X190" s="494"/>
      <c r="Y190" s="494"/>
      <c r="Z190" s="1232"/>
      <c r="AA190" s="1169"/>
      <c r="AB190" s="1232"/>
      <c r="AC190" s="1169"/>
      <c r="AD190" s="1232"/>
      <c r="AE190" s="1169"/>
      <c r="AF190" s="1169"/>
      <c r="AG190" s="1169"/>
      <c r="AH190" s="1169"/>
      <c r="AI190" s="1169"/>
      <c r="AJ190" s="1169"/>
      <c r="AK190" s="1169"/>
      <c r="AL190" s="1169"/>
      <c r="AM190" s="1169"/>
      <c r="AN190" s="1169"/>
      <c r="AO190" s="1169"/>
      <c r="AP190" s="1169"/>
      <c r="AQ190" s="1169"/>
      <c r="AR190" s="1169"/>
      <c r="AS190" s="1169"/>
      <c r="AT190" s="1169"/>
      <c r="AU190" s="1169"/>
      <c r="AV190" s="1169"/>
      <c r="AW190" s="494"/>
      <c r="AX190" s="494"/>
      <c r="AY190" s="944"/>
    </row>
    <row r="191" spans="2:81">
      <c r="B191" s="1201" t="s">
        <v>216</v>
      </c>
      <c r="C191" s="836"/>
      <c r="D191" s="837"/>
      <c r="E191" s="838"/>
      <c r="F191" s="839"/>
      <c r="G191" s="840"/>
      <c r="H191" s="840"/>
      <c r="I191" s="840"/>
      <c r="J191" s="839"/>
      <c r="K191" s="839"/>
      <c r="L191" s="1243" t="s">
        <v>991</v>
      </c>
      <c r="M191" s="2183">
        <v>1.0309999999999999</v>
      </c>
      <c r="N191" s="1998">
        <f>N190/M190-1</f>
        <v>0.6887252455024182</v>
      </c>
      <c r="O191" s="1998">
        <f>O190/N190-1</f>
        <v>0.2915633791283867</v>
      </c>
      <c r="P191" s="1998">
        <f>P190/O190-1</f>
        <v>0.25746620246694674</v>
      </c>
      <c r="Q191" s="63"/>
      <c r="R191" s="63"/>
      <c r="S191" s="63"/>
      <c r="U191" s="789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35"/>
      <c r="AW191" s="35"/>
      <c r="AX191" s="35"/>
      <c r="BR191" s="1289"/>
    </row>
    <row r="192" spans="2:81">
      <c r="B192" s="1201"/>
      <c r="C192" s="836"/>
      <c r="D192" s="837"/>
      <c r="E192" s="838"/>
      <c r="F192" s="839"/>
      <c r="G192" s="840"/>
      <c r="H192" s="840"/>
      <c r="I192" s="840"/>
      <c r="J192" s="839"/>
      <c r="K192" s="839"/>
      <c r="L192" s="1243"/>
      <c r="M192" s="2002"/>
      <c r="N192" s="1998"/>
      <c r="O192" s="2002"/>
      <c r="P192" s="2002"/>
      <c r="Q192" s="63"/>
      <c r="R192" s="63"/>
      <c r="S192" s="63"/>
      <c r="U192" s="789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35"/>
      <c r="AW192" s="35"/>
      <c r="AX192" s="35"/>
      <c r="BR192" s="1289"/>
    </row>
    <row r="193" spans="2:81">
      <c r="B193" s="1201" t="s">
        <v>1261</v>
      </c>
      <c r="C193" s="836"/>
      <c r="D193" s="837" t="s">
        <v>1263</v>
      </c>
      <c r="E193" s="838"/>
      <c r="F193" s="839"/>
      <c r="G193" s="840"/>
      <c r="H193" s="840"/>
      <c r="I193" s="840"/>
      <c r="J193" s="839"/>
      <c r="K193" s="839"/>
      <c r="L193" s="1309">
        <f>L185-L188</f>
        <v>182.48672142402921</v>
      </c>
      <c r="M193" s="2184">
        <f>L193*(1+75%)</f>
        <v>319.35176249205114</v>
      </c>
      <c r="N193" s="1544">
        <v>450</v>
      </c>
      <c r="O193" s="1309">
        <v>550</v>
      </c>
      <c r="P193" s="1309">
        <v>700</v>
      </c>
      <c r="Q193" s="1465"/>
      <c r="R193" s="1465"/>
      <c r="S193" s="1465"/>
      <c r="U193" s="789"/>
      <c r="V193" s="35"/>
      <c r="W193" s="35"/>
      <c r="X193" s="35"/>
      <c r="Y193" s="35"/>
      <c r="Z193" s="35"/>
      <c r="AA193" s="35"/>
      <c r="AB193" s="35"/>
      <c r="AC193" s="35"/>
      <c r="AD193" s="129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35"/>
      <c r="AW193" s="35"/>
      <c r="AX193" s="35"/>
    </row>
    <row r="194" spans="2:81">
      <c r="B194" s="1201" t="s">
        <v>1364</v>
      </c>
      <c r="C194" s="836"/>
      <c r="D194" s="837"/>
      <c r="E194" s="838"/>
      <c r="F194" s="839"/>
      <c r="G194" s="840"/>
      <c r="H194" s="840"/>
      <c r="I194" s="840"/>
      <c r="J194" s="839"/>
      <c r="K194" s="839"/>
      <c r="L194" s="1243"/>
      <c r="M194" s="2185">
        <v>80</v>
      </c>
      <c r="N194" s="1544">
        <v>100</v>
      </c>
      <c r="O194" s="1309">
        <f>N194*1.3</f>
        <v>130</v>
      </c>
      <c r="P194" s="1309">
        <f>O194*1.3</f>
        <v>169</v>
      </c>
      <c r="Q194" s="1465"/>
      <c r="R194" s="1465"/>
      <c r="S194" s="1465"/>
      <c r="U194" s="789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35"/>
      <c r="AW194" s="35"/>
      <c r="AX194" s="35"/>
      <c r="BR194" s="1289"/>
    </row>
    <row r="195" spans="2:81" ht="11.25" customHeight="1">
      <c r="B195" s="2000" t="s">
        <v>1365</v>
      </c>
      <c r="C195" s="836"/>
      <c r="D195" s="837"/>
      <c r="E195" s="838"/>
      <c r="F195" s="839"/>
      <c r="G195" s="840"/>
      <c r="H195" s="840"/>
      <c r="I195" s="840"/>
      <c r="J195" s="839"/>
      <c r="K195" s="839"/>
      <c r="L195" s="839"/>
      <c r="M195" s="2185">
        <v>150</v>
      </c>
      <c r="N195" s="1544">
        <v>250</v>
      </c>
      <c r="O195" s="1309">
        <f>N195*1.25</f>
        <v>312.5</v>
      </c>
      <c r="P195" s="1309">
        <f>O195*1.25</f>
        <v>390.625</v>
      </c>
      <c r="Q195" s="1465"/>
      <c r="R195" s="1465"/>
      <c r="S195" s="1465"/>
      <c r="U195" s="789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35"/>
      <c r="AW195" s="35"/>
      <c r="AX195" s="35"/>
    </row>
    <row r="196" spans="2:81">
      <c r="B196" s="2000" t="s">
        <v>1750</v>
      </c>
      <c r="C196" s="836"/>
      <c r="D196" s="837"/>
      <c r="E196" s="838"/>
      <c r="F196" s="839"/>
      <c r="G196" s="840"/>
      <c r="H196" s="840"/>
      <c r="I196" s="840"/>
      <c r="J196" s="839"/>
      <c r="K196" s="839"/>
      <c r="L196" s="839"/>
      <c r="M196" s="1309">
        <f>11*12</f>
        <v>132</v>
      </c>
      <c r="N196" s="1544">
        <v>800</v>
      </c>
      <c r="O196" s="1309">
        <v>1300</v>
      </c>
      <c r="P196" s="1309">
        <f>O196*1.2725</f>
        <v>1654.25</v>
      </c>
      <c r="Q196" s="1465"/>
      <c r="R196" s="1465"/>
      <c r="S196" s="1465"/>
      <c r="U196" s="789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35"/>
      <c r="AW196" s="35"/>
      <c r="AX196" s="35"/>
    </row>
    <row r="197" spans="2:81">
      <c r="B197" s="1201" t="s">
        <v>1368</v>
      </c>
      <c r="C197" s="836"/>
      <c r="D197" s="837"/>
      <c r="E197" s="838"/>
      <c r="F197" s="839"/>
      <c r="G197" s="840"/>
      <c r="H197" s="840"/>
      <c r="I197" s="840"/>
      <c r="J197" s="839"/>
      <c r="K197" s="839"/>
      <c r="L197" s="839"/>
      <c r="M197" s="2185">
        <v>80</v>
      </c>
      <c r="N197" s="1544">
        <v>110</v>
      </c>
      <c r="O197" s="1309">
        <v>150</v>
      </c>
      <c r="P197" s="1309">
        <f>+O197+30</f>
        <v>180</v>
      </c>
      <c r="Q197" s="1465"/>
      <c r="R197" s="1465"/>
      <c r="S197" s="1465"/>
      <c r="U197" s="789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35"/>
      <c r="AW197" s="35"/>
      <c r="AX197" s="35"/>
    </row>
    <row r="198" spans="2:81">
      <c r="B198" s="1311" t="s">
        <v>1339</v>
      </c>
      <c r="C198" s="836"/>
      <c r="D198" s="837"/>
      <c r="E198" s="838"/>
      <c r="F198" s="839"/>
      <c r="G198" s="840"/>
      <c r="H198" s="840"/>
      <c r="I198" s="840"/>
      <c r="J198" s="839"/>
      <c r="K198" s="839"/>
      <c r="L198" s="827">
        <f>L190-L193</f>
        <v>338.94643020388088</v>
      </c>
      <c r="M198" s="827">
        <f>M177-SUM(M185,M194,M195,M196,M197)</f>
        <v>261.814021707949</v>
      </c>
      <c r="N198" s="1521">
        <f>N177-SUM(N185,N194,N195,N196,N197)</f>
        <v>17.845890112818779</v>
      </c>
      <c r="O198" s="827">
        <f>O177-SUM(O185,O194,O195,O196,O197)</f>
        <v>-210.8775235527919</v>
      </c>
      <c r="P198" s="827">
        <f>P177-SUM(P185,P194,P195,P196,P197)</f>
        <v>-287.68515920204663</v>
      </c>
      <c r="Q198" s="867"/>
      <c r="R198" s="867"/>
      <c r="S198" s="867"/>
      <c r="U198" s="789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35"/>
      <c r="AW198" s="35"/>
      <c r="AX198" s="35"/>
      <c r="BR198" s="1289"/>
    </row>
    <row r="199" spans="2:81">
      <c r="B199" s="836" t="s">
        <v>216</v>
      </c>
      <c r="C199" s="836"/>
      <c r="D199" s="837"/>
      <c r="E199" s="838"/>
      <c r="F199" s="839"/>
      <c r="G199" s="840"/>
      <c r="H199" s="840"/>
      <c r="I199" s="840"/>
      <c r="J199" s="839"/>
      <c r="K199" s="839"/>
      <c r="L199" s="1243"/>
      <c r="M199" s="1310"/>
      <c r="N199" s="2101">
        <f>N198/M198-1</f>
        <v>-0.93183753109783518</v>
      </c>
      <c r="O199" s="2001">
        <f>O198/N198-1</f>
        <v>-12.816587585133547</v>
      </c>
      <c r="P199" s="2001">
        <f>P198/O198-1</f>
        <v>0.36422864966937274</v>
      </c>
      <c r="Q199" s="1199"/>
      <c r="R199" s="1199"/>
      <c r="S199" s="1199"/>
      <c r="U199" s="789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35"/>
      <c r="AW199" s="35"/>
      <c r="AX199" s="35"/>
      <c r="BR199" s="1289"/>
    </row>
    <row r="200" spans="2:81">
      <c r="B200" s="902" t="s">
        <v>904</v>
      </c>
      <c r="C200" s="902"/>
      <c r="D200" s="902" t="s">
        <v>863</v>
      </c>
      <c r="E200" s="903"/>
      <c r="F200" s="903"/>
      <c r="G200" s="905"/>
      <c r="H200" s="903"/>
      <c r="I200" s="904"/>
      <c r="J200" s="904"/>
      <c r="K200" s="904"/>
      <c r="L200" s="904"/>
      <c r="M200" s="904"/>
      <c r="N200" s="1517"/>
      <c r="O200" s="904"/>
      <c r="P200" s="904"/>
      <c r="Q200" s="904"/>
      <c r="R200" s="904"/>
      <c r="S200" s="904"/>
      <c r="U200" s="1180"/>
      <c r="V200" s="1181"/>
      <c r="W200" s="1181"/>
      <c r="X200" s="1181"/>
      <c r="Y200" s="1181"/>
      <c r="Z200" s="1181"/>
      <c r="AA200" s="1181"/>
      <c r="AB200" s="1181"/>
      <c r="AC200" s="1181"/>
      <c r="AD200" s="1181"/>
      <c r="AE200" s="1181"/>
      <c r="AF200" s="1181"/>
      <c r="AG200" s="1181"/>
      <c r="AH200" s="1181"/>
      <c r="AI200" s="1181"/>
      <c r="AJ200" s="1181"/>
      <c r="AK200" s="1181"/>
      <c r="AL200" s="1181"/>
      <c r="AM200" s="1181"/>
      <c r="AN200" s="1181"/>
      <c r="AO200" s="1181"/>
      <c r="AP200" s="1181"/>
      <c r="AQ200" s="1181"/>
      <c r="AR200" s="1181"/>
      <c r="AS200" s="1181"/>
      <c r="AT200" s="1181"/>
      <c r="AU200" s="1181"/>
      <c r="AV200" s="1181"/>
      <c r="AW200" s="1181"/>
      <c r="AX200" s="1181"/>
    </row>
    <row r="201" spans="2:81">
      <c r="B201" s="680" t="s">
        <v>1131</v>
      </c>
      <c r="C201" s="680"/>
      <c r="D201" s="758" t="s">
        <v>1139</v>
      </c>
      <c r="E201" s="309"/>
      <c r="F201" s="633"/>
      <c r="G201" s="633">
        <f>56.941+G249</f>
        <v>117.84200000000001</v>
      </c>
      <c r="H201" s="633">
        <f>67.584+H249</f>
        <v>142.24299999999999</v>
      </c>
      <c r="I201" s="633">
        <f>94.861+I249</f>
        <v>166.97200000000001</v>
      </c>
      <c r="J201" s="633">
        <v>184.66499999999999</v>
      </c>
      <c r="K201" s="633">
        <v>196.131</v>
      </c>
      <c r="L201" s="633">
        <v>472.601</v>
      </c>
      <c r="M201" s="349">
        <f>SUM(M205,M203)</f>
        <v>1133.068</v>
      </c>
      <c r="N201" s="1519">
        <f>M201*(1+N202)</f>
        <v>2334.1200800000001</v>
      </c>
      <c r="O201" s="349">
        <f>N201*(1+O202)</f>
        <v>3151.0621080000005</v>
      </c>
      <c r="P201" s="349">
        <f>O201*(1+P202)</f>
        <v>3938.8276350000006</v>
      </c>
      <c r="Q201" s="867"/>
      <c r="R201" s="867"/>
      <c r="S201" s="867"/>
      <c r="U201" s="789"/>
      <c r="V201" s="483"/>
      <c r="W201" s="483"/>
      <c r="X201" s="35"/>
      <c r="Y201" s="35"/>
      <c r="Z201" s="1232">
        <v>87.269739999999999</v>
      </c>
      <c r="AA201" s="1169">
        <f>+K201-Z201</f>
        <v>108.86126</v>
      </c>
      <c r="AB201" s="1232">
        <v>173.15790000000001</v>
      </c>
      <c r="AC201" s="1169">
        <f>L201-AB201</f>
        <v>299.44309999999996</v>
      </c>
      <c r="AD201" s="1232">
        <f>209.4968+238.474</f>
        <v>447.9708</v>
      </c>
      <c r="AE201" s="1169">
        <f>M201-AD201</f>
        <v>685.09719999999993</v>
      </c>
      <c r="AF201" s="1169"/>
      <c r="AG201" s="1169"/>
      <c r="AH201" s="1169"/>
      <c r="AI201" s="1169"/>
      <c r="AJ201" s="1169"/>
      <c r="AK201" s="1169"/>
      <c r="AL201" s="1169"/>
      <c r="AM201" s="1169"/>
      <c r="AN201" s="1169"/>
      <c r="AO201" s="1169"/>
      <c r="AP201" s="1169"/>
      <c r="AQ201" s="1169"/>
      <c r="AR201" s="1169"/>
      <c r="AS201" s="1169"/>
      <c r="AT201" s="1169"/>
      <c r="AU201" s="1169"/>
      <c r="AV201" s="1169"/>
      <c r="AW201" s="35"/>
      <c r="AX201" s="35"/>
    </row>
    <row r="202" spans="2:81">
      <c r="B202" s="336" t="s">
        <v>1320</v>
      </c>
      <c r="C202" s="336"/>
      <c r="D202" s="336" t="s">
        <v>1321</v>
      </c>
      <c r="E202" s="307"/>
      <c r="F202" s="348"/>
      <c r="G202" s="348"/>
      <c r="H202" s="833">
        <f t="shared" ref="H202:M202" si="238">H201/G201-1</f>
        <v>0.20706539264438817</v>
      </c>
      <c r="I202" s="833">
        <f t="shared" si="238"/>
        <v>0.17385038279563858</v>
      </c>
      <c r="J202" s="833">
        <f t="shared" si="238"/>
        <v>0.10596387418249753</v>
      </c>
      <c r="K202" s="833">
        <f t="shared" si="238"/>
        <v>6.2090813093981012E-2</v>
      </c>
      <c r="L202" s="833">
        <f t="shared" si="238"/>
        <v>1.4096190811243505</v>
      </c>
      <c r="M202" s="833">
        <f t="shared" si="238"/>
        <v>1.3975150285335833</v>
      </c>
      <c r="N202" s="1607">
        <v>1.06</v>
      </c>
      <c r="O202" s="1608">
        <v>0.35</v>
      </c>
      <c r="P202" s="1608">
        <v>0.25</v>
      </c>
      <c r="Q202" s="1277"/>
      <c r="R202" s="1277"/>
      <c r="S202" s="1277"/>
      <c r="T202" s="943" t="s">
        <v>858</v>
      </c>
      <c r="U202" s="740"/>
      <c r="V202" s="484"/>
      <c r="W202" s="484"/>
      <c r="X202" s="484"/>
      <c r="Y202" s="484"/>
      <c r="Z202" s="484"/>
      <c r="AA202" s="484"/>
      <c r="AB202" s="1295">
        <f>AB201/Z201-1</f>
        <v>0.98416885394639664</v>
      </c>
      <c r="AC202" s="1295">
        <f>AC201/AA201-1</f>
        <v>1.750685597429241</v>
      </c>
      <c r="AD202" s="1295">
        <f>AD201/AB201-1</f>
        <v>1.5870653317001415</v>
      </c>
      <c r="AE202" s="1295">
        <f>AE201/AC201-1</f>
        <v>1.2879044466210776</v>
      </c>
      <c r="AF202" s="1295"/>
      <c r="AG202" s="1295"/>
      <c r="AH202" s="1295"/>
      <c r="AI202" s="1295"/>
      <c r="AJ202" s="1295"/>
      <c r="AK202" s="1295"/>
      <c r="AL202" s="1295"/>
      <c r="AM202" s="1295"/>
      <c r="AN202" s="1295"/>
      <c r="AO202" s="1295"/>
      <c r="AP202" s="1295"/>
      <c r="AQ202" s="1295"/>
      <c r="AR202" s="1295"/>
      <c r="AS202" s="1295"/>
      <c r="AT202" s="1295"/>
      <c r="AU202" s="1295"/>
      <c r="AV202" s="1295"/>
      <c r="AW202" s="484"/>
      <c r="AX202" s="484"/>
      <c r="AZ202" s="740"/>
      <c r="BA202" s="740"/>
      <c r="BB202" s="484"/>
      <c r="BC202" s="484"/>
      <c r="BD202" s="484"/>
      <c r="BE202" s="484"/>
      <c r="BF202" s="484"/>
      <c r="BG202" s="484"/>
      <c r="BH202" s="484"/>
      <c r="BI202" s="484"/>
      <c r="BJ202" s="484"/>
      <c r="BK202" s="484"/>
      <c r="BL202" s="484"/>
      <c r="BM202" s="484"/>
      <c r="BN202" s="484"/>
      <c r="BO202" s="484"/>
      <c r="BP202" s="484"/>
      <c r="BQ202" s="484"/>
      <c r="BR202" s="484"/>
      <c r="BS202" s="484"/>
      <c r="BT202" s="484"/>
      <c r="BU202" s="484"/>
      <c r="BV202" s="484"/>
      <c r="BW202" s="484"/>
      <c r="BX202" s="484"/>
      <c r="BY202" s="484"/>
      <c r="BZ202" s="484"/>
      <c r="CA202" s="484"/>
      <c r="CB202" s="484"/>
      <c r="CC202" s="484"/>
    </row>
    <row r="203" spans="2:81">
      <c r="B203" s="1201" t="s">
        <v>1486</v>
      </c>
      <c r="C203" s="336"/>
      <c r="D203" s="336"/>
      <c r="E203" s="307"/>
      <c r="F203" s="348"/>
      <c r="G203" s="348"/>
      <c r="H203" s="833"/>
      <c r="I203" s="833"/>
      <c r="J203" s="833"/>
      <c r="K203" s="833"/>
      <c r="L203" s="1978">
        <f>M203/(1+279.78%)</f>
        <v>174.01232292379802</v>
      </c>
      <c r="M203" s="1978">
        <v>660.86400000000003</v>
      </c>
      <c r="N203" s="2102">
        <f>N188/+N218*1000</f>
        <v>1515.0512863070542</v>
      </c>
      <c r="O203" s="1600">
        <f>O188/+O218*1000</f>
        <v>2102.5201524261161</v>
      </c>
      <c r="P203" s="1600">
        <f>P188/+P218*1000</f>
        <v>2659.6879928190365</v>
      </c>
      <c r="Q203" s="1277"/>
      <c r="R203" s="1277"/>
      <c r="S203" s="1277"/>
      <c r="U203" s="740"/>
      <c r="V203" s="484"/>
      <c r="W203" s="484"/>
      <c r="X203" s="484"/>
      <c r="Y203" s="484"/>
      <c r="Z203" s="484"/>
      <c r="AA203" s="484"/>
      <c r="AB203" s="1232">
        <v>47.391530000000003</v>
      </c>
      <c r="AC203" s="1169">
        <f>L203-AB203</f>
        <v>126.62079292379802</v>
      </c>
      <c r="AD203" s="1232">
        <v>209.49681000000001</v>
      </c>
      <c r="AE203" s="1169">
        <f>M203-AD203</f>
        <v>451.36719000000005</v>
      </c>
      <c r="AF203" s="1169"/>
      <c r="AG203" s="1169"/>
      <c r="AH203" s="1169"/>
      <c r="AI203" s="1169"/>
      <c r="AJ203" s="1295"/>
      <c r="AK203" s="1295"/>
      <c r="AL203" s="1295"/>
      <c r="AM203" s="1295"/>
      <c r="AN203" s="1295"/>
      <c r="AO203" s="1295"/>
      <c r="AP203" s="1295"/>
      <c r="AQ203" s="1295"/>
      <c r="AR203" s="1295"/>
      <c r="AS203" s="1295"/>
      <c r="AT203" s="1295"/>
      <c r="AU203" s="1295"/>
      <c r="AV203" s="1295"/>
      <c r="AW203" s="484"/>
      <c r="AX203" s="484"/>
      <c r="AZ203" s="740"/>
      <c r="BA203" s="740"/>
      <c r="BB203" s="484"/>
      <c r="BC203" s="484"/>
      <c r="BD203" s="484"/>
      <c r="BE203" s="484"/>
      <c r="BF203" s="484"/>
      <c r="BG203" s="484"/>
      <c r="BH203" s="484"/>
      <c r="BI203" s="484"/>
      <c r="BJ203" s="484"/>
      <c r="BK203" s="484"/>
      <c r="BL203" s="484"/>
      <c r="BM203" s="484"/>
      <c r="BN203" s="484"/>
      <c r="BO203" s="484"/>
      <c r="BP203" s="484"/>
      <c r="BQ203" s="484"/>
      <c r="BR203" s="484"/>
      <c r="BS203" s="484"/>
      <c r="BT203" s="484"/>
      <c r="BU203" s="484"/>
      <c r="BV203" s="484"/>
      <c r="BW203" s="484"/>
      <c r="BX203" s="484"/>
      <c r="BY203" s="484"/>
      <c r="BZ203" s="484"/>
      <c r="CA203" s="484"/>
      <c r="CB203" s="484"/>
      <c r="CC203" s="484"/>
    </row>
    <row r="204" spans="2:81">
      <c r="B204" s="1450" t="s">
        <v>1487</v>
      </c>
      <c r="C204" s="336"/>
      <c r="D204" s="336"/>
      <c r="E204" s="307"/>
      <c r="F204" s="348"/>
      <c r="G204" s="348"/>
      <c r="H204" s="833"/>
      <c r="I204" s="833"/>
      <c r="J204" s="833"/>
      <c r="K204" s="833"/>
      <c r="L204" s="833"/>
      <c r="M204" s="833">
        <f>M203/L203-1</f>
        <v>2.7977999999999996</v>
      </c>
      <c r="N204" s="2103">
        <f>N203/M203-1</f>
        <v>1.2925311203319505</v>
      </c>
      <c r="O204" s="833">
        <f>O203/N203-1</f>
        <v>0.38775510204081631</v>
      </c>
      <c r="P204" s="833">
        <f>P203/O203-1</f>
        <v>0.2649999999999999</v>
      </c>
      <c r="Q204" s="1277"/>
      <c r="R204" s="1277"/>
      <c r="S204" s="1277"/>
      <c r="U204" s="740"/>
      <c r="V204" s="484"/>
      <c r="W204" s="484"/>
      <c r="X204" s="484"/>
      <c r="Y204" s="484"/>
      <c r="Z204" s="484"/>
      <c r="AA204" s="484"/>
      <c r="AB204" s="1295"/>
      <c r="AC204" s="1295"/>
      <c r="AD204" s="1295">
        <f>AD203/AB203-1</f>
        <v>3.420553841583085</v>
      </c>
      <c r="AE204" s="1295">
        <f>AE203/AC203-1</f>
        <v>2.5647161858450729</v>
      </c>
      <c r="AF204" s="1295"/>
      <c r="AG204" s="1295"/>
      <c r="AH204" s="1295"/>
      <c r="AI204" s="1295"/>
      <c r="AJ204" s="1295"/>
      <c r="AK204" s="1295"/>
      <c r="AL204" s="1295"/>
      <c r="AM204" s="1295"/>
      <c r="AN204" s="1295"/>
      <c r="AO204" s="1295"/>
      <c r="AP204" s="1295"/>
      <c r="AQ204" s="1295"/>
      <c r="AR204" s="1295"/>
      <c r="AS204" s="1295"/>
      <c r="AT204" s="1295"/>
      <c r="AU204" s="1295"/>
      <c r="AV204" s="1295"/>
      <c r="AW204" s="484"/>
      <c r="AX204" s="484"/>
      <c r="AZ204" s="740"/>
      <c r="BA204" s="740"/>
      <c r="BB204" s="484"/>
      <c r="BC204" s="484"/>
      <c r="BD204" s="484"/>
      <c r="BE204" s="484"/>
      <c r="BF204" s="484"/>
      <c r="BG204" s="484"/>
      <c r="BH204" s="484"/>
      <c r="BI204" s="484"/>
      <c r="BJ204" s="484"/>
      <c r="BK204" s="484"/>
      <c r="BL204" s="484"/>
      <c r="BM204" s="484"/>
      <c r="BN204" s="484"/>
      <c r="BO204" s="484"/>
      <c r="BP204" s="484"/>
      <c r="BQ204" s="484"/>
      <c r="BR204" s="484"/>
      <c r="BS204" s="484"/>
      <c r="BT204" s="484"/>
      <c r="BU204" s="484"/>
      <c r="BV204" s="484"/>
      <c r="BW204" s="484"/>
      <c r="BX204" s="484"/>
      <c r="BY204" s="484"/>
      <c r="BZ204" s="484"/>
      <c r="CA204" s="484"/>
      <c r="CB204" s="484"/>
      <c r="CC204" s="484"/>
    </row>
    <row r="205" spans="2:81">
      <c r="B205" s="1201" t="s">
        <v>1488</v>
      </c>
      <c r="C205" s="336"/>
      <c r="D205" s="336"/>
      <c r="E205" s="307"/>
      <c r="F205" s="348"/>
      <c r="G205" s="348"/>
      <c r="H205" s="833"/>
      <c r="I205" s="833"/>
      <c r="J205" s="833"/>
      <c r="K205" s="833"/>
      <c r="L205" s="1980">
        <f>L201-L203</f>
        <v>298.58867707620198</v>
      </c>
      <c r="M205" s="1980">
        <v>472.20400000000001</v>
      </c>
      <c r="N205" s="2104">
        <f>N201-N203</f>
        <v>819.06879369294597</v>
      </c>
      <c r="O205" s="1601">
        <f>O201-O203</f>
        <v>1048.5419555738845</v>
      </c>
      <c r="P205" s="1601">
        <f>P201-P203</f>
        <v>1279.1396421809641</v>
      </c>
      <c r="Q205" s="1277"/>
      <c r="R205" s="1277"/>
      <c r="S205" s="1277"/>
      <c r="U205" s="740"/>
      <c r="V205" s="484"/>
      <c r="W205" s="484"/>
      <c r="X205" s="484"/>
      <c r="Y205" s="484"/>
      <c r="Z205" s="484"/>
      <c r="AA205" s="484"/>
      <c r="AB205" s="1232">
        <v>125.76636999999999</v>
      </c>
      <c r="AC205" s="1169">
        <f>L205-AB205</f>
        <v>172.82230707620198</v>
      </c>
      <c r="AD205" s="1232">
        <v>238.47416000000001</v>
      </c>
      <c r="AE205" s="1169">
        <f>M205-AD205</f>
        <v>233.72984</v>
      </c>
      <c r="AF205" s="1169"/>
      <c r="AG205" s="1169"/>
      <c r="AH205" s="1169"/>
      <c r="AI205" s="1169"/>
      <c r="AJ205" s="1295"/>
      <c r="AK205" s="1295"/>
      <c r="AL205" s="1295"/>
      <c r="AM205" s="1295"/>
      <c r="AN205" s="1295"/>
      <c r="AO205" s="1295"/>
      <c r="AP205" s="1295"/>
      <c r="AQ205" s="1295"/>
      <c r="AR205" s="1295"/>
      <c r="AS205" s="1295"/>
      <c r="AT205" s="1295"/>
      <c r="AU205" s="1295"/>
      <c r="AV205" s="1295"/>
      <c r="AW205" s="484"/>
      <c r="AX205" s="484"/>
      <c r="AZ205" s="740"/>
      <c r="BA205" s="740"/>
      <c r="BB205" s="484"/>
      <c r="BC205" s="484"/>
      <c r="BD205" s="484"/>
      <c r="BE205" s="484"/>
      <c r="BF205" s="484"/>
      <c r="BG205" s="484"/>
      <c r="BH205" s="484"/>
      <c r="BI205" s="484"/>
      <c r="BJ205" s="484"/>
      <c r="BK205" s="484"/>
      <c r="BL205" s="484"/>
      <c r="BM205" s="484"/>
      <c r="BN205" s="484"/>
      <c r="BO205" s="484"/>
      <c r="BP205" s="484"/>
      <c r="BQ205" s="484"/>
      <c r="BR205" s="484"/>
      <c r="BS205" s="484"/>
      <c r="BT205" s="484"/>
      <c r="BU205" s="484"/>
      <c r="BV205" s="484"/>
      <c r="BW205" s="484"/>
      <c r="BX205" s="484"/>
      <c r="BY205" s="484"/>
      <c r="BZ205" s="484"/>
      <c r="CA205" s="484"/>
      <c r="CB205" s="484"/>
      <c r="CC205" s="484"/>
    </row>
    <row r="206" spans="2:81">
      <c r="B206" s="1450" t="s">
        <v>1487</v>
      </c>
      <c r="C206" s="336"/>
      <c r="D206" s="336"/>
      <c r="E206" s="307"/>
      <c r="F206" s="348"/>
      <c r="G206" s="348"/>
      <c r="H206" s="833"/>
      <c r="I206" s="833"/>
      <c r="J206" s="833"/>
      <c r="K206" s="833"/>
      <c r="L206" s="833"/>
      <c r="M206" s="833">
        <f>M205/L205-1</f>
        <v>0.58145313688331912</v>
      </c>
      <c r="N206" s="2103">
        <f>N205/M205-1</f>
        <v>0.73456555576180205</v>
      </c>
      <c r="O206" s="833">
        <f>O205/N205-1</f>
        <v>0.28016347790069007</v>
      </c>
      <c r="P206" s="833">
        <f>P205/O205-1</f>
        <v>0.21992223141979061</v>
      </c>
      <c r="Q206" s="1277"/>
      <c r="R206" s="1277"/>
      <c r="S206" s="1277"/>
      <c r="U206" s="740"/>
      <c r="V206" s="484"/>
      <c r="W206" s="484"/>
      <c r="X206" s="484"/>
      <c r="Y206" s="484"/>
      <c r="Z206" s="484"/>
      <c r="AA206" s="484"/>
      <c r="AB206" s="1295"/>
      <c r="AC206" s="1295"/>
      <c r="AD206" s="1295">
        <f>AD205/AB205-1</f>
        <v>0.89616795014438289</v>
      </c>
      <c r="AE206" s="1295">
        <f>AE205/AC205-1</f>
        <v>0.35242865318851613</v>
      </c>
      <c r="AF206" s="1295"/>
      <c r="AG206" s="1295"/>
      <c r="AH206" s="1295"/>
      <c r="AI206" s="1295"/>
      <c r="AJ206" s="1295"/>
      <c r="AK206" s="1295"/>
      <c r="AL206" s="1295"/>
      <c r="AM206" s="1295"/>
      <c r="AN206" s="1295"/>
      <c r="AO206" s="1295"/>
      <c r="AP206" s="1295"/>
      <c r="AQ206" s="1295"/>
      <c r="AR206" s="1295"/>
      <c r="AS206" s="1295"/>
      <c r="AT206" s="1295"/>
      <c r="AU206" s="1295"/>
      <c r="AV206" s="1295"/>
      <c r="AW206" s="484"/>
      <c r="AX206" s="484"/>
      <c r="AZ206" s="740"/>
      <c r="BA206" s="740"/>
      <c r="BB206" s="484"/>
      <c r="BC206" s="484"/>
      <c r="BD206" s="484"/>
      <c r="BE206" s="484"/>
      <c r="BF206" s="484"/>
      <c r="BG206" s="484"/>
      <c r="BH206" s="484"/>
      <c r="BI206" s="484"/>
      <c r="BJ206" s="484"/>
      <c r="BK206" s="484"/>
      <c r="BL206" s="484"/>
      <c r="BM206" s="484"/>
      <c r="BN206" s="484"/>
      <c r="BO206" s="484"/>
      <c r="BP206" s="484"/>
      <c r="BQ206" s="484"/>
      <c r="BR206" s="484"/>
      <c r="BS206" s="484"/>
      <c r="BT206" s="484"/>
      <c r="BU206" s="484"/>
      <c r="BV206" s="484"/>
      <c r="BW206" s="484"/>
      <c r="BX206" s="484"/>
      <c r="BY206" s="484"/>
      <c r="BZ206" s="484"/>
      <c r="CA206" s="484"/>
      <c r="CB206" s="484"/>
      <c r="CC206" s="484"/>
    </row>
    <row r="207" spans="2:81">
      <c r="B207" s="336"/>
      <c r="C207" s="336"/>
      <c r="D207" s="336"/>
      <c r="E207" s="307"/>
      <c r="F207" s="348"/>
      <c r="G207" s="348"/>
      <c r="H207" s="833"/>
      <c r="I207" s="833"/>
      <c r="J207" s="833"/>
      <c r="K207" s="833"/>
      <c r="L207" s="833"/>
      <c r="M207" s="767"/>
      <c r="N207" s="1525"/>
      <c r="O207" s="767"/>
      <c r="P207" s="767"/>
      <c r="Q207" s="1277"/>
      <c r="R207" s="1277"/>
      <c r="S207" s="1277"/>
      <c r="U207" s="740"/>
      <c r="V207" s="484"/>
      <c r="W207" s="484"/>
      <c r="X207" s="484"/>
      <c r="Y207" s="484"/>
      <c r="Z207" s="484"/>
      <c r="AA207" s="484"/>
      <c r="AB207" s="1295"/>
      <c r="AC207" s="1295"/>
      <c r="AD207" s="1295"/>
      <c r="AE207" s="1295"/>
      <c r="AF207" s="1295"/>
      <c r="AG207" s="1295"/>
      <c r="AH207" s="1295"/>
      <c r="AI207" s="1295"/>
      <c r="AJ207" s="1295"/>
      <c r="AK207" s="1295"/>
      <c r="AL207" s="1295"/>
      <c r="AM207" s="1295"/>
      <c r="AN207" s="1295"/>
      <c r="AO207" s="1295"/>
      <c r="AP207" s="1295"/>
      <c r="AQ207" s="1295"/>
      <c r="AR207" s="1295"/>
      <c r="AS207" s="1295"/>
      <c r="AT207" s="1295"/>
      <c r="AU207" s="1295"/>
      <c r="AV207" s="1295"/>
      <c r="AW207" s="484"/>
      <c r="AX207" s="484"/>
      <c r="AZ207" s="740"/>
      <c r="BA207" s="740"/>
      <c r="BB207" s="484"/>
      <c r="BC207" s="484"/>
      <c r="BD207" s="484"/>
      <c r="BE207" s="484"/>
      <c r="BF207" s="484"/>
      <c r="BG207" s="484"/>
      <c r="BH207" s="484"/>
      <c r="BI207" s="484"/>
      <c r="BJ207" s="484"/>
      <c r="BK207" s="484"/>
      <c r="BL207" s="484"/>
      <c r="BM207" s="484"/>
      <c r="BN207" s="484"/>
      <c r="BO207" s="484"/>
      <c r="BP207" s="484"/>
      <c r="BQ207" s="484"/>
      <c r="BR207" s="484"/>
      <c r="BS207" s="484"/>
      <c r="BT207" s="484"/>
      <c r="BU207" s="484"/>
      <c r="BV207" s="484"/>
      <c r="BW207" s="484"/>
      <c r="BX207" s="484"/>
      <c r="BY207" s="484"/>
      <c r="BZ207" s="484"/>
      <c r="CA207" s="484"/>
      <c r="CB207" s="484"/>
      <c r="CC207" s="484"/>
    </row>
    <row r="208" spans="2:81">
      <c r="B208" s="336"/>
      <c r="C208" s="336"/>
      <c r="D208" s="336"/>
      <c r="E208" s="307"/>
      <c r="F208" s="348"/>
      <c r="G208" s="348"/>
      <c r="H208" s="833"/>
      <c r="I208" s="833"/>
      <c r="J208" s="833"/>
      <c r="K208" s="833"/>
      <c r="L208" s="833"/>
      <c r="M208" s="767"/>
      <c r="N208" s="1525"/>
      <c r="O208" s="767"/>
      <c r="P208" s="767"/>
      <c r="Q208" s="1277"/>
      <c r="R208" s="1277"/>
      <c r="S208" s="1277"/>
      <c r="U208" s="740"/>
      <c r="V208" s="484"/>
      <c r="W208" s="484"/>
      <c r="X208" s="484"/>
      <c r="Y208" s="484"/>
      <c r="Z208" s="484"/>
      <c r="AA208" s="484"/>
      <c r="AB208" s="1295"/>
      <c r="AC208" s="1295"/>
      <c r="AD208" s="1295"/>
      <c r="AE208" s="1295"/>
      <c r="AF208" s="1295"/>
      <c r="AG208" s="1295"/>
      <c r="AH208" s="1295"/>
      <c r="AI208" s="1295"/>
      <c r="AJ208" s="1295"/>
      <c r="AK208" s="1295"/>
      <c r="AL208" s="1295"/>
      <c r="AM208" s="1295"/>
      <c r="AN208" s="1295"/>
      <c r="AO208" s="1295"/>
      <c r="AP208" s="1295"/>
      <c r="AQ208" s="1295"/>
      <c r="AR208" s="1295"/>
      <c r="AS208" s="1295"/>
      <c r="AT208" s="1295"/>
      <c r="AU208" s="1295"/>
      <c r="AV208" s="1295"/>
      <c r="AW208" s="484"/>
      <c r="AX208" s="484"/>
      <c r="AZ208" s="740"/>
      <c r="BA208" s="740"/>
      <c r="BB208" s="484"/>
      <c r="BC208" s="484"/>
      <c r="BD208" s="484"/>
      <c r="BE208" s="484"/>
      <c r="BF208" s="484"/>
      <c r="BG208" s="484"/>
      <c r="BH208" s="484"/>
      <c r="BI208" s="484"/>
      <c r="BJ208" s="484"/>
      <c r="BK208" s="484"/>
      <c r="BL208" s="484"/>
      <c r="BM208" s="484"/>
      <c r="BN208" s="484"/>
      <c r="BO208" s="484"/>
      <c r="BP208" s="484"/>
      <c r="BQ208" s="484"/>
      <c r="BR208" s="484"/>
      <c r="BS208" s="484"/>
      <c r="BT208" s="484"/>
      <c r="BU208" s="484"/>
      <c r="BV208" s="484"/>
      <c r="BW208" s="484"/>
      <c r="BX208" s="484"/>
      <c r="BY208" s="484"/>
      <c r="BZ208" s="484"/>
      <c r="CA208" s="484"/>
      <c r="CB208" s="484"/>
      <c r="CC208" s="484"/>
    </row>
    <row r="209" spans="2:81">
      <c r="B209" s="336"/>
      <c r="C209" s="336"/>
      <c r="D209" s="336"/>
      <c r="E209" s="307"/>
      <c r="F209" s="348"/>
      <c r="G209" s="348"/>
      <c r="H209" s="833"/>
      <c r="I209" s="833"/>
      <c r="J209" s="833"/>
      <c r="K209" s="833"/>
      <c r="L209" s="833"/>
      <c r="M209" s="767"/>
      <c r="N209" s="1525"/>
      <c r="O209" s="767"/>
      <c r="P209" s="767"/>
      <c r="Q209" s="1277"/>
      <c r="R209" s="1277"/>
      <c r="S209" s="1277"/>
      <c r="U209" s="740"/>
      <c r="V209" s="484"/>
      <c r="W209" s="484"/>
      <c r="X209" s="484"/>
      <c r="Y209" s="484"/>
      <c r="Z209" s="484"/>
      <c r="AA209" s="484"/>
      <c r="AB209" s="1295"/>
      <c r="AC209" s="1295"/>
      <c r="AD209" s="1295"/>
      <c r="AE209" s="1295"/>
      <c r="AF209" s="1295"/>
      <c r="AG209" s="1295"/>
      <c r="AH209" s="1295"/>
      <c r="AI209" s="1295"/>
      <c r="AJ209" s="1295"/>
      <c r="AK209" s="1295"/>
      <c r="AL209" s="1295"/>
      <c r="AM209" s="1295"/>
      <c r="AN209" s="1295"/>
      <c r="AO209" s="1295"/>
      <c r="AP209" s="1295"/>
      <c r="AQ209" s="1295"/>
      <c r="AR209" s="1295"/>
      <c r="AS209" s="1295"/>
      <c r="AT209" s="1295"/>
      <c r="AU209" s="1295"/>
      <c r="AV209" s="1295"/>
      <c r="AW209" s="484"/>
      <c r="AX209" s="484"/>
      <c r="AZ209" s="740"/>
      <c r="BA209" s="740"/>
      <c r="BB209" s="484"/>
      <c r="BC209" s="484"/>
      <c r="BD209" s="484"/>
      <c r="BE209" s="484"/>
      <c r="BF209" s="484"/>
      <c r="BG209" s="484"/>
      <c r="BH209" s="484"/>
      <c r="BI209" s="484"/>
      <c r="BJ209" s="484"/>
      <c r="BK209" s="484"/>
      <c r="BL209" s="484"/>
      <c r="BM209" s="484"/>
      <c r="BN209" s="484"/>
      <c r="BO209" s="484"/>
      <c r="BP209" s="484"/>
      <c r="BQ209" s="484"/>
      <c r="BR209" s="484"/>
      <c r="BS209" s="484"/>
      <c r="BT209" s="484"/>
      <c r="BU209" s="484"/>
      <c r="BV209" s="484"/>
      <c r="BW209" s="484"/>
      <c r="BX209" s="484"/>
      <c r="BY209" s="484"/>
      <c r="BZ209" s="484"/>
      <c r="CA209" s="484"/>
      <c r="CB209" s="484"/>
      <c r="CC209" s="484"/>
    </row>
    <row r="210" spans="2:81">
      <c r="B210" s="336"/>
      <c r="C210" s="336"/>
      <c r="D210" s="336"/>
      <c r="E210" s="307"/>
      <c r="F210" s="348"/>
      <c r="G210" s="348"/>
      <c r="H210" s="833"/>
      <c r="I210" s="833"/>
      <c r="J210" s="833"/>
      <c r="K210" s="833"/>
      <c r="L210" s="833"/>
      <c r="M210" s="767"/>
      <c r="N210" s="1525"/>
      <c r="O210" s="767"/>
      <c r="P210" s="767"/>
      <c r="Q210" s="1277"/>
      <c r="R210" s="1277"/>
      <c r="S210" s="1277"/>
      <c r="U210" s="740"/>
      <c r="V210" s="484"/>
      <c r="W210" s="484"/>
      <c r="X210" s="484"/>
      <c r="Y210" s="484"/>
      <c r="Z210" s="484"/>
      <c r="AA210" s="484"/>
      <c r="AB210" s="1295"/>
      <c r="AC210" s="1295"/>
      <c r="AD210" s="1295"/>
      <c r="AE210" s="1295"/>
      <c r="AF210" s="1295"/>
      <c r="AG210" s="1295"/>
      <c r="AH210" s="1295"/>
      <c r="AI210" s="1295"/>
      <c r="AJ210" s="1295"/>
      <c r="AK210" s="1295"/>
      <c r="AL210" s="1295"/>
      <c r="AM210" s="1295"/>
      <c r="AN210" s="1295"/>
      <c r="AO210" s="1295"/>
      <c r="AP210" s="1295"/>
      <c r="AQ210" s="1295"/>
      <c r="AR210" s="1295"/>
      <c r="AS210" s="1295"/>
      <c r="AT210" s="1295"/>
      <c r="AU210" s="1295"/>
      <c r="AV210" s="1295"/>
      <c r="AW210" s="484"/>
      <c r="AX210" s="484"/>
      <c r="AZ210" s="740"/>
      <c r="BA210" s="740"/>
      <c r="BB210" s="484"/>
      <c r="BC210" s="484"/>
      <c r="BD210" s="484"/>
      <c r="BE210" s="484"/>
      <c r="BF210" s="484"/>
      <c r="BG210" s="484"/>
      <c r="BH210" s="484"/>
      <c r="BI210" s="484"/>
      <c r="BJ210" s="484"/>
      <c r="BK210" s="484"/>
      <c r="BL210" s="484"/>
      <c r="BM210" s="484"/>
      <c r="BN210" s="484"/>
      <c r="BO210" s="484"/>
      <c r="BP210" s="484"/>
      <c r="BQ210" s="484"/>
      <c r="BR210" s="484"/>
      <c r="BS210" s="484"/>
      <c r="BT210" s="484"/>
      <c r="BU210" s="484"/>
      <c r="BV210" s="484"/>
      <c r="BW210" s="484"/>
      <c r="BX210" s="484"/>
      <c r="BY210" s="484"/>
      <c r="BZ210" s="484"/>
      <c r="CA210" s="484"/>
      <c r="CB210" s="484"/>
      <c r="CC210" s="484"/>
    </row>
    <row r="211" spans="2:81" hidden="1" outlineLevel="1">
      <c r="B211" s="307" t="s">
        <v>1133</v>
      </c>
      <c r="C211" s="307"/>
      <c r="D211" s="310" t="s">
        <v>1140</v>
      </c>
      <c r="E211" s="309"/>
      <c r="F211" s="633"/>
      <c r="G211" s="633">
        <f>55.385+G250</f>
        <v>118.729</v>
      </c>
      <c r="H211" s="633">
        <f>71.467+H250</f>
        <v>146.41800000000001</v>
      </c>
      <c r="I211" s="633">
        <f>92.711+I250</f>
        <v>165.07400000000001</v>
      </c>
      <c r="J211" s="2200"/>
      <c r="K211" s="2200"/>
      <c r="N211" s="1539"/>
      <c r="O211" s="627"/>
      <c r="P211" s="627"/>
      <c r="Q211" s="483"/>
      <c r="R211" s="483"/>
      <c r="S211" s="483"/>
      <c r="U211" s="789"/>
    </row>
    <row r="212" spans="2:81" hidden="1" outlineLevel="1">
      <c r="B212" s="307" t="s">
        <v>1137</v>
      </c>
      <c r="C212" s="307"/>
      <c r="D212" s="310" t="s">
        <v>1141</v>
      </c>
      <c r="E212" s="309"/>
      <c r="F212" s="633"/>
      <c r="G212" s="633"/>
      <c r="H212" s="633"/>
      <c r="I212" s="633">
        <v>9.4280000000000008</v>
      </c>
      <c r="J212" s="865"/>
      <c r="K212" s="627"/>
      <c r="N212" s="1539"/>
      <c r="O212" s="627"/>
      <c r="P212" s="627"/>
      <c r="Q212" s="483"/>
      <c r="R212" s="483"/>
      <c r="S212" s="483"/>
      <c r="U212" s="789"/>
    </row>
    <row r="213" spans="2:81" hidden="1" outlineLevel="1">
      <c r="B213" s="39" t="s">
        <v>1135</v>
      </c>
      <c r="D213" s="789" t="s">
        <v>1142</v>
      </c>
      <c r="E213" s="35"/>
      <c r="F213" s="830"/>
      <c r="G213" s="830">
        <v>108.18</v>
      </c>
      <c r="H213" s="830">
        <v>188.62799999999999</v>
      </c>
      <c r="I213" s="830">
        <v>332.68</v>
      </c>
      <c r="J213" s="2199"/>
      <c r="K213" s="2199"/>
      <c r="N213" s="1540"/>
      <c r="O213" s="831"/>
      <c r="P213" s="831"/>
      <c r="Q213" s="831"/>
      <c r="R213" s="831"/>
      <c r="S213" s="831"/>
      <c r="U213" s="789"/>
    </row>
    <row r="214" spans="2:81" s="38" customFormat="1" hidden="1" outlineLevel="1">
      <c r="B214" s="336" t="s">
        <v>935</v>
      </c>
      <c r="C214" s="336"/>
      <c r="D214" s="337" t="s">
        <v>929</v>
      </c>
      <c r="E214" s="344"/>
      <c r="F214" s="338"/>
      <c r="G214" s="338">
        <f>+G211/G213</f>
        <v>1.0975134035866148</v>
      </c>
      <c r="H214" s="338">
        <f>+H211/H213</f>
        <v>0.77622622304217836</v>
      </c>
      <c r="I214" s="338">
        <f>+(I211-I212)/I213</f>
        <v>0.46785499579175188</v>
      </c>
      <c r="J214" s="338"/>
      <c r="K214" s="338"/>
      <c r="N214" s="1520"/>
      <c r="O214" s="338"/>
      <c r="P214" s="338"/>
      <c r="Q214" s="347"/>
      <c r="R214" s="347"/>
      <c r="S214" s="347"/>
      <c r="T214" s="945"/>
      <c r="U214" s="1158"/>
      <c r="V214" s="869"/>
      <c r="W214" s="869"/>
      <c r="X214" s="869"/>
      <c r="Y214" s="869"/>
      <c r="Z214" s="869"/>
      <c r="AA214" s="869"/>
      <c r="AB214" s="869"/>
      <c r="AC214" s="869"/>
      <c r="AD214" s="869"/>
      <c r="AE214" s="869"/>
      <c r="AF214" s="869"/>
      <c r="AG214" s="869"/>
      <c r="AH214" s="869"/>
      <c r="AI214" s="869"/>
      <c r="AJ214" s="869"/>
      <c r="AK214" s="869"/>
      <c r="AL214" s="869"/>
      <c r="AM214" s="869"/>
      <c r="AN214" s="869"/>
      <c r="AO214" s="869"/>
      <c r="AP214" s="869"/>
      <c r="AQ214" s="869"/>
      <c r="AR214" s="869"/>
      <c r="AS214" s="869"/>
      <c r="AT214" s="869"/>
      <c r="AU214" s="869"/>
      <c r="AV214" s="869"/>
      <c r="AW214" s="869"/>
      <c r="AX214" s="869"/>
      <c r="AY214" s="945"/>
    </row>
    <row r="215" spans="2:81" s="38" customFormat="1" collapsed="1">
      <c r="B215" s="336"/>
      <c r="C215" s="336"/>
      <c r="D215" s="337"/>
      <c r="E215" s="344"/>
      <c r="F215" s="338"/>
      <c r="G215" s="338"/>
      <c r="H215" s="338"/>
      <c r="I215" s="338"/>
      <c r="J215" s="338"/>
      <c r="K215" s="338"/>
      <c r="L215" s="338"/>
      <c r="M215" s="338"/>
      <c r="N215" s="1520"/>
      <c r="O215" s="338"/>
      <c r="P215" s="338"/>
      <c r="Q215" s="347"/>
      <c r="R215" s="347"/>
      <c r="S215" s="347"/>
      <c r="T215" s="945"/>
      <c r="U215" s="1158"/>
      <c r="V215" s="869"/>
      <c r="W215" s="869"/>
      <c r="X215" s="869"/>
      <c r="Y215" s="869"/>
      <c r="Z215" s="869"/>
      <c r="AA215" s="869"/>
      <c r="AB215" s="869"/>
      <c r="AC215" s="869"/>
      <c r="AD215" s="869"/>
      <c r="AE215" s="869"/>
      <c r="AF215" s="869"/>
      <c r="AG215" s="869"/>
      <c r="AH215" s="869"/>
      <c r="AI215" s="869"/>
      <c r="AJ215" s="869"/>
      <c r="AK215" s="869"/>
      <c r="AL215" s="869"/>
      <c r="AM215" s="869"/>
      <c r="AN215" s="869"/>
      <c r="AO215" s="869"/>
      <c r="AP215" s="869"/>
      <c r="AQ215" s="869"/>
      <c r="AR215" s="869"/>
      <c r="AS215" s="869"/>
      <c r="AT215" s="869"/>
      <c r="AU215" s="869"/>
      <c r="AV215" s="869"/>
      <c r="AW215" s="869"/>
      <c r="AX215" s="869"/>
      <c r="AY215" s="945"/>
    </row>
    <row r="216" spans="2:81" s="37" customFormat="1">
      <c r="B216" s="311" t="s">
        <v>1185</v>
      </c>
      <c r="C216" s="311"/>
      <c r="D216" s="351" t="s">
        <v>1184</v>
      </c>
      <c r="E216" s="312"/>
      <c r="F216" s="1233"/>
      <c r="G216" s="313">
        <f t="shared" ref="G216:M216" si="239">+G177/G$201*1000</f>
        <v>1151.3781164610239</v>
      </c>
      <c r="H216" s="313">
        <f t="shared" si="239"/>
        <v>1327.1429877041403</v>
      </c>
      <c r="I216" s="313">
        <f t="shared" si="239"/>
        <v>1679.9780801571519</v>
      </c>
      <c r="J216" s="313">
        <f t="shared" si="239"/>
        <v>2014.185476024152</v>
      </c>
      <c r="K216" s="313">
        <f t="shared" si="239"/>
        <v>1626.595097154453</v>
      </c>
      <c r="L216" s="313">
        <f t="shared" si="239"/>
        <v>1934.9836497595222</v>
      </c>
      <c r="M216" s="313">
        <f t="shared" si="239"/>
        <v>2222.4437134311447</v>
      </c>
      <c r="N216" s="1519">
        <f>M216*(1+N217)</f>
        <v>2155.7704020282104</v>
      </c>
      <c r="O216" s="349">
        <f>N216*(1+O217)</f>
        <v>2134.2126980079283</v>
      </c>
      <c r="P216" s="349">
        <f>O216*(1+P217)</f>
        <v>2155.5548249880076</v>
      </c>
      <c r="Q216" s="867"/>
      <c r="R216" s="867"/>
      <c r="S216" s="867"/>
      <c r="T216" s="944"/>
      <c r="U216" s="1164"/>
      <c r="V216" s="494"/>
      <c r="W216" s="494"/>
      <c r="X216" s="494"/>
      <c r="Y216" s="494"/>
      <c r="Z216" s="494"/>
      <c r="AA216" s="494"/>
      <c r="AB216" s="494"/>
      <c r="AC216" s="494"/>
      <c r="AD216" s="494"/>
      <c r="AE216" s="494"/>
      <c r="AF216" s="494"/>
      <c r="AG216" s="494"/>
      <c r="AH216" s="494"/>
      <c r="AI216" s="494"/>
      <c r="AJ216" s="494"/>
      <c r="AK216" s="494"/>
      <c r="AL216" s="494"/>
      <c r="AM216" s="494"/>
      <c r="AN216" s="494"/>
      <c r="AO216" s="494"/>
      <c r="AP216" s="494"/>
      <c r="AQ216" s="494"/>
      <c r="AR216" s="494"/>
      <c r="AS216" s="494"/>
      <c r="AT216" s="494"/>
      <c r="AU216" s="494"/>
      <c r="AV216" s="494"/>
      <c r="AW216" s="494"/>
      <c r="AX216" s="494"/>
      <c r="AY216" s="944"/>
    </row>
    <row r="217" spans="2:81" s="38" customFormat="1">
      <c r="B217" s="754" t="s">
        <v>216</v>
      </c>
      <c r="C217" s="336"/>
      <c r="D217" s="1280"/>
      <c r="E217" s="1281"/>
      <c r="F217" s="1282"/>
      <c r="G217" s="344"/>
      <c r="H217" s="1283">
        <f t="shared" ref="H217:M217" si="240">H216/G216-1</f>
        <v>0.15265608120411622</v>
      </c>
      <c r="I217" s="1283">
        <f t="shared" si="240"/>
        <v>0.26586064630714001</v>
      </c>
      <c r="J217" s="1283">
        <f t="shared" si="240"/>
        <v>0.19893556934727208</v>
      </c>
      <c r="K217" s="1283">
        <f t="shared" si="240"/>
        <v>-0.19243033150788713</v>
      </c>
      <c r="L217" s="1283">
        <f t="shared" si="240"/>
        <v>0.18959146818071737</v>
      </c>
      <c r="M217" s="2088">
        <f t="shared" si="240"/>
        <v>0.14855942772816078</v>
      </c>
      <c r="N217" s="1607">
        <v>-0.03</v>
      </c>
      <c r="O217" s="1608">
        <v>-0.01</v>
      </c>
      <c r="P217" s="1608">
        <v>0.01</v>
      </c>
      <c r="Q217" s="1277"/>
      <c r="R217" s="1277"/>
      <c r="S217" s="1277"/>
      <c r="T217" s="945"/>
      <c r="U217" s="1158"/>
      <c r="V217" s="1200"/>
      <c r="W217" s="1200"/>
      <c r="X217" s="1200"/>
      <c r="Y217" s="1200"/>
      <c r="Z217" s="1200"/>
      <c r="AA217" s="1200"/>
      <c r="AB217" s="1200"/>
      <c r="AC217" s="1200"/>
      <c r="AD217" s="1200"/>
      <c r="AE217" s="1200"/>
      <c r="AF217" s="1200"/>
      <c r="AG217" s="1200"/>
      <c r="AH217" s="1200"/>
      <c r="AI217" s="1200"/>
      <c r="AJ217" s="1200"/>
      <c r="AK217" s="1200"/>
      <c r="AL217" s="1200"/>
      <c r="AM217" s="1200"/>
      <c r="AN217" s="1200"/>
      <c r="AO217" s="1200"/>
      <c r="AP217" s="1200"/>
      <c r="AQ217" s="1200"/>
      <c r="AR217" s="1200"/>
      <c r="AS217" s="1200"/>
      <c r="AT217" s="1200"/>
      <c r="AU217" s="1200"/>
      <c r="AV217" s="1200"/>
      <c r="AW217" s="1200"/>
      <c r="AX217" s="1200"/>
      <c r="AY217" s="945"/>
    </row>
    <row r="218" spans="2:81" s="38" customFormat="1">
      <c r="B218" s="741" t="s">
        <v>1495</v>
      </c>
      <c r="C218" s="336"/>
      <c r="D218" s="1280"/>
      <c r="E218" s="1281"/>
      <c r="F218" s="1282"/>
      <c r="G218" s="344"/>
      <c r="H218" s="1283"/>
      <c r="I218" s="1283"/>
      <c r="J218" s="1283"/>
      <c r="K218" s="1283"/>
      <c r="L218" s="1979">
        <f>L188/L203*1000</f>
        <v>2258.7024276677657</v>
      </c>
      <c r="M218" s="2186">
        <f>M188/M203*1000</f>
        <v>2262.2113918900104</v>
      </c>
      <c r="N218" s="1598">
        <f>M218*(1+N219)</f>
        <v>2180.7717817819698</v>
      </c>
      <c r="O218" s="1599">
        <f>N218*(1+O219)</f>
        <v>2137.1563461463302</v>
      </c>
      <c r="P218" s="1599">
        <f>O218*(1+P219)</f>
        <v>2137.1563461463302</v>
      </c>
      <c r="Q218" s="1277"/>
      <c r="R218" s="1277"/>
      <c r="S218" s="1277"/>
      <c r="T218" s="945"/>
      <c r="U218" s="1158"/>
      <c r="V218" s="1200"/>
      <c r="W218" s="1200"/>
      <c r="X218" s="1200"/>
      <c r="Y218" s="1200"/>
      <c r="Z218" s="1200"/>
      <c r="AA218" s="1200"/>
      <c r="AB218" s="756">
        <f>AB188/AB203*1000</f>
        <v>2634.510850356593</v>
      </c>
      <c r="AC218" s="756">
        <f>AC188/AC203*1000</f>
        <v>2118.0451491366748</v>
      </c>
      <c r="AD218" s="756">
        <f>AD188/AD203*1000</f>
        <v>2271.3367330032374</v>
      </c>
      <c r="AE218" s="756">
        <f>AE188/AE203*1000</f>
        <v>2257.9759713815261</v>
      </c>
      <c r="AF218" s="756"/>
      <c r="AG218" s="756"/>
      <c r="AH218" s="756"/>
      <c r="AI218" s="756"/>
      <c r="AJ218" s="1200"/>
      <c r="AK218" s="1200"/>
      <c r="AL218" s="1200"/>
      <c r="AM218" s="1200"/>
      <c r="AN218" s="1200"/>
      <c r="AO218" s="1200"/>
      <c r="AP218" s="1200"/>
      <c r="AQ218" s="1200"/>
      <c r="AR218" s="1200"/>
      <c r="AS218" s="1200"/>
      <c r="AT218" s="1200"/>
      <c r="AU218" s="1200"/>
      <c r="AV218" s="1200"/>
      <c r="AW218" s="1200"/>
      <c r="AX218" s="1200"/>
      <c r="AY218" s="945"/>
    </row>
    <row r="219" spans="2:81" s="38" customFormat="1">
      <c r="B219" s="741" t="s">
        <v>1496</v>
      </c>
      <c r="C219" s="336"/>
      <c r="D219" s="1280"/>
      <c r="E219" s="1281"/>
      <c r="F219" s="1282"/>
      <c r="G219" s="344"/>
      <c r="H219" s="1283"/>
      <c r="I219" s="1283"/>
      <c r="J219" s="1283"/>
      <c r="K219" s="1283"/>
      <c r="L219" s="1283"/>
      <c r="M219" s="1283">
        <f>M218/L218-1</f>
        <v>1.5535309916268059E-3</v>
      </c>
      <c r="N219" s="1607">
        <v>-3.5999999999999997E-2</v>
      </c>
      <c r="O219" s="1608">
        <v>-0.02</v>
      </c>
      <c r="P219" s="1608">
        <v>0</v>
      </c>
      <c r="Q219" s="1277"/>
      <c r="R219" s="1277"/>
      <c r="S219" s="1277"/>
      <c r="T219" s="945"/>
      <c r="U219" s="1158"/>
      <c r="V219" s="1200"/>
      <c r="W219" s="1200"/>
      <c r="X219" s="1200"/>
      <c r="Y219" s="1200"/>
      <c r="Z219" s="1200"/>
      <c r="AA219" s="1200"/>
      <c r="AB219" s="1452">
        <f>AB218/1000*0.555</f>
        <v>1.4621535219479092</v>
      </c>
      <c r="AC219" s="1452">
        <f>AC218/1000*0.555</f>
        <v>1.1755150577708546</v>
      </c>
      <c r="AD219" s="1452">
        <f>AD218/1000*0.555</f>
        <v>1.2605918868167969</v>
      </c>
      <c r="AE219" s="1452">
        <f>AE218/1000*0.555</f>
        <v>1.253176664116747</v>
      </c>
      <c r="AF219" s="1452"/>
      <c r="AG219" s="1452"/>
      <c r="AH219" s="1452"/>
      <c r="AI219" s="1452"/>
      <c r="AJ219" s="1200"/>
      <c r="AK219" s="1200"/>
      <c r="AL219" s="1200"/>
      <c r="AM219" s="1200"/>
      <c r="AN219" s="1200"/>
      <c r="AO219" s="1200"/>
      <c r="AP219" s="1200"/>
      <c r="AQ219" s="1200"/>
      <c r="AR219" s="1200"/>
      <c r="AS219" s="1200"/>
      <c r="AT219" s="1200"/>
      <c r="AU219" s="1200"/>
      <c r="AV219" s="1200"/>
      <c r="AW219" s="1200"/>
      <c r="AX219" s="1200"/>
      <c r="AY219" s="945"/>
    </row>
    <row r="220" spans="2:81" s="38" customFormat="1">
      <c r="B220" s="1450" t="s">
        <v>216</v>
      </c>
      <c r="C220" s="336"/>
      <c r="D220" s="1280"/>
      <c r="E220" s="1281"/>
      <c r="F220" s="1282"/>
      <c r="G220" s="344"/>
      <c r="H220" s="1283"/>
      <c r="I220" s="1283"/>
      <c r="J220" s="1283"/>
      <c r="K220" s="1283"/>
      <c r="L220" s="1283"/>
      <c r="M220" s="767"/>
      <c r="N220" s="1525"/>
      <c r="O220" s="767"/>
      <c r="P220" s="767"/>
      <c r="Q220" s="1277"/>
      <c r="R220" s="1277"/>
      <c r="S220" s="1277"/>
      <c r="T220" s="945"/>
      <c r="U220" s="1158"/>
      <c r="V220" s="1200"/>
      <c r="W220" s="1200"/>
      <c r="X220" s="1200"/>
      <c r="Y220" s="1200"/>
      <c r="Z220" s="1200"/>
      <c r="AA220" s="1200"/>
      <c r="AB220" s="1200"/>
      <c r="AC220" s="1200"/>
      <c r="AD220" s="1453">
        <f>AD219/AB219-1</f>
        <v>-0.13785257984577981</v>
      </c>
      <c r="AE220" s="1453">
        <f>AE219/AC219-1</f>
        <v>6.6066024278041313E-2</v>
      </c>
      <c r="AF220" s="1453"/>
      <c r="AG220" s="1453"/>
      <c r="AH220" s="1453"/>
      <c r="AI220" s="1453"/>
      <c r="AJ220" s="1200"/>
      <c r="AK220" s="1200"/>
      <c r="AL220" s="1200"/>
      <c r="AM220" s="1200"/>
      <c r="AN220" s="1200"/>
      <c r="AO220" s="1200"/>
      <c r="AP220" s="1200"/>
      <c r="AQ220" s="1200"/>
      <c r="AR220" s="1200"/>
      <c r="AS220" s="1200"/>
      <c r="AT220" s="1200"/>
      <c r="AU220" s="1200"/>
      <c r="AV220" s="1200"/>
      <c r="AW220" s="1200"/>
      <c r="AX220" s="1200"/>
      <c r="AY220" s="945"/>
    </row>
    <row r="221" spans="2:81" s="38" customFormat="1">
      <c r="B221" s="1201" t="s">
        <v>1735</v>
      </c>
      <c r="C221" s="336"/>
      <c r="D221" s="1280"/>
      <c r="E221" s="1281"/>
      <c r="F221" s="1282"/>
      <c r="G221" s="344"/>
      <c r="H221" s="1283"/>
      <c r="I221" s="1283"/>
      <c r="J221" s="1283"/>
      <c r="K221" s="1283"/>
      <c r="L221" s="1602">
        <f>(L177-L188)/L205*1000</f>
        <v>1746.3259381896676</v>
      </c>
      <c r="M221" s="1602">
        <f>M190/M205*1000</f>
        <v>2166.787626110749</v>
      </c>
      <c r="N221" s="2105">
        <f>(N177-N188)/N205*1000</f>
        <v>2109.5247473932664</v>
      </c>
      <c r="O221" s="1602">
        <f>(O177-O188)/O205*1000</f>
        <v>2128.3101401753679</v>
      </c>
      <c r="P221" s="1602">
        <f>(P177-P188)/P205*1000</f>
        <v>2193.8103927522197</v>
      </c>
      <c r="Q221" s="1277"/>
      <c r="R221" s="1277"/>
      <c r="S221" s="1277"/>
      <c r="T221" s="945"/>
      <c r="U221" s="1158"/>
      <c r="V221" s="1200"/>
      <c r="W221" s="1200"/>
      <c r="X221" s="1200"/>
      <c r="Y221" s="1200"/>
      <c r="Z221" s="1200"/>
      <c r="AA221" s="1200"/>
      <c r="AB221" s="1200"/>
      <c r="AC221" s="1200"/>
      <c r="AD221" s="1200"/>
      <c r="AE221" s="1200"/>
      <c r="AF221" s="1200"/>
      <c r="AG221" s="1200"/>
      <c r="AH221" s="1200"/>
      <c r="AI221" s="1200"/>
      <c r="AJ221" s="1200"/>
      <c r="AK221" s="1200"/>
      <c r="AL221" s="1200"/>
      <c r="AM221" s="1200"/>
      <c r="AN221" s="1200"/>
      <c r="AO221" s="1200"/>
      <c r="AP221" s="1200"/>
      <c r="AQ221" s="1200"/>
      <c r="AR221" s="1200"/>
      <c r="AS221" s="1200"/>
      <c r="AT221" s="1200"/>
      <c r="AU221" s="1200"/>
      <c r="AV221" s="1200"/>
      <c r="AW221" s="1200"/>
      <c r="AX221" s="1200"/>
      <c r="AY221" s="945"/>
    </row>
    <row r="222" spans="2:81" s="38" customFormat="1">
      <c r="B222" s="754"/>
      <c r="C222" s="336"/>
      <c r="D222" s="1280"/>
      <c r="E222" s="1281"/>
      <c r="F222" s="1282"/>
      <c r="G222" s="344"/>
      <c r="H222" s="1283"/>
      <c r="I222" s="1283"/>
      <c r="J222" s="1283"/>
      <c r="K222" s="1283"/>
      <c r="L222" s="1283"/>
      <c r="M222" s="347">
        <f>M221/L221-1</f>
        <v>0.24076930813783481</v>
      </c>
      <c r="N222" s="1582">
        <f>N221/M221-1</f>
        <v>-2.6427545564428945E-2</v>
      </c>
      <c r="O222" s="1277">
        <f>O221/N221-1</f>
        <v>8.905035508739445E-3</v>
      </c>
      <c r="P222" s="1277">
        <f>P221/O221-1</f>
        <v>3.0775708549438452E-2</v>
      </c>
      <c r="Q222" s="1277"/>
      <c r="R222" s="1277"/>
      <c r="S222" s="1277"/>
      <c r="T222" s="945"/>
      <c r="U222" s="1158"/>
      <c r="V222" s="1200"/>
      <c r="W222" s="1200"/>
      <c r="X222" s="1200"/>
      <c r="Y222" s="1200"/>
      <c r="Z222" s="1200"/>
      <c r="AA222" s="1200"/>
      <c r="AB222" s="1200"/>
      <c r="AC222" s="1200"/>
      <c r="AD222" s="1200"/>
      <c r="AE222" s="1200"/>
      <c r="AF222" s="1200"/>
      <c r="AG222" s="1200"/>
      <c r="AH222" s="1200"/>
      <c r="AI222" s="1200"/>
      <c r="AJ222" s="1200"/>
      <c r="AK222" s="1200"/>
      <c r="AL222" s="1200"/>
      <c r="AM222" s="1200"/>
      <c r="AN222" s="1200"/>
      <c r="AO222" s="1200"/>
      <c r="AP222" s="1200"/>
      <c r="AQ222" s="1200"/>
      <c r="AR222" s="1200"/>
      <c r="AS222" s="1200"/>
      <c r="AT222" s="1200"/>
      <c r="AU222" s="1200"/>
      <c r="AV222" s="1200"/>
      <c r="AW222" s="1200"/>
      <c r="AX222" s="1200"/>
      <c r="AY222" s="945"/>
    </row>
    <row r="223" spans="2:81" s="38" customFormat="1">
      <c r="B223" s="754"/>
      <c r="C223" s="336"/>
      <c r="D223" s="1280"/>
      <c r="E223" s="1281"/>
      <c r="F223" s="1282"/>
      <c r="G223" s="344"/>
      <c r="H223" s="1283"/>
      <c r="I223" s="1283"/>
      <c r="J223" s="1283"/>
      <c r="K223" s="1283"/>
      <c r="L223" s="1283"/>
      <c r="M223" s="767"/>
      <c r="N223" s="1525"/>
      <c r="O223" s="767"/>
      <c r="P223" s="767"/>
      <c r="Q223" s="1277"/>
      <c r="R223" s="1277"/>
      <c r="S223" s="1277"/>
      <c r="T223" s="945"/>
      <c r="U223" s="1158"/>
      <c r="V223" s="1200"/>
      <c r="W223" s="1200"/>
      <c r="X223" s="1200"/>
      <c r="Y223" s="1200"/>
      <c r="Z223" s="1200"/>
      <c r="AA223" s="1200"/>
      <c r="AB223" s="1200"/>
      <c r="AC223" s="1200"/>
      <c r="AD223" s="1200"/>
      <c r="AE223" s="1200"/>
      <c r="AF223" s="1200"/>
      <c r="AG223" s="1200"/>
      <c r="AH223" s="1200"/>
      <c r="AI223" s="1200"/>
      <c r="AJ223" s="1200"/>
      <c r="AK223" s="1200"/>
      <c r="AL223" s="1200"/>
      <c r="AM223" s="1200"/>
      <c r="AN223" s="1200"/>
      <c r="AO223" s="1200"/>
      <c r="AP223" s="1200"/>
      <c r="AQ223" s="1200"/>
      <c r="AR223" s="1200"/>
      <c r="AS223" s="1200"/>
      <c r="AT223" s="1200"/>
      <c r="AU223" s="1200"/>
      <c r="AV223" s="1200"/>
      <c r="AW223" s="1200"/>
      <c r="AX223" s="1200"/>
      <c r="AY223" s="945"/>
    </row>
    <row r="224" spans="2:81" s="38" customFormat="1">
      <c r="B224" s="754"/>
      <c r="C224" s="336"/>
      <c r="D224" s="1280"/>
      <c r="E224" s="1281"/>
      <c r="F224" s="1282"/>
      <c r="G224" s="344"/>
      <c r="H224" s="1283"/>
      <c r="I224" s="1283"/>
      <c r="J224" s="1283"/>
      <c r="K224" s="1283"/>
      <c r="L224" s="1283"/>
      <c r="M224" s="767"/>
      <c r="N224" s="1525"/>
      <c r="O224" s="767"/>
      <c r="P224" s="767"/>
      <c r="Q224" s="1277"/>
      <c r="R224" s="1277"/>
      <c r="S224" s="1277"/>
      <c r="T224" s="945"/>
      <c r="U224" s="1158"/>
      <c r="V224" s="1200"/>
      <c r="W224" s="1200"/>
      <c r="X224" s="1200"/>
      <c r="Y224" s="1200"/>
      <c r="Z224" s="1200"/>
      <c r="AA224" s="1200"/>
      <c r="AB224" s="1200"/>
      <c r="AC224" s="1200"/>
      <c r="AD224" s="1200"/>
      <c r="AE224" s="1200"/>
      <c r="AF224" s="1200"/>
      <c r="AG224" s="1200"/>
      <c r="AH224" s="1200"/>
      <c r="AI224" s="1200"/>
      <c r="AJ224" s="1200"/>
      <c r="AK224" s="1200"/>
      <c r="AL224" s="1200"/>
      <c r="AM224" s="1200"/>
      <c r="AN224" s="1200"/>
      <c r="AO224" s="1200"/>
      <c r="AP224" s="1200"/>
      <c r="AQ224" s="1200"/>
      <c r="AR224" s="1200"/>
      <c r="AS224" s="1200"/>
      <c r="AT224" s="1200"/>
      <c r="AU224" s="1200"/>
      <c r="AV224" s="1200"/>
      <c r="AW224" s="1200"/>
      <c r="AX224" s="1200"/>
      <c r="AY224" s="945"/>
    </row>
    <row r="225" spans="2:51" s="38" customFormat="1">
      <c r="B225" s="754"/>
      <c r="C225" s="336"/>
      <c r="D225" s="1280"/>
      <c r="E225" s="1281"/>
      <c r="F225" s="1282"/>
      <c r="G225" s="344"/>
      <c r="H225" s="1283"/>
      <c r="I225" s="1283"/>
      <c r="J225" s="1283"/>
      <c r="K225" s="1283"/>
      <c r="L225" s="1283"/>
      <c r="M225" s="767"/>
      <c r="N225" s="1525"/>
      <c r="O225" s="767"/>
      <c r="P225" s="767"/>
      <c r="Q225" s="1277"/>
      <c r="R225" s="1277"/>
      <c r="S225" s="1277"/>
      <c r="T225" s="945"/>
      <c r="U225" s="1158"/>
      <c r="V225" s="1200"/>
      <c r="W225" s="1200"/>
      <c r="X225" s="1200"/>
      <c r="Y225" s="1200"/>
      <c r="Z225" s="1200"/>
      <c r="AA225" s="1200"/>
      <c r="AB225" s="1200"/>
      <c r="AC225" s="1200"/>
      <c r="AD225" s="1200"/>
      <c r="AE225" s="1200"/>
      <c r="AF225" s="1200"/>
      <c r="AG225" s="1200"/>
      <c r="AH225" s="1200"/>
      <c r="AI225" s="1200"/>
      <c r="AJ225" s="1200"/>
      <c r="AK225" s="1200"/>
      <c r="AL225" s="1200"/>
      <c r="AM225" s="1200"/>
      <c r="AN225" s="1200"/>
      <c r="AO225" s="1200"/>
      <c r="AP225" s="1200"/>
      <c r="AQ225" s="1200"/>
      <c r="AR225" s="1200"/>
      <c r="AS225" s="1200"/>
      <c r="AT225" s="1200"/>
      <c r="AU225" s="1200"/>
      <c r="AV225" s="1200"/>
      <c r="AW225" s="1200"/>
      <c r="AX225" s="1200"/>
      <c r="AY225" s="945"/>
    </row>
    <row r="226" spans="2:51" s="38" customFormat="1">
      <c r="B226" s="351" t="s">
        <v>1734</v>
      </c>
      <c r="C226" s="336"/>
      <c r="D226" s="1280"/>
      <c r="E226" s="1281"/>
      <c r="F226" s="1282"/>
      <c r="G226" s="344"/>
      <c r="H226" s="1283"/>
      <c r="I226" s="1283"/>
      <c r="J226" s="1283"/>
      <c r="K226" s="1283"/>
      <c r="L226" s="1283"/>
      <c r="M226" s="767"/>
      <c r="N226" s="1525"/>
      <c r="O226" s="767"/>
      <c r="P226" s="767"/>
      <c r="Q226" s="1277"/>
      <c r="R226" s="1277"/>
      <c r="S226" s="1277"/>
      <c r="T226" s="945"/>
      <c r="U226" s="1158"/>
      <c r="V226" s="1200"/>
      <c r="W226" s="1200"/>
      <c r="X226" s="1200"/>
      <c r="Y226" s="1200"/>
      <c r="Z226" s="1200"/>
      <c r="AA226" s="1200"/>
      <c r="AB226" s="1200"/>
      <c r="AC226" s="1200"/>
      <c r="AD226" s="1200"/>
      <c r="AE226" s="1200"/>
      <c r="AF226" s="1200"/>
      <c r="AG226" s="1200"/>
      <c r="AH226" s="1200"/>
      <c r="AI226" s="1200"/>
      <c r="AJ226" s="1200"/>
      <c r="AK226" s="1200"/>
      <c r="AL226" s="1200"/>
      <c r="AM226" s="1200"/>
      <c r="AN226" s="1200"/>
      <c r="AO226" s="1200"/>
      <c r="AP226" s="1200"/>
      <c r="AQ226" s="1200"/>
      <c r="AR226" s="1200"/>
      <c r="AS226" s="1200"/>
      <c r="AT226" s="1200"/>
      <c r="AU226" s="1200"/>
      <c r="AV226" s="1200"/>
      <c r="AW226" s="1200"/>
      <c r="AX226" s="1200"/>
      <c r="AY226" s="945"/>
    </row>
    <row r="227" spans="2:51">
      <c r="B227" s="307" t="s">
        <v>1191</v>
      </c>
      <c r="C227" s="307"/>
      <c r="D227" s="747" t="s">
        <v>1187</v>
      </c>
      <c r="E227" s="398"/>
      <c r="F227" s="418"/>
      <c r="G227" s="309">
        <f t="shared" ref="G227:M227" si="241">+G179/G$201*1000</f>
        <v>1180.9176694217681</v>
      </c>
      <c r="H227" s="309">
        <f t="shared" si="241"/>
        <v>1390.2040873716105</v>
      </c>
      <c r="I227" s="309">
        <f t="shared" si="241"/>
        <v>1546.5964353304744</v>
      </c>
      <c r="J227" s="309">
        <f t="shared" si="241"/>
        <v>1752.3403406167927</v>
      </c>
      <c r="K227" s="309">
        <f t="shared" si="241"/>
        <v>1348.9774232528259</v>
      </c>
      <c r="L227" s="309">
        <f t="shared" si="241"/>
        <v>1601.1805264906338</v>
      </c>
      <c r="M227" s="309">
        <f t="shared" si="241"/>
        <v>1629.3066538989717</v>
      </c>
      <c r="N227" s="1519">
        <f>M227*(1+N228)</f>
        <v>1596.7205208209923</v>
      </c>
      <c r="O227" s="349">
        <f>N227*(1+O228)</f>
        <v>1524.8680973840476</v>
      </c>
      <c r="P227" s="349">
        <f>O227*(1+P228)</f>
        <v>1479.1220544625262</v>
      </c>
      <c r="Q227" s="867"/>
      <c r="R227" s="867"/>
      <c r="S227" s="867"/>
      <c r="U227" s="302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35"/>
      <c r="AW227" s="35"/>
      <c r="AX227" s="35"/>
    </row>
    <row r="228" spans="2:51" s="38" customFormat="1">
      <c r="B228" s="754" t="s">
        <v>216</v>
      </c>
      <c r="C228" s="336"/>
      <c r="D228" s="1280"/>
      <c r="E228" s="1281"/>
      <c r="F228" s="1282"/>
      <c r="G228" s="344"/>
      <c r="H228" s="1283">
        <f t="shared" ref="H228:M228" si="242">H227/G227-1</f>
        <v>0.17722354688140007</v>
      </c>
      <c r="I228" s="1283">
        <f t="shared" si="242"/>
        <v>0.11249596327582889</v>
      </c>
      <c r="J228" s="1283">
        <f t="shared" si="242"/>
        <v>0.13303011735078463</v>
      </c>
      <c r="K228" s="1283">
        <f t="shared" si="242"/>
        <v>-0.23018526025714281</v>
      </c>
      <c r="L228" s="1283">
        <f t="shared" si="242"/>
        <v>0.18695872806356073</v>
      </c>
      <c r="M228" s="2088">
        <f t="shared" si="242"/>
        <v>1.7565869021641811E-2</v>
      </c>
      <c r="N228" s="2106">
        <v>-0.02</v>
      </c>
      <c r="O228" s="1925">
        <v>-4.4999999999999998E-2</v>
      </c>
      <c r="P228" s="1925">
        <f>P217-4%</f>
        <v>-0.03</v>
      </c>
      <c r="Q228" s="1277"/>
      <c r="R228" s="1277"/>
      <c r="S228" s="1277"/>
      <c r="T228" s="945"/>
      <c r="U228" s="1158"/>
      <c r="V228" s="1200"/>
      <c r="W228" s="1200"/>
      <c r="X228" s="1200"/>
      <c r="Y228" s="1200"/>
      <c r="Z228" s="1200"/>
      <c r="AA228" s="1200"/>
      <c r="AB228" s="1200"/>
      <c r="AC228" s="1200"/>
      <c r="AD228" s="1200"/>
      <c r="AE228" s="1200"/>
      <c r="AF228" s="1200"/>
      <c r="AG228" s="1200"/>
      <c r="AH228" s="1200"/>
      <c r="AI228" s="1200"/>
      <c r="AJ228" s="1200"/>
      <c r="AK228" s="1200"/>
      <c r="AL228" s="1200"/>
      <c r="AM228" s="1200"/>
      <c r="AN228" s="1200"/>
      <c r="AO228" s="1200"/>
      <c r="AP228" s="1200"/>
      <c r="AQ228" s="1200"/>
      <c r="AR228" s="1200"/>
      <c r="AS228" s="1200"/>
      <c r="AT228" s="1200"/>
      <c r="AU228" s="1200"/>
      <c r="AV228" s="1200"/>
      <c r="AW228" s="1200"/>
      <c r="AX228" s="1200"/>
      <c r="AY228" s="945"/>
    </row>
    <row r="229" spans="2:51">
      <c r="B229" s="307" t="s">
        <v>1190</v>
      </c>
      <c r="C229" s="307"/>
      <c r="D229" s="310" t="s">
        <v>1188</v>
      </c>
      <c r="E229" s="308"/>
      <c r="F229" s="402"/>
      <c r="G229" s="309">
        <f t="shared" ref="G229:P229" si="243">+G182/G$201*1000</f>
        <v>-29.539552960744047</v>
      </c>
      <c r="H229" s="309">
        <f t="shared" si="243"/>
        <v>-63.061099667470465</v>
      </c>
      <c r="I229" s="309">
        <f t="shared" si="243"/>
        <v>133.38164482667753</v>
      </c>
      <c r="J229" s="309">
        <f t="shared" si="243"/>
        <v>261.84513540735929</v>
      </c>
      <c r="K229" s="309">
        <f t="shared" si="243"/>
        <v>277.61767390162703</v>
      </c>
      <c r="L229" s="309">
        <f t="shared" si="243"/>
        <v>333.80312326888844</v>
      </c>
      <c r="M229" s="309">
        <f t="shared" si="243"/>
        <v>593.13705953217266</v>
      </c>
      <c r="N229" s="1541">
        <f t="shared" si="243"/>
        <v>559.04988120721794</v>
      </c>
      <c r="O229" s="309">
        <f t="shared" si="243"/>
        <v>609.34460062388075</v>
      </c>
      <c r="P229" s="309">
        <f t="shared" si="243"/>
        <v>676.43277052548137</v>
      </c>
      <c r="Q229" s="35"/>
      <c r="R229" s="35"/>
      <c r="S229" s="35"/>
      <c r="U229" s="789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35"/>
      <c r="AW229" s="35"/>
      <c r="AX229" s="35"/>
    </row>
    <row r="230" spans="2:51">
      <c r="B230" s="836"/>
      <c r="C230" s="836"/>
      <c r="D230" s="837"/>
      <c r="E230" s="838"/>
      <c r="F230" s="839"/>
      <c r="G230" s="840"/>
      <c r="H230" s="840"/>
      <c r="I230" s="840"/>
      <c r="J230" s="839"/>
      <c r="K230" s="839"/>
      <c r="L230" s="839"/>
      <c r="M230" s="839"/>
      <c r="N230" s="1538"/>
      <c r="O230" s="63"/>
      <c r="P230" s="63"/>
      <c r="Q230" s="63"/>
      <c r="R230" s="63"/>
      <c r="S230" s="63"/>
      <c r="U230" s="789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35"/>
      <c r="AW230" s="35"/>
      <c r="AX230" s="35"/>
    </row>
    <row r="231" spans="2:51">
      <c r="B231" s="39" t="s">
        <v>1746</v>
      </c>
      <c r="C231" s="680"/>
      <c r="D231" s="758"/>
      <c r="E231" s="309"/>
      <c r="F231" s="633"/>
      <c r="G231" s="633"/>
      <c r="H231" s="633"/>
      <c r="I231" s="633"/>
      <c r="J231" s="633"/>
      <c r="K231" s="633"/>
      <c r="L231" s="633">
        <f>M231/(1+263.58%)</f>
        <v>289.00658733428685</v>
      </c>
      <c r="M231" s="2086">
        <v>1050.7701502300001</v>
      </c>
      <c r="N231" s="1519">
        <f>N188-N232</f>
        <v>2240.0991811427502</v>
      </c>
      <c r="O231" s="349">
        <f>O188-O232</f>
        <v>2947.6797720476634</v>
      </c>
      <c r="P231" s="349">
        <f>P188-P232</f>
        <v>3615.1315301878458</v>
      </c>
      <c r="Q231" s="867"/>
      <c r="R231" s="867"/>
      <c r="S231" s="867"/>
      <c r="U231" s="789"/>
      <c r="V231" s="483"/>
      <c r="W231" s="483"/>
      <c r="X231" s="35"/>
      <c r="Y231" s="35"/>
      <c r="Z231" s="1232"/>
      <c r="AA231" s="1169"/>
      <c r="AB231" s="1232"/>
      <c r="AC231" s="1169"/>
      <c r="AD231" s="1232"/>
      <c r="AE231" s="1169"/>
      <c r="AF231" s="1169"/>
      <c r="AG231" s="1169"/>
      <c r="AH231" s="1169"/>
      <c r="AI231" s="1169"/>
      <c r="AJ231" s="1169"/>
      <c r="AK231" s="1169"/>
      <c r="AL231" s="1169"/>
      <c r="AM231" s="1169"/>
      <c r="AN231" s="1169"/>
      <c r="AO231" s="1169"/>
      <c r="AP231" s="1169"/>
      <c r="AQ231" s="1169"/>
      <c r="AR231" s="1169"/>
      <c r="AS231" s="1169"/>
      <c r="AT231" s="1169"/>
      <c r="AU231" s="1169"/>
      <c r="AV231" s="1169"/>
      <c r="AW231" s="35"/>
      <c r="AX231" s="35"/>
    </row>
    <row r="232" spans="2:51">
      <c r="B232" s="760" t="s">
        <v>1707</v>
      </c>
      <c r="C232" s="1311"/>
      <c r="D232" s="2005"/>
      <c r="E232" s="2006"/>
      <c r="F232" s="2007"/>
      <c r="G232" s="2008"/>
      <c r="H232" s="2008"/>
      <c r="I232" s="2008"/>
      <c r="J232" s="2007"/>
      <c r="K232" s="2007"/>
      <c r="L232" s="2013">
        <f>L188-L231</f>
        <v>104.03546889780296</v>
      </c>
      <c r="M232" s="2008">
        <f>M188-M231</f>
        <v>444.24391905999983</v>
      </c>
      <c r="N232" s="1518">
        <f>N233*N188</f>
        <v>1063.8819119881498</v>
      </c>
      <c r="O232" s="350">
        <f>O233*O188</f>
        <v>1545.7345146103601</v>
      </c>
      <c r="P232" s="350">
        <f>P233*P188</f>
        <v>2069.0375424345539</v>
      </c>
      <c r="Q232" s="63"/>
      <c r="R232" s="63"/>
      <c r="S232" s="63"/>
      <c r="U232" s="789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35"/>
      <c r="AW232" s="35"/>
      <c r="AX232" s="35"/>
    </row>
    <row r="233" spans="2:51">
      <c r="B233" s="1311" t="s">
        <v>1706</v>
      </c>
      <c r="C233" s="1311"/>
      <c r="D233" s="2005"/>
      <c r="E233" s="2006"/>
      <c r="F233" s="2007"/>
      <c r="G233" s="2008"/>
      <c r="H233" s="2008"/>
      <c r="I233" s="2008"/>
      <c r="J233" s="2007"/>
      <c r="K233" s="2007"/>
      <c r="L233" s="2014">
        <f>L232/L188</f>
        <v>0.26469296923373109</v>
      </c>
      <c r="M233" s="2014">
        <f>M232/M188</f>
        <v>0.29715032666614072</v>
      </c>
      <c r="N233" s="1607">
        <v>0.32200000000000001</v>
      </c>
      <c r="O233" s="1608">
        <f>N233+2.2%</f>
        <v>0.34400000000000003</v>
      </c>
      <c r="P233" s="1608">
        <f>O233+2%</f>
        <v>0.36400000000000005</v>
      </c>
      <c r="Q233" s="63"/>
      <c r="R233" s="63"/>
      <c r="S233" s="63"/>
      <c r="U233" s="789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35"/>
      <c r="AW233" s="35"/>
      <c r="AX233" s="35"/>
    </row>
    <row r="234" spans="2:51">
      <c r="B234" s="836"/>
      <c r="C234" s="836"/>
      <c r="D234" s="837"/>
      <c r="E234" s="838"/>
      <c r="F234" s="839"/>
      <c r="G234" s="840"/>
      <c r="H234" s="840"/>
      <c r="I234" s="840"/>
      <c r="J234" s="839"/>
      <c r="K234" s="839"/>
      <c r="L234" s="839"/>
      <c r="M234" s="839"/>
      <c r="N234" s="1542"/>
      <c r="O234" s="839"/>
      <c r="P234" s="839"/>
      <c r="Q234" s="63"/>
      <c r="R234" s="63"/>
      <c r="S234" s="63"/>
      <c r="U234" s="789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35"/>
      <c r="AW234" s="35"/>
      <c r="AX234" s="35"/>
    </row>
    <row r="235" spans="2:51">
      <c r="B235" s="1212" t="s">
        <v>1708</v>
      </c>
      <c r="C235" s="1311"/>
      <c r="D235" s="2005"/>
      <c r="E235" s="2006"/>
      <c r="F235" s="2007"/>
      <c r="G235" s="2008"/>
      <c r="H235" s="2008"/>
      <c r="I235" s="2008"/>
      <c r="J235" s="2007"/>
      <c r="K235" s="2007"/>
      <c r="L235" s="2013">
        <f>L190-L181</f>
        <v>63.04742084005926</v>
      </c>
      <c r="M235" s="2008">
        <f>M190-M181</f>
        <v>227.82070270999998</v>
      </c>
      <c r="N235" s="1552">
        <f>N182-N232</f>
        <v>241.00764145923245</v>
      </c>
      <c r="O235" s="494">
        <f>O182-O232</f>
        <v>374.34816712994393</v>
      </c>
      <c r="P235" s="494">
        <f>P182-P232</f>
        <v>595.31454733082592</v>
      </c>
      <c r="Q235" s="63"/>
      <c r="R235" s="63"/>
      <c r="S235" s="63"/>
      <c r="U235" s="789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35"/>
      <c r="AW235" s="35"/>
      <c r="AX235" s="35"/>
    </row>
    <row r="236" spans="2:51">
      <c r="B236" s="1212" t="s">
        <v>1709</v>
      </c>
      <c r="C236" s="1311"/>
      <c r="D236" s="2005"/>
      <c r="E236" s="2006"/>
      <c r="F236" s="2007"/>
      <c r="G236" s="2008"/>
      <c r="H236" s="2008"/>
      <c r="I236" s="2008"/>
      <c r="J236" s="2007"/>
      <c r="K236" s="2007"/>
      <c r="L236" s="2220">
        <f>L235/L190</f>
        <v>0.12091179980257435</v>
      </c>
      <c r="M236" s="2221">
        <f>M235/M190</f>
        <v>0.22266255012439654</v>
      </c>
      <c r="N236" s="2222">
        <f>N235/(N177-N188)</f>
        <v>0.13948445450971089</v>
      </c>
      <c r="O236" s="2223">
        <f>O235/(O177-O188)</f>
        <v>0.16774708584487572</v>
      </c>
      <c r="P236" s="2223">
        <f>P235/(P177-P188)</f>
        <v>0.2121433620333916</v>
      </c>
      <c r="Q236" s="63"/>
      <c r="R236" s="63"/>
      <c r="S236" s="63"/>
      <c r="U236" s="789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35"/>
      <c r="AW236" s="35"/>
      <c r="AX236" s="35"/>
    </row>
    <row r="237" spans="2:51">
      <c r="B237" s="1869" t="s">
        <v>1747</v>
      </c>
      <c r="C237" s="836"/>
      <c r="D237" s="837"/>
      <c r="E237" s="838"/>
      <c r="F237" s="839"/>
      <c r="G237" s="840"/>
      <c r="H237" s="840"/>
      <c r="I237" s="840"/>
      <c r="J237" s="839"/>
      <c r="K237" s="839"/>
      <c r="L237" s="839"/>
      <c r="M237" s="840">
        <f>M190-M235</f>
        <v>795.34508148999998</v>
      </c>
      <c r="N237" s="1870">
        <f>N190-N235</f>
        <v>1486.8382486535868</v>
      </c>
      <c r="O237" s="840">
        <f>O190-O235</f>
        <v>1857.2743093172642</v>
      </c>
      <c r="P237" s="840">
        <f>P190-P235</f>
        <v>2210.8752934671284</v>
      </c>
      <c r="Q237" s="63"/>
      <c r="R237" s="63"/>
      <c r="S237" s="63"/>
      <c r="U237" s="789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</row>
    <row r="238" spans="2:51">
      <c r="B238" s="836"/>
      <c r="C238" s="836"/>
      <c r="D238" s="837"/>
      <c r="E238" s="838"/>
      <c r="F238" s="839"/>
      <c r="G238" s="840"/>
      <c r="H238" s="840"/>
      <c r="I238" s="840"/>
      <c r="J238" s="839"/>
      <c r="K238" s="839"/>
      <c r="L238" s="839"/>
      <c r="M238" s="839"/>
      <c r="N238" s="1542"/>
      <c r="O238" s="839"/>
      <c r="P238" s="839"/>
      <c r="Q238" s="63"/>
      <c r="R238" s="63"/>
      <c r="S238" s="63"/>
      <c r="U238" s="789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</row>
    <row r="239" spans="2:51">
      <c r="B239" s="836"/>
      <c r="C239" s="836"/>
      <c r="D239" s="837"/>
      <c r="E239" s="838"/>
      <c r="F239" s="839"/>
      <c r="G239" s="840"/>
      <c r="H239" s="840"/>
      <c r="I239" s="840"/>
      <c r="J239" s="839"/>
      <c r="K239" s="839"/>
      <c r="L239" s="839"/>
      <c r="M239" s="839"/>
      <c r="N239" s="1542"/>
      <c r="O239" s="839"/>
      <c r="P239" s="839"/>
      <c r="Q239" s="63"/>
      <c r="R239" s="63"/>
      <c r="S239" s="63"/>
      <c r="U239" s="789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35"/>
      <c r="AW239" s="35"/>
      <c r="AX239" s="35"/>
    </row>
    <row r="240" spans="2:51">
      <c r="B240" s="1201"/>
      <c r="C240" s="836"/>
      <c r="D240" s="837"/>
      <c r="E240" s="838"/>
      <c r="F240" s="839"/>
      <c r="G240" s="840"/>
      <c r="H240" s="840"/>
      <c r="I240" s="840"/>
      <c r="J240" s="839"/>
      <c r="K240" s="839"/>
      <c r="L240" s="839"/>
      <c r="M240" s="839"/>
      <c r="N240" s="1542"/>
      <c r="O240" s="839"/>
      <c r="P240" s="839"/>
      <c r="Q240" s="63"/>
      <c r="R240" s="63"/>
      <c r="S240" s="63"/>
      <c r="U240" s="789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35"/>
      <c r="AW240" s="35"/>
      <c r="AX240" s="35"/>
    </row>
    <row r="241" spans="2:81" s="38" customFormat="1" hidden="1" outlineLevel="1">
      <c r="B241" s="900" t="s">
        <v>938</v>
      </c>
      <c r="C241" s="900"/>
      <c r="D241" s="900" t="s">
        <v>1115</v>
      </c>
      <c r="E241" s="901"/>
      <c r="F241" s="901">
        <f t="shared" ref="F241:P241" si="244">F8</f>
        <v>2017</v>
      </c>
      <c r="G241" s="901">
        <f t="shared" si="244"/>
        <v>2018</v>
      </c>
      <c r="H241" s="901">
        <f t="shared" si="244"/>
        <v>2019</v>
      </c>
      <c r="I241" s="901">
        <f t="shared" si="244"/>
        <v>2020</v>
      </c>
      <c r="J241" s="901">
        <f t="shared" si="244"/>
        <v>2021</v>
      </c>
      <c r="K241" s="901">
        <f t="shared" si="244"/>
        <v>2022</v>
      </c>
      <c r="L241" s="901">
        <f t="shared" si="244"/>
        <v>2023</v>
      </c>
      <c r="M241" s="901">
        <f t="shared" si="244"/>
        <v>2024</v>
      </c>
      <c r="N241" s="1516" t="str">
        <f t="shared" si="244"/>
        <v>2025E</v>
      </c>
      <c r="O241" s="901" t="str">
        <f t="shared" si="244"/>
        <v>2026E</v>
      </c>
      <c r="P241" s="901" t="str">
        <f t="shared" si="244"/>
        <v>2027E</v>
      </c>
      <c r="Q241" s="935"/>
      <c r="R241" s="935"/>
      <c r="S241" s="935"/>
      <c r="T241" s="945"/>
      <c r="U241" s="1157"/>
      <c r="V241" s="935" t="str">
        <f t="shared" ref="V241:AE241" si="245">V8</f>
        <v>1H20</v>
      </c>
      <c r="W241" s="935" t="str">
        <f t="shared" si="245"/>
        <v>2H20</v>
      </c>
      <c r="X241" s="935" t="str">
        <f t="shared" si="245"/>
        <v>1H21</v>
      </c>
      <c r="Y241" s="935" t="str">
        <f t="shared" si="245"/>
        <v>2H21</v>
      </c>
      <c r="Z241" s="935" t="str">
        <f t="shared" si="245"/>
        <v>1H22</v>
      </c>
      <c r="AA241" s="935" t="str">
        <f t="shared" si="245"/>
        <v>2H22</v>
      </c>
      <c r="AB241" s="935" t="str">
        <f t="shared" si="245"/>
        <v>1H23</v>
      </c>
      <c r="AC241" s="935" t="str">
        <f t="shared" si="245"/>
        <v>2H23</v>
      </c>
      <c r="AD241" s="935" t="str">
        <f t="shared" si="245"/>
        <v>1H24</v>
      </c>
      <c r="AE241" s="935" t="str">
        <f t="shared" si="245"/>
        <v>2H24</v>
      </c>
      <c r="AF241" s="935"/>
      <c r="AG241" s="935"/>
      <c r="AH241" s="935"/>
      <c r="AI241" s="935"/>
      <c r="AJ241" s="935"/>
      <c r="AK241" s="935"/>
      <c r="AL241" s="935"/>
      <c r="AM241" s="935"/>
      <c r="AN241" s="935"/>
      <c r="AO241" s="935"/>
      <c r="AP241" s="935"/>
      <c r="AQ241" s="935"/>
      <c r="AR241" s="935"/>
      <c r="AS241" s="935"/>
      <c r="AT241" s="935"/>
      <c r="AU241" s="935"/>
      <c r="AV241" s="935"/>
      <c r="AW241" s="935"/>
      <c r="AX241" s="935"/>
      <c r="AY241" s="945"/>
      <c r="AZ241" s="935"/>
      <c r="BA241" s="935"/>
      <c r="BB241" s="935"/>
      <c r="BC241" s="935"/>
      <c r="BD241" s="935"/>
      <c r="BE241" s="935"/>
      <c r="BF241" s="935"/>
      <c r="BG241" s="935"/>
      <c r="BH241" s="935"/>
      <c r="BI241" s="935"/>
      <c r="BJ241" s="935"/>
      <c r="BK241" s="935"/>
      <c r="BL241" s="935"/>
      <c r="BM241" s="935"/>
      <c r="BN241" s="935"/>
      <c r="BO241" s="935"/>
      <c r="BP241" s="935"/>
      <c r="BQ241" s="935"/>
      <c r="BR241" s="935"/>
      <c r="BS241" s="935"/>
      <c r="BT241" s="935"/>
      <c r="BU241" s="935"/>
      <c r="BV241" s="935"/>
      <c r="BW241" s="935"/>
      <c r="BX241" s="935"/>
      <c r="BY241" s="935"/>
      <c r="BZ241" s="935"/>
      <c r="CA241" s="935"/>
      <c r="CB241" s="935"/>
      <c r="CC241" s="935"/>
    </row>
    <row r="242" spans="2:81" hidden="1" outlineLevel="1">
      <c r="B242" s="902" t="s">
        <v>903</v>
      </c>
      <c r="C242" s="902"/>
      <c r="D242" s="902" t="s">
        <v>862</v>
      </c>
      <c r="E242" s="903"/>
      <c r="F242" s="903"/>
      <c r="G242" s="903"/>
      <c r="H242" s="903"/>
      <c r="I242" s="904"/>
      <c r="J242" s="904"/>
      <c r="K242" s="904"/>
      <c r="L242" s="904"/>
      <c r="M242" s="904"/>
      <c r="N242" s="1517"/>
      <c r="O242" s="904"/>
      <c r="P242" s="904"/>
      <c r="Q242" s="904"/>
      <c r="R242" s="904"/>
      <c r="S242" s="904"/>
      <c r="U242" s="1111"/>
      <c r="V242" s="930"/>
      <c r="W242" s="930"/>
      <c r="X242" s="930"/>
      <c r="Y242" s="930"/>
      <c r="Z242" s="930"/>
      <c r="AA242" s="930"/>
      <c r="AB242" s="930"/>
      <c r="AC242" s="930"/>
      <c r="AD242" s="930"/>
      <c r="AE242" s="930"/>
      <c r="AF242" s="930"/>
      <c r="AG242" s="930"/>
      <c r="AH242" s="930"/>
      <c r="AI242" s="930"/>
      <c r="AJ242" s="930"/>
      <c r="AK242" s="930"/>
      <c r="AL242" s="930"/>
      <c r="AM242" s="930"/>
      <c r="AN242" s="930"/>
      <c r="AO242" s="930"/>
      <c r="AP242" s="930"/>
      <c r="AQ242" s="930"/>
      <c r="AR242" s="930"/>
      <c r="AS242" s="930"/>
      <c r="AT242" s="930"/>
      <c r="AU242" s="930"/>
      <c r="AV242" s="930"/>
      <c r="AW242" s="930"/>
      <c r="AX242" s="930"/>
    </row>
    <row r="243" spans="2:81" s="37" customFormat="1" hidden="1" outlineLevel="1">
      <c r="B243" s="307" t="s">
        <v>53</v>
      </c>
      <c r="C243" s="307"/>
      <c r="D243" s="307" t="s">
        <v>51</v>
      </c>
      <c r="E243" s="312"/>
      <c r="F243" s="348"/>
      <c r="G243" s="348">
        <f>3662.65/100</f>
        <v>36.6265</v>
      </c>
      <c r="H243" s="348">
        <f>4088.52/100</f>
        <v>40.885199999999998</v>
      </c>
      <c r="I243" s="348">
        <f>4058.24/100</f>
        <v>40.5824</v>
      </c>
      <c r="J243" s="349"/>
      <c r="K243" s="349"/>
      <c r="L243" s="349"/>
      <c r="M243" s="349"/>
      <c r="N243" s="1519"/>
      <c r="O243" s="349"/>
      <c r="P243" s="349"/>
      <c r="Q243" s="867"/>
      <c r="R243" s="867"/>
      <c r="S243" s="867"/>
      <c r="T243" s="943"/>
      <c r="U243" s="39"/>
      <c r="V243" s="1160"/>
      <c r="W243" s="303"/>
      <c r="X243" s="1160"/>
      <c r="Y243" s="303"/>
      <c r="Z243" s="1160"/>
      <c r="AA243" s="303"/>
      <c r="AB243" s="1160"/>
      <c r="AC243" s="303"/>
      <c r="AD243" s="1160"/>
      <c r="AE243" s="303"/>
      <c r="AF243" s="303"/>
      <c r="AG243" s="303"/>
      <c r="AH243" s="303"/>
      <c r="AI243" s="303"/>
      <c r="AJ243" s="303"/>
      <c r="AK243" s="303"/>
      <c r="AL243" s="303"/>
      <c r="AM243" s="303"/>
      <c r="AN243" s="303"/>
      <c r="AO243" s="303"/>
      <c r="AP243" s="303"/>
      <c r="AQ243" s="303"/>
      <c r="AR243" s="303"/>
      <c r="AS243" s="303"/>
      <c r="AT243" s="303"/>
      <c r="AU243" s="303"/>
      <c r="AV243" s="303"/>
      <c r="AW243" s="303"/>
      <c r="AX243" s="303"/>
      <c r="AY243" s="944"/>
    </row>
    <row r="244" spans="2:81" s="37" customFormat="1" hidden="1" outlineLevel="1">
      <c r="B244" s="307" t="s">
        <v>49</v>
      </c>
      <c r="C244" s="307"/>
      <c r="D244" s="307" t="s">
        <v>48</v>
      </c>
      <c r="E244" s="312"/>
      <c r="F244" s="348"/>
      <c r="G244" s="349">
        <f>+G243-G245</f>
        <v>37.592799999999997</v>
      </c>
      <c r="H244" s="349">
        <f>+H243-H245</f>
        <v>37.943100000000001</v>
      </c>
      <c r="I244" s="349">
        <f>+I243-I245</f>
        <v>34.065199999999997</v>
      </c>
      <c r="J244" s="349"/>
      <c r="K244" s="349"/>
      <c r="L244" s="349"/>
      <c r="M244" s="349"/>
      <c r="N244" s="1519"/>
      <c r="O244" s="349"/>
      <c r="P244" s="349"/>
      <c r="Q244" s="867"/>
      <c r="R244" s="867"/>
      <c r="S244" s="867"/>
      <c r="T244" s="943"/>
      <c r="U244" s="789"/>
      <c r="V244" s="867"/>
      <c r="W244" s="867"/>
      <c r="X244" s="867"/>
      <c r="Y244" s="867"/>
      <c r="Z244" s="867"/>
      <c r="AA244" s="867"/>
      <c r="AB244" s="867"/>
      <c r="AC244" s="867"/>
      <c r="AD244" s="867"/>
      <c r="AE244" s="867"/>
      <c r="AF244" s="867"/>
      <c r="AG244" s="867"/>
      <c r="AH244" s="867"/>
      <c r="AI244" s="867"/>
      <c r="AJ244" s="867"/>
      <c r="AK244" s="867"/>
      <c r="AL244" s="867"/>
      <c r="AM244" s="867"/>
      <c r="AN244" s="867"/>
      <c r="AO244" s="867"/>
      <c r="AP244" s="867"/>
      <c r="AQ244" s="867"/>
      <c r="AR244" s="867"/>
      <c r="AS244" s="867"/>
      <c r="AT244" s="867"/>
      <c r="AU244" s="867"/>
      <c r="AV244" s="867"/>
      <c r="AW244" s="867"/>
      <c r="AX244" s="867"/>
      <c r="AY244" s="944"/>
    </row>
    <row r="245" spans="2:81" s="37" customFormat="1" hidden="1" outlineLevel="1">
      <c r="B245" s="307" t="s">
        <v>58</v>
      </c>
      <c r="C245" s="307"/>
      <c r="D245" s="307" t="s">
        <v>50</v>
      </c>
      <c r="E245" s="312"/>
      <c r="F245" s="348"/>
      <c r="G245" s="348">
        <f>-96.63/100</f>
        <v>-0.96629999999999994</v>
      </c>
      <c r="H245" s="348">
        <f>294.21/100</f>
        <v>2.9420999999999999</v>
      </c>
      <c r="I245" s="348">
        <f>651.72/100</f>
        <v>6.5171999999999999</v>
      </c>
      <c r="J245" s="349"/>
      <c r="K245" s="349"/>
      <c r="L245" s="349"/>
      <c r="M245" s="349"/>
      <c r="N245" s="1519"/>
      <c r="O245" s="349"/>
      <c r="P245" s="349"/>
      <c r="Q245" s="867"/>
      <c r="R245" s="867"/>
      <c r="S245" s="867"/>
      <c r="T245" s="943"/>
      <c r="U245" s="789"/>
      <c r="V245" s="867"/>
      <c r="W245" s="867"/>
      <c r="X245" s="867"/>
      <c r="Y245" s="867"/>
      <c r="Z245" s="867"/>
      <c r="AA245" s="867"/>
      <c r="AB245" s="867"/>
      <c r="AC245" s="867"/>
      <c r="AD245" s="867"/>
      <c r="AE245" s="867"/>
      <c r="AF245" s="867"/>
      <c r="AG245" s="867"/>
      <c r="AH245" s="867"/>
      <c r="AI245" s="867"/>
      <c r="AJ245" s="867"/>
      <c r="AK245" s="867"/>
      <c r="AL245" s="867"/>
      <c r="AM245" s="867"/>
      <c r="AN245" s="867"/>
      <c r="AO245" s="867"/>
      <c r="AP245" s="867"/>
      <c r="AQ245" s="867"/>
      <c r="AR245" s="867"/>
      <c r="AS245" s="867"/>
      <c r="AT245" s="867"/>
      <c r="AU245" s="867"/>
      <c r="AV245" s="867"/>
      <c r="AW245" s="867"/>
      <c r="AX245" s="867"/>
      <c r="AY245" s="944"/>
    </row>
    <row r="246" spans="2:81" s="37" customFormat="1" hidden="1" outlineLevel="1">
      <c r="B246" s="336" t="s">
        <v>10</v>
      </c>
      <c r="C246" s="336"/>
      <c r="D246" s="336" t="s">
        <v>9</v>
      </c>
      <c r="E246" s="834"/>
      <c r="F246" s="835"/>
      <c r="G246" s="338">
        <f>+G245/G243</f>
        <v>-2.6382537233969938E-2</v>
      </c>
      <c r="H246" s="338">
        <f>+H245/H243</f>
        <v>7.1960024654398172E-2</v>
      </c>
      <c r="I246" s="338">
        <f>+I245/I243</f>
        <v>0.16059178363034221</v>
      </c>
      <c r="J246" s="850"/>
      <c r="K246" s="850"/>
      <c r="L246" s="850"/>
      <c r="M246" s="850"/>
      <c r="N246" s="1547"/>
      <c r="O246" s="850"/>
      <c r="P246" s="850"/>
      <c r="Q246" s="1482"/>
      <c r="R246" s="1482"/>
      <c r="S246" s="1482"/>
      <c r="T246" s="943"/>
      <c r="U246" s="760"/>
      <c r="V246" s="868"/>
      <c r="W246" s="868"/>
      <c r="X246" s="868"/>
      <c r="Y246" s="868"/>
      <c r="Z246" s="868"/>
      <c r="AA246" s="868"/>
      <c r="AB246" s="868"/>
      <c r="AC246" s="868"/>
      <c r="AD246" s="868"/>
      <c r="AE246" s="868"/>
      <c r="AF246" s="868"/>
      <c r="AG246" s="868"/>
      <c r="AH246" s="868"/>
      <c r="AI246" s="868"/>
      <c r="AJ246" s="868"/>
      <c r="AK246" s="868"/>
      <c r="AL246" s="868"/>
      <c r="AM246" s="868"/>
      <c r="AN246" s="868"/>
      <c r="AO246" s="868"/>
      <c r="AP246" s="868"/>
      <c r="AQ246" s="868"/>
      <c r="AR246" s="868"/>
      <c r="AS246" s="868"/>
      <c r="AT246" s="868"/>
      <c r="AU246" s="868"/>
      <c r="AV246" s="868"/>
      <c r="AW246" s="868"/>
      <c r="AX246" s="868"/>
      <c r="AY246" s="944"/>
    </row>
    <row r="247" spans="2:81" s="37" customFormat="1" hidden="1" outlineLevel="1">
      <c r="B247" s="307" t="s">
        <v>1129</v>
      </c>
      <c r="C247" s="307"/>
      <c r="D247" s="307" t="s">
        <v>100</v>
      </c>
      <c r="E247" s="312"/>
      <c r="F247" s="349"/>
      <c r="G247" s="349"/>
      <c r="H247" s="833">
        <f>+H243/G243-1</f>
        <v>0.11627373622923276</v>
      </c>
      <c r="I247" s="833">
        <f>+I243/H243-1</f>
        <v>-7.4061029418958091E-3</v>
      </c>
      <c r="J247" s="850"/>
      <c r="K247" s="850"/>
      <c r="L247" s="850"/>
      <c r="M247" s="850"/>
      <c r="N247" s="1547"/>
      <c r="O247" s="850"/>
      <c r="P247" s="850"/>
      <c r="Q247" s="1482"/>
      <c r="R247" s="1482"/>
      <c r="S247" s="1482"/>
      <c r="T247" s="943"/>
      <c r="U247" s="756"/>
      <c r="V247" s="756"/>
      <c r="W247" s="756"/>
      <c r="X247" s="756"/>
      <c r="Y247" s="756"/>
      <c r="Z247" s="756"/>
      <c r="AA247" s="756"/>
      <c r="AB247" s="756"/>
      <c r="AC247" s="756"/>
      <c r="AD247" s="756"/>
      <c r="AE247" s="756"/>
      <c r="AF247" s="756"/>
      <c r="AG247" s="756"/>
      <c r="AH247" s="756"/>
      <c r="AI247" s="756"/>
      <c r="AJ247" s="756"/>
      <c r="AK247" s="756"/>
      <c r="AL247" s="756"/>
      <c r="AM247" s="756"/>
      <c r="AN247" s="756"/>
      <c r="AO247" s="756"/>
      <c r="AP247" s="756"/>
      <c r="AQ247" s="756"/>
      <c r="AR247" s="756"/>
      <c r="AS247" s="756"/>
      <c r="AT247" s="756"/>
      <c r="AU247" s="756"/>
      <c r="AV247" s="756"/>
      <c r="AW247" s="756"/>
      <c r="AX247" s="756"/>
      <c r="AY247" s="944"/>
      <c r="AZ247" s="756"/>
      <c r="BA247" s="756"/>
      <c r="BB247" s="756"/>
      <c r="BC247" s="756"/>
      <c r="BD247" s="756"/>
      <c r="BE247" s="756"/>
      <c r="BF247" s="756"/>
      <c r="BG247" s="756"/>
      <c r="BH247" s="756"/>
      <c r="BI247" s="756"/>
      <c r="BJ247" s="756"/>
      <c r="BK247" s="756"/>
      <c r="BL247" s="756"/>
      <c r="BM247" s="756"/>
      <c r="BN247" s="756"/>
      <c r="BO247" s="756"/>
      <c r="BP247" s="756"/>
      <c r="BQ247" s="756"/>
      <c r="BR247" s="756"/>
      <c r="BS247" s="756"/>
      <c r="BT247" s="756"/>
      <c r="BU247" s="756"/>
      <c r="BV247" s="756"/>
      <c r="BW247" s="756"/>
      <c r="BX247" s="756"/>
      <c r="BY247" s="756"/>
      <c r="BZ247" s="756"/>
      <c r="CA247" s="756"/>
      <c r="CB247" s="756"/>
      <c r="CC247" s="756"/>
    </row>
    <row r="248" spans="2:81" hidden="1" outlineLevel="1">
      <c r="B248" s="902" t="s">
        <v>904</v>
      </c>
      <c r="C248" s="902"/>
      <c r="D248" s="902" t="s">
        <v>863</v>
      </c>
      <c r="E248" s="903"/>
      <c r="F248" s="903"/>
      <c r="G248" s="905"/>
      <c r="H248" s="903"/>
      <c r="I248" s="904"/>
      <c r="J248" s="904"/>
      <c r="K248" s="904"/>
      <c r="L248" s="904"/>
      <c r="M248" s="904"/>
      <c r="N248" s="1517"/>
      <c r="O248" s="904"/>
      <c r="P248" s="904"/>
      <c r="Q248" s="904"/>
      <c r="R248" s="904"/>
      <c r="S248" s="904"/>
      <c r="U248" s="1111"/>
      <c r="V248" s="933"/>
      <c r="W248" s="933"/>
      <c r="X248" s="933"/>
      <c r="Y248" s="933"/>
      <c r="Z248" s="933"/>
      <c r="AA248" s="933"/>
      <c r="AB248" s="933"/>
      <c r="AC248" s="933"/>
      <c r="AD248" s="933"/>
      <c r="AE248" s="933"/>
      <c r="AF248" s="933"/>
      <c r="AG248" s="933"/>
      <c r="AH248" s="933"/>
      <c r="AI248" s="933"/>
      <c r="AJ248" s="933"/>
      <c r="AK248" s="933"/>
      <c r="AL248" s="933"/>
      <c r="AM248" s="933"/>
      <c r="AN248" s="933"/>
      <c r="AO248" s="933"/>
      <c r="AP248" s="933"/>
      <c r="AQ248" s="933"/>
      <c r="AR248" s="933"/>
      <c r="AS248" s="933"/>
      <c r="AT248" s="933"/>
      <c r="AU248" s="933"/>
      <c r="AV248" s="933"/>
      <c r="AW248" s="933"/>
      <c r="AX248" s="933"/>
    </row>
    <row r="249" spans="2:81" hidden="1" outlineLevel="1">
      <c r="B249" s="680" t="s">
        <v>1131</v>
      </c>
      <c r="C249" s="680"/>
      <c r="D249" s="758" t="s">
        <v>1139</v>
      </c>
      <c r="E249" s="309"/>
      <c r="F249" s="633"/>
      <c r="G249" s="633">
        <v>60.901000000000003</v>
      </c>
      <c r="H249" s="633">
        <v>74.659000000000006</v>
      </c>
      <c r="I249" s="633">
        <v>72.111000000000004</v>
      </c>
      <c r="J249" s="627"/>
      <c r="K249" s="627"/>
      <c r="L249" s="627"/>
      <c r="M249" s="627"/>
      <c r="N249" s="1539"/>
      <c r="O249" s="627"/>
      <c r="P249" s="627"/>
      <c r="Q249" s="483"/>
      <c r="R249" s="483"/>
      <c r="S249" s="483"/>
      <c r="U249" s="789"/>
      <c r="V249" s="483"/>
      <c r="W249" s="483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</row>
    <row r="250" spans="2:81" hidden="1" outlineLevel="1">
      <c r="B250" s="307" t="s">
        <v>1133</v>
      </c>
      <c r="C250" s="307"/>
      <c r="D250" s="310" t="s">
        <v>1140</v>
      </c>
      <c r="E250" s="309"/>
      <c r="F250" s="633"/>
      <c r="G250" s="633">
        <v>63.344000000000001</v>
      </c>
      <c r="H250" s="633">
        <v>74.950999999999993</v>
      </c>
      <c r="I250" s="633">
        <v>72.363</v>
      </c>
      <c r="J250" s="627"/>
      <c r="K250" s="627"/>
      <c r="L250" s="627"/>
      <c r="M250" s="627"/>
      <c r="N250" s="1539"/>
      <c r="O250" s="627"/>
      <c r="P250" s="627"/>
      <c r="Q250" s="483"/>
      <c r="R250" s="483"/>
      <c r="S250" s="483"/>
      <c r="U250" s="789"/>
    </row>
    <row r="251" spans="2:81" hidden="1" outlineLevel="1">
      <c r="B251" s="39" t="s">
        <v>1135</v>
      </c>
      <c r="D251" s="789" t="s">
        <v>1142</v>
      </c>
      <c r="E251" s="35"/>
      <c r="F251" s="830"/>
      <c r="G251" s="830">
        <v>129.71299999999999</v>
      </c>
      <c r="H251" s="830">
        <v>150.75</v>
      </c>
      <c r="I251" s="830">
        <v>158.98500000000001</v>
      </c>
      <c r="J251" s="831"/>
      <c r="K251" s="831"/>
      <c r="L251" s="831"/>
      <c r="M251" s="831"/>
      <c r="N251" s="1540"/>
      <c r="O251" s="831"/>
      <c r="P251" s="831"/>
      <c r="Q251" s="831"/>
      <c r="R251" s="831"/>
      <c r="S251" s="831"/>
      <c r="U251" s="789"/>
    </row>
    <row r="252" spans="2:81" s="38" customFormat="1" hidden="1" outlineLevel="1">
      <c r="B252" s="336" t="s">
        <v>935</v>
      </c>
      <c r="C252" s="336"/>
      <c r="D252" s="337" t="s">
        <v>929</v>
      </c>
      <c r="E252" s="344"/>
      <c r="F252" s="338"/>
      <c r="G252" s="338">
        <f>+G250/G251</f>
        <v>0.48833964213301678</v>
      </c>
      <c r="H252" s="338">
        <f>+H250/H251</f>
        <v>0.49718739635157544</v>
      </c>
      <c r="I252" s="338">
        <f>+I250/I251</f>
        <v>0.45515614680630245</v>
      </c>
      <c r="J252" s="338"/>
      <c r="K252" s="338"/>
      <c r="L252" s="338"/>
      <c r="M252" s="338"/>
      <c r="N252" s="1520"/>
      <c r="O252" s="338"/>
      <c r="P252" s="338"/>
      <c r="Q252" s="347"/>
      <c r="R252" s="347"/>
      <c r="S252" s="347"/>
      <c r="T252" s="945"/>
      <c r="U252" s="1158"/>
      <c r="V252" s="869"/>
      <c r="W252" s="869"/>
      <c r="X252" s="869"/>
      <c r="Y252" s="869"/>
      <c r="Z252" s="869"/>
      <c r="AA252" s="869"/>
      <c r="AB252" s="869"/>
      <c r="AC252" s="869"/>
      <c r="AD252" s="869"/>
      <c r="AE252" s="869"/>
      <c r="AF252" s="869"/>
      <c r="AG252" s="869"/>
      <c r="AH252" s="869"/>
      <c r="AI252" s="869"/>
      <c r="AJ252" s="869"/>
      <c r="AK252" s="869"/>
      <c r="AL252" s="869"/>
      <c r="AM252" s="869"/>
      <c r="AN252" s="869"/>
      <c r="AO252" s="869"/>
      <c r="AP252" s="869"/>
      <c r="AQ252" s="869"/>
      <c r="AR252" s="869"/>
      <c r="AS252" s="869"/>
      <c r="AT252" s="869"/>
      <c r="AU252" s="869"/>
      <c r="AV252" s="869"/>
      <c r="AW252" s="869"/>
      <c r="AX252" s="869"/>
      <c r="AY252" s="945"/>
    </row>
    <row r="253" spans="2:81" s="38" customFormat="1" hidden="1" outlineLevel="1">
      <c r="B253" s="336"/>
      <c r="C253" s="336"/>
      <c r="D253" s="337"/>
      <c r="E253" s="344"/>
      <c r="F253" s="338"/>
      <c r="G253" s="338"/>
      <c r="H253" s="338"/>
      <c r="I253" s="338"/>
      <c r="J253" s="338"/>
      <c r="K253" s="338"/>
      <c r="L253" s="338"/>
      <c r="M253" s="338"/>
      <c r="N253" s="1520"/>
      <c r="O253" s="338"/>
      <c r="P253" s="338"/>
      <c r="Q253" s="347"/>
      <c r="R253" s="347"/>
      <c r="S253" s="347"/>
      <c r="T253" s="945"/>
      <c r="U253" s="1158"/>
      <c r="V253" s="869"/>
      <c r="W253" s="869"/>
      <c r="X253" s="869"/>
      <c r="Y253" s="869"/>
      <c r="Z253" s="869"/>
      <c r="AA253" s="869"/>
      <c r="AB253" s="869"/>
      <c r="AC253" s="869"/>
      <c r="AD253" s="869"/>
      <c r="AE253" s="869"/>
      <c r="AF253" s="869"/>
      <c r="AG253" s="869"/>
      <c r="AH253" s="869"/>
      <c r="AI253" s="869"/>
      <c r="AJ253" s="869"/>
      <c r="AK253" s="869"/>
      <c r="AL253" s="869"/>
      <c r="AM253" s="869"/>
      <c r="AN253" s="869"/>
      <c r="AO253" s="869"/>
      <c r="AP253" s="869"/>
      <c r="AQ253" s="869"/>
      <c r="AR253" s="869"/>
      <c r="AS253" s="869"/>
      <c r="AT253" s="869"/>
      <c r="AU253" s="869"/>
      <c r="AV253" s="869"/>
      <c r="AW253" s="869"/>
      <c r="AX253" s="869"/>
      <c r="AY253" s="945"/>
    </row>
    <row r="254" spans="2:81" hidden="1" outlineLevel="1">
      <c r="B254" s="307" t="s">
        <v>906</v>
      </c>
      <c r="C254" s="307"/>
      <c r="D254" s="310" t="s">
        <v>864</v>
      </c>
      <c r="E254" s="308"/>
      <c r="F254" s="402"/>
      <c r="G254" s="309">
        <f t="shared" ref="G254:I256" si="246">+G243/G$201*1000</f>
        <v>310.81023743656755</v>
      </c>
      <c r="H254" s="309">
        <f t="shared" si="246"/>
        <v>287.43207047095467</v>
      </c>
      <c r="I254" s="309">
        <f t="shared" si="246"/>
        <v>243.04913398653665</v>
      </c>
      <c r="J254" s="402"/>
      <c r="K254" s="402"/>
      <c r="L254" s="402"/>
      <c r="M254" s="402"/>
      <c r="N254" s="1548"/>
      <c r="O254" s="402"/>
      <c r="P254" s="402"/>
      <c r="Q254" s="63"/>
      <c r="R254" s="63"/>
      <c r="S254" s="63"/>
      <c r="U254" s="789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35"/>
      <c r="AW254" s="35"/>
      <c r="AX254" s="35"/>
    </row>
    <row r="255" spans="2:81" hidden="1" outlineLevel="1">
      <c r="B255" s="307" t="s">
        <v>984</v>
      </c>
      <c r="C255" s="307"/>
      <c r="D255" s="747" t="s">
        <v>865</v>
      </c>
      <c r="E255" s="398"/>
      <c r="F255" s="418"/>
      <c r="G255" s="309">
        <f t="shared" si="246"/>
        <v>319.01020009843683</v>
      </c>
      <c r="H255" s="309">
        <f t="shared" si="246"/>
        <v>266.74845159340003</v>
      </c>
      <c r="I255" s="309">
        <f t="shared" si="246"/>
        <v>204.01744004982868</v>
      </c>
      <c r="J255" s="418"/>
      <c r="K255" s="418"/>
      <c r="L255" s="418"/>
      <c r="M255" s="418"/>
      <c r="N255" s="1549"/>
      <c r="O255" s="418"/>
      <c r="P255" s="418"/>
      <c r="Q255" s="63"/>
      <c r="R255" s="63"/>
      <c r="S255" s="63"/>
      <c r="U255" s="302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35"/>
      <c r="AW255" s="35"/>
      <c r="AX255" s="35"/>
    </row>
    <row r="256" spans="2:81" hidden="1" outlineLevel="1">
      <c r="B256" s="307" t="s">
        <v>1101</v>
      </c>
      <c r="C256" s="307"/>
      <c r="D256" s="310" t="s">
        <v>879</v>
      </c>
      <c r="E256" s="308"/>
      <c r="F256" s="402"/>
      <c r="G256" s="309">
        <f t="shared" si="246"/>
        <v>-8.1999626618692822</v>
      </c>
      <c r="H256" s="309">
        <f t="shared" si="246"/>
        <v>20.683618877554608</v>
      </c>
      <c r="I256" s="309">
        <f t="shared" si="246"/>
        <v>39.031693936707946</v>
      </c>
      <c r="J256" s="402"/>
      <c r="K256" s="402"/>
      <c r="L256" s="402"/>
      <c r="M256" s="402"/>
      <c r="N256" s="1548"/>
      <c r="O256" s="402"/>
      <c r="P256" s="402"/>
      <c r="Q256" s="63"/>
      <c r="R256" s="63"/>
      <c r="S256" s="63"/>
      <c r="U256" s="789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35"/>
      <c r="AW256" s="35"/>
      <c r="AX256" s="35"/>
    </row>
    <row r="257" spans="2:81" hidden="1" outlineLevel="1">
      <c r="D257" s="302"/>
      <c r="U257" s="302"/>
    </row>
    <row r="258" spans="2:81" s="38" customFormat="1" collapsed="1">
      <c r="B258" s="900" t="s">
        <v>207</v>
      </c>
      <c r="C258" s="900"/>
      <c r="D258" s="900" t="s">
        <v>1193</v>
      </c>
      <c r="E258" s="901"/>
      <c r="F258" s="901">
        <f t="shared" ref="F258:P258" si="247">F175</f>
        <v>2017</v>
      </c>
      <c r="G258" s="901">
        <f t="shared" si="247"/>
        <v>2018</v>
      </c>
      <c r="H258" s="901">
        <f t="shared" si="247"/>
        <v>2019</v>
      </c>
      <c r="I258" s="901">
        <f t="shared" si="247"/>
        <v>2020</v>
      </c>
      <c r="J258" s="901">
        <f t="shared" si="247"/>
        <v>2021</v>
      </c>
      <c r="K258" s="901">
        <f t="shared" si="247"/>
        <v>2022</v>
      </c>
      <c r="L258" s="901">
        <f t="shared" si="247"/>
        <v>2023</v>
      </c>
      <c r="M258" s="901">
        <f t="shared" si="247"/>
        <v>2024</v>
      </c>
      <c r="N258" s="1516" t="str">
        <f t="shared" si="247"/>
        <v>2025E</v>
      </c>
      <c r="O258" s="901" t="str">
        <f t="shared" si="247"/>
        <v>2026E</v>
      </c>
      <c r="P258" s="901" t="str">
        <f t="shared" si="247"/>
        <v>2027E</v>
      </c>
      <c r="Q258" s="935"/>
      <c r="R258" s="935"/>
      <c r="S258" s="935"/>
      <c r="T258" s="945"/>
      <c r="U258" s="1157" t="str">
        <f>D258</f>
        <v>其他业务</v>
      </c>
      <c r="V258" s="935" t="str">
        <f t="shared" ref="V258:AE258" si="248">IF(V8="","",V8)</f>
        <v>1H20</v>
      </c>
      <c r="W258" s="935" t="str">
        <f t="shared" si="248"/>
        <v>2H20</v>
      </c>
      <c r="X258" s="935" t="str">
        <f t="shared" si="248"/>
        <v>1H21</v>
      </c>
      <c r="Y258" s="935" t="str">
        <f t="shared" si="248"/>
        <v>2H21</v>
      </c>
      <c r="Z258" s="935" t="str">
        <f t="shared" si="248"/>
        <v>1H22</v>
      </c>
      <c r="AA258" s="935" t="str">
        <f t="shared" si="248"/>
        <v>2H22</v>
      </c>
      <c r="AB258" s="935" t="str">
        <f t="shared" si="248"/>
        <v>1H23</v>
      </c>
      <c r="AC258" s="935" t="str">
        <f t="shared" si="248"/>
        <v>2H23</v>
      </c>
      <c r="AD258" s="935" t="str">
        <f t="shared" si="248"/>
        <v>1H24</v>
      </c>
      <c r="AE258" s="935" t="str">
        <f t="shared" si="248"/>
        <v>2H24</v>
      </c>
      <c r="AF258" s="935"/>
      <c r="AG258" s="935"/>
      <c r="AH258" s="935"/>
      <c r="AI258" s="935"/>
      <c r="AJ258" s="935"/>
      <c r="AK258" s="935"/>
      <c r="AL258" s="935"/>
      <c r="AM258" s="935"/>
      <c r="AN258" s="935"/>
      <c r="AO258" s="935"/>
      <c r="AP258" s="935"/>
      <c r="AQ258" s="935"/>
      <c r="AR258" s="935"/>
      <c r="AS258" s="935"/>
      <c r="AT258" s="935"/>
      <c r="AU258" s="935"/>
      <c r="AV258" s="935"/>
      <c r="AW258" s="935"/>
      <c r="AX258" s="935"/>
      <c r="AY258" s="945"/>
      <c r="AZ258" s="900"/>
      <c r="BA258" s="900"/>
      <c r="BB258" s="900"/>
      <c r="BC258" s="900"/>
      <c r="BD258" s="900"/>
      <c r="BE258" s="900"/>
      <c r="BF258" s="900"/>
      <c r="BG258" s="900"/>
      <c r="BH258" s="900"/>
      <c r="BI258" s="900"/>
      <c r="BJ258" s="900"/>
      <c r="BK258" s="900"/>
      <c r="BL258" s="900"/>
      <c r="BM258" s="900"/>
      <c r="BN258" s="900"/>
      <c r="BO258" s="900"/>
      <c r="BP258" s="900"/>
      <c r="BQ258" s="900"/>
      <c r="BR258" s="900"/>
      <c r="BS258" s="1157"/>
      <c r="BT258" s="1157"/>
      <c r="BU258" s="1157"/>
      <c r="BV258" s="1157"/>
      <c r="BW258" s="1157"/>
      <c r="BX258" s="1157"/>
      <c r="BY258" s="1157"/>
      <c r="BZ258" s="1157"/>
      <c r="CA258" s="1157"/>
      <c r="CB258" s="1157"/>
      <c r="CC258" s="1157"/>
    </row>
    <row r="259" spans="2:81">
      <c r="B259" s="902" t="s">
        <v>903</v>
      </c>
      <c r="C259" s="902"/>
      <c r="D259" s="902" t="s">
        <v>862</v>
      </c>
      <c r="E259" s="903"/>
      <c r="F259" s="903"/>
      <c r="G259" s="903"/>
      <c r="H259" s="903"/>
      <c r="I259" s="903"/>
      <c r="J259" s="903"/>
      <c r="K259" s="903"/>
      <c r="L259" s="903"/>
      <c r="M259" s="903"/>
      <c r="N259" s="1535"/>
      <c r="O259" s="903"/>
      <c r="P259" s="903"/>
      <c r="Q259" s="904"/>
      <c r="R259" s="904"/>
      <c r="S259" s="904"/>
      <c r="U259" s="1111"/>
      <c r="V259" s="933"/>
      <c r="W259" s="933"/>
      <c r="X259" s="933"/>
      <c r="Y259" s="933"/>
      <c r="Z259" s="933"/>
      <c r="AA259" s="933"/>
      <c r="AB259" s="933"/>
      <c r="AC259" s="933"/>
      <c r="AD259" s="933"/>
      <c r="AE259" s="933"/>
      <c r="AF259" s="933"/>
      <c r="AG259" s="933"/>
      <c r="AH259" s="933"/>
      <c r="AI259" s="933"/>
      <c r="AJ259" s="933"/>
      <c r="AK259" s="933"/>
      <c r="AL259" s="933"/>
      <c r="AM259" s="933"/>
      <c r="AN259" s="933"/>
      <c r="AO259" s="933"/>
      <c r="AP259" s="933"/>
      <c r="AQ259" s="933"/>
      <c r="AR259" s="933"/>
      <c r="AS259" s="933"/>
      <c r="AT259" s="933"/>
      <c r="AU259" s="933"/>
      <c r="AV259" s="933"/>
      <c r="AW259" s="933"/>
      <c r="AX259" s="933"/>
    </row>
    <row r="260" spans="2:81" s="37" customFormat="1">
      <c r="B260" s="307" t="s">
        <v>53</v>
      </c>
      <c r="C260" s="307"/>
      <c r="D260" s="307" t="s">
        <v>51</v>
      </c>
      <c r="E260" s="312"/>
      <c r="F260" s="348"/>
      <c r="G260" s="348">
        <f>1635.82/100</f>
        <v>16.3582</v>
      </c>
      <c r="H260" s="348">
        <f>1692.11/100</f>
        <v>16.921099999999999</v>
      </c>
      <c r="I260" s="348">
        <f>2283.94/100</f>
        <v>22.839400000000001</v>
      </c>
      <c r="J260" s="348">
        <f>(7027272.04+1248603.38+5699158.88)/1000000</f>
        <v>13.975034300000001</v>
      </c>
      <c r="K260" s="349">
        <f>K16</f>
        <v>14.057179499999336</v>
      </c>
      <c r="L260" s="349">
        <f>L16</f>
        <v>12.309875430000375</v>
      </c>
      <c r="M260" s="349">
        <f>M16</f>
        <v>17.087686640000356</v>
      </c>
      <c r="N260" s="1519">
        <f>+M260*(1+N264)</f>
        <v>23.719901664905617</v>
      </c>
      <c r="O260" s="349">
        <f>+N260*(1+O264)</f>
        <v>32.926267132949988</v>
      </c>
      <c r="P260" s="349">
        <f>+O260*(1+P264)</f>
        <v>45.705883718497972</v>
      </c>
      <c r="Q260" s="867"/>
      <c r="R260" s="867"/>
      <c r="S260" s="867"/>
      <c r="T260" s="943"/>
      <c r="U260" s="39" t="str">
        <f>+D260</f>
        <v>营业收入</v>
      </c>
      <c r="V260" s="1159">
        <f>10248172.14/1000000</f>
        <v>10.248172140000001</v>
      </c>
      <c r="W260" s="303">
        <f>+I260-V260</f>
        <v>12.59122786</v>
      </c>
      <c r="X260" s="1159">
        <f>9776156.38/1000000</f>
        <v>9.7761563800000015</v>
      </c>
      <c r="Y260" s="303">
        <f>+J260-X260</f>
        <v>4.1988779199999993</v>
      </c>
      <c r="Z260" s="1159">
        <f>3.90512568+0.67567717+2.43161848</f>
        <v>7.0124213299999996</v>
      </c>
      <c r="AA260" s="303">
        <f>K260-Z260</f>
        <v>7.0447581699993362</v>
      </c>
      <c r="AB260" s="1182">
        <f>AB9-AB74-AB177</f>
        <v>5.2116288999988569</v>
      </c>
      <c r="AC260" s="303">
        <f>L260-AB260</f>
        <v>7.0982465300015178</v>
      </c>
      <c r="AD260" s="1182">
        <f>AD9-AD74-AD177</f>
        <v>11.646652100001006</v>
      </c>
      <c r="AE260" s="303">
        <f>M260-AD260</f>
        <v>5.4410345399993503</v>
      </c>
      <c r="AF260" s="303"/>
      <c r="AG260" s="303"/>
      <c r="AH260" s="303"/>
      <c r="AI260" s="303"/>
      <c r="AJ260" s="303"/>
      <c r="AK260" s="303"/>
      <c r="AL260" s="303"/>
      <c r="AM260" s="303"/>
      <c r="AN260" s="303"/>
      <c r="AO260" s="303"/>
      <c r="AP260" s="303"/>
      <c r="AQ260" s="303"/>
      <c r="AR260" s="303"/>
      <c r="AS260" s="303"/>
      <c r="AT260" s="303"/>
      <c r="AU260" s="303"/>
      <c r="AV260" s="303"/>
      <c r="AW260" s="303"/>
      <c r="AX260" s="303"/>
      <c r="AY260" s="944"/>
      <c r="AZ260" s="36" t="str">
        <f>+U260</f>
        <v>营业收入</v>
      </c>
      <c r="BD260" s="854">
        <f>BD9-(402677.7-245921.46)/100</f>
        <v>6.5718274299997574</v>
      </c>
      <c r="BE260" s="854">
        <f>+W260-BD260</f>
        <v>6.0194004300002426</v>
      </c>
      <c r="BF260" s="1173">
        <f t="shared" ref="BF260:BP260" si="249">BF9-BF74-BF177</f>
        <v>4.5748271900001996</v>
      </c>
      <c r="BG260" s="1173">
        <f t="shared" si="249"/>
        <v>5.2013271500001892</v>
      </c>
      <c r="BH260" s="1173">
        <f t="shared" si="249"/>
        <v>1.2177030799991968</v>
      </c>
      <c r="BI260" s="1173">
        <f t="shared" si="249"/>
        <v>2.9811768800001914</v>
      </c>
      <c r="BJ260" s="1173">
        <f t="shared" si="249"/>
        <v>7.3156683299999941</v>
      </c>
      <c r="BK260" s="1173">
        <f t="shared" si="249"/>
        <v>-0.30324699999988525</v>
      </c>
      <c r="BL260" s="1173">
        <f t="shared" si="249"/>
        <v>4.3273940499993842</v>
      </c>
      <c r="BM260" s="1173">
        <f t="shared" si="249"/>
        <v>2.7173641200000702</v>
      </c>
      <c r="BN260" s="1173">
        <f t="shared" si="249"/>
        <v>2.1206470100004964</v>
      </c>
      <c r="BO260" s="1173">
        <f t="shared" si="249"/>
        <v>3.0909818899983748</v>
      </c>
      <c r="BP260" s="1173">
        <f t="shared" si="249"/>
        <v>1.9574410200020225</v>
      </c>
      <c r="BQ260" s="1173">
        <f>AC260-BP260</f>
        <v>5.1408055099994954</v>
      </c>
      <c r="BR260" s="1173">
        <f>BR9-BR74-BR177</f>
        <v>4.5815627900000209</v>
      </c>
      <c r="BS260" s="1173">
        <f>(M260-BR260)/3</f>
        <v>4.1687079500001119</v>
      </c>
      <c r="BT260" s="1173">
        <f>BS260</f>
        <v>4.1687079500001119</v>
      </c>
      <c r="BU260" s="1173">
        <f>BT260</f>
        <v>4.1687079500001119</v>
      </c>
      <c r="BV260" s="1173"/>
      <c r="BW260" s="1173"/>
      <c r="BX260" s="1173"/>
      <c r="BY260" s="1173"/>
      <c r="BZ260" s="1173"/>
      <c r="CA260" s="1173"/>
      <c r="CB260" s="1173"/>
      <c r="CC260" s="1173"/>
    </row>
    <row r="261" spans="2:81" s="37" customFormat="1">
      <c r="B261" s="307" t="s">
        <v>49</v>
      </c>
      <c r="C261" s="307"/>
      <c r="D261" s="307" t="s">
        <v>48</v>
      </c>
      <c r="E261" s="312"/>
      <c r="F261" s="348"/>
      <c r="G261" s="349">
        <f>+G27</f>
        <v>3.9980573099996946</v>
      </c>
      <c r="H261" s="349">
        <f>+H27</f>
        <v>2.8781595500004187</v>
      </c>
      <c r="I261" s="349">
        <f>+I27</f>
        <v>-4.1194010000708658E-2</v>
      </c>
      <c r="J261" s="349">
        <f t="shared" ref="J261:O261" si="250">+J260-J262</f>
        <v>4.1925102900000013</v>
      </c>
      <c r="K261" s="349">
        <f t="shared" si="250"/>
        <v>4.2171538499998018</v>
      </c>
      <c r="L261" s="349">
        <f t="shared" si="250"/>
        <v>3.6929626290001138</v>
      </c>
      <c r="M261" s="349">
        <f>+M260-M262</f>
        <v>5.1263059920001073</v>
      </c>
      <c r="N261" s="1519">
        <f t="shared" si="250"/>
        <v>7.1159704994716861</v>
      </c>
      <c r="O261" s="349">
        <f t="shared" si="250"/>
        <v>9.8778801398849971</v>
      </c>
      <c r="P261" s="349">
        <f>+P260-P262</f>
        <v>13.711765115549394</v>
      </c>
      <c r="Q261" s="867"/>
      <c r="R261" s="867"/>
      <c r="S261" s="867"/>
      <c r="T261" s="943"/>
      <c r="U261" s="789"/>
      <c r="V261" s="867"/>
      <c r="W261" s="867"/>
      <c r="X261" s="867"/>
      <c r="Y261" s="867"/>
      <c r="Z261" s="867"/>
      <c r="AA261" s="867"/>
      <c r="AB261" s="867"/>
      <c r="AC261" s="867"/>
      <c r="AD261" s="867"/>
      <c r="AE261" s="867"/>
      <c r="AF261" s="867"/>
      <c r="AG261" s="867"/>
      <c r="AH261" s="867"/>
      <c r="AI261" s="867"/>
      <c r="AJ261" s="867"/>
      <c r="AK261" s="867"/>
      <c r="AL261" s="867"/>
      <c r="AM261" s="867"/>
      <c r="AN261" s="867"/>
      <c r="AO261" s="867"/>
      <c r="AP261" s="867"/>
      <c r="AQ261" s="867"/>
      <c r="AR261" s="867"/>
      <c r="AS261" s="867"/>
      <c r="AT261" s="867"/>
      <c r="AU261" s="867"/>
      <c r="AV261" s="867"/>
      <c r="AW261" s="867"/>
      <c r="AX261" s="867"/>
      <c r="AY261" s="944"/>
    </row>
    <row r="262" spans="2:81" s="37" customFormat="1">
      <c r="B262" s="307" t="s">
        <v>58</v>
      </c>
      <c r="C262" s="307"/>
      <c r="D262" s="307" t="s">
        <v>50</v>
      </c>
      <c r="E262" s="312"/>
      <c r="F262" s="348"/>
      <c r="G262" s="681">
        <f>+G260-G261</f>
        <v>12.360142690000306</v>
      </c>
      <c r="H262" s="681">
        <f>+H260-H261</f>
        <v>14.04294044999958</v>
      </c>
      <c r="I262" s="681">
        <f>+I260-I261</f>
        <v>22.88059401000071</v>
      </c>
      <c r="J262" s="349">
        <f t="shared" ref="J262:O262" si="251">+J260*J263</f>
        <v>9.7825240099999995</v>
      </c>
      <c r="K262" s="349">
        <f t="shared" si="251"/>
        <v>9.840025649999534</v>
      </c>
      <c r="L262" s="349">
        <f t="shared" si="251"/>
        <v>8.6169128010002609</v>
      </c>
      <c r="M262" s="349">
        <f>+M260*M263</f>
        <v>11.961380648000249</v>
      </c>
      <c r="N262" s="1519">
        <f t="shared" si="251"/>
        <v>16.603931165433931</v>
      </c>
      <c r="O262" s="349">
        <f t="shared" si="251"/>
        <v>23.048386993064991</v>
      </c>
      <c r="P262" s="349">
        <f>+P260*P263</f>
        <v>31.994118602948578</v>
      </c>
      <c r="Q262" s="867"/>
      <c r="R262" s="867"/>
      <c r="S262" s="867"/>
      <c r="T262" s="943"/>
      <c r="U262" s="789"/>
      <c r="V262" s="867"/>
      <c r="W262" s="867"/>
      <c r="X262" s="867"/>
      <c r="Y262" s="867"/>
      <c r="Z262" s="867"/>
      <c r="AA262" s="867"/>
      <c r="AB262" s="867"/>
      <c r="AC262" s="867"/>
      <c r="AD262" s="867"/>
      <c r="AE262" s="867"/>
      <c r="AF262" s="867"/>
      <c r="AG262" s="867"/>
      <c r="AH262" s="867"/>
      <c r="AI262" s="867"/>
      <c r="AJ262" s="867"/>
      <c r="AK262" s="867"/>
      <c r="AL262" s="867"/>
      <c r="AM262" s="867"/>
      <c r="AN262" s="867"/>
      <c r="AO262" s="867"/>
      <c r="AP262" s="867"/>
      <c r="AQ262" s="867"/>
      <c r="AR262" s="867"/>
      <c r="AS262" s="867"/>
      <c r="AT262" s="867"/>
      <c r="AU262" s="867"/>
      <c r="AV262" s="867"/>
      <c r="AW262" s="867"/>
      <c r="AX262" s="867"/>
      <c r="AY262" s="944"/>
    </row>
    <row r="263" spans="2:81" s="37" customFormat="1">
      <c r="B263" s="336" t="s">
        <v>10</v>
      </c>
      <c r="C263" s="336"/>
      <c r="D263" s="336" t="s">
        <v>9</v>
      </c>
      <c r="E263" s="834"/>
      <c r="F263" s="835"/>
      <c r="G263" s="338">
        <f>+G262/G260</f>
        <v>0.75559307808929499</v>
      </c>
      <c r="H263" s="338">
        <f>+H262/H260</f>
        <v>0.82990706573447237</v>
      </c>
      <c r="I263" s="338">
        <f>+I262/I260</f>
        <v>1.0018036380115374</v>
      </c>
      <c r="J263" s="767">
        <v>0.7</v>
      </c>
      <c r="K263" s="767">
        <f t="shared" ref="K263:P263" si="252">+J263</f>
        <v>0.7</v>
      </c>
      <c r="L263" s="767">
        <f t="shared" si="252"/>
        <v>0.7</v>
      </c>
      <c r="M263" s="767">
        <f t="shared" si="252"/>
        <v>0.7</v>
      </c>
      <c r="N263" s="1525">
        <f t="shared" si="252"/>
        <v>0.7</v>
      </c>
      <c r="O263" s="767">
        <f t="shared" si="252"/>
        <v>0.7</v>
      </c>
      <c r="P263" s="767">
        <f t="shared" si="252"/>
        <v>0.7</v>
      </c>
      <c r="Q263" s="1277"/>
      <c r="R263" s="1277"/>
      <c r="S263" s="1277"/>
      <c r="T263" s="943"/>
      <c r="U263" s="760"/>
      <c r="V263" s="868"/>
      <c r="W263" s="868"/>
      <c r="X263" s="868"/>
      <c r="Y263" s="868"/>
      <c r="Z263" s="868"/>
      <c r="AA263" s="868"/>
      <c r="AB263" s="868"/>
      <c r="AC263" s="868"/>
      <c r="AD263" s="868"/>
      <c r="AE263" s="868"/>
      <c r="AF263" s="868"/>
      <c r="AG263" s="868"/>
      <c r="AH263" s="868"/>
      <c r="AI263" s="868"/>
      <c r="AJ263" s="868"/>
      <c r="AK263" s="868"/>
      <c r="AL263" s="868"/>
      <c r="AM263" s="868"/>
      <c r="AN263" s="868"/>
      <c r="AO263" s="868"/>
      <c r="AP263" s="868"/>
      <c r="AQ263" s="868"/>
      <c r="AR263" s="868"/>
      <c r="AS263" s="868"/>
      <c r="AT263" s="868"/>
      <c r="AU263" s="868"/>
      <c r="AV263" s="868"/>
      <c r="AW263" s="868"/>
      <c r="AX263" s="868"/>
      <c r="AY263" s="944"/>
    </row>
    <row r="264" spans="2:81" s="37" customFormat="1">
      <c r="B264" s="307" t="s">
        <v>1129</v>
      </c>
      <c r="C264" s="307"/>
      <c r="D264" s="307" t="s">
        <v>100</v>
      </c>
      <c r="E264" s="312"/>
      <c r="F264" s="349"/>
      <c r="G264" s="349"/>
      <c r="H264" s="833">
        <f t="shared" ref="H264:M264" si="253">+H260/G260-1</f>
        <v>3.4410876502304566E-2</v>
      </c>
      <c r="I264" s="833">
        <f t="shared" si="253"/>
        <v>0.34975858543475313</v>
      </c>
      <c r="J264" s="833">
        <f t="shared" si="253"/>
        <v>-0.38811727541003704</v>
      </c>
      <c r="K264" s="833">
        <f t="shared" si="253"/>
        <v>5.8779963065518359E-3</v>
      </c>
      <c r="L264" s="833">
        <f t="shared" si="253"/>
        <v>-0.12429976226731998</v>
      </c>
      <c r="M264" s="833">
        <f t="shared" si="253"/>
        <v>0.38812831512136881</v>
      </c>
      <c r="N264" s="1547">
        <f>+M264</f>
        <v>0.38812831512136881</v>
      </c>
      <c r="O264" s="850">
        <f>+N264</f>
        <v>0.38812831512136881</v>
      </c>
      <c r="P264" s="850">
        <f>+O264</f>
        <v>0.38812831512136881</v>
      </c>
      <c r="Q264" s="1482"/>
      <c r="R264" s="1482"/>
      <c r="S264" s="1482"/>
      <c r="T264" s="943"/>
      <c r="U264" s="756"/>
      <c r="V264" s="756"/>
      <c r="W264" s="756"/>
      <c r="X264" s="756"/>
      <c r="Y264" s="756"/>
      <c r="Z264" s="756"/>
      <c r="AA264" s="756"/>
      <c r="AB264" s="756"/>
      <c r="AC264" s="756"/>
      <c r="AD264" s="756"/>
      <c r="AE264" s="756"/>
      <c r="AF264" s="756"/>
      <c r="AG264" s="756"/>
      <c r="AH264" s="756"/>
      <c r="AI264" s="756"/>
      <c r="AJ264" s="756"/>
      <c r="AK264" s="756"/>
      <c r="AL264" s="756"/>
      <c r="AM264" s="756"/>
      <c r="AN264" s="756"/>
      <c r="AO264" s="756"/>
      <c r="AP264" s="756"/>
      <c r="AQ264" s="756"/>
      <c r="AR264" s="756"/>
      <c r="AS264" s="756"/>
      <c r="AT264" s="756"/>
      <c r="AU264" s="756"/>
      <c r="AV264" s="756"/>
      <c r="AW264" s="756"/>
      <c r="AX264" s="756"/>
      <c r="AY264" s="944"/>
      <c r="AZ264" s="756"/>
      <c r="BA264" s="756"/>
      <c r="BB264" s="756"/>
      <c r="BC264" s="756"/>
      <c r="BD264" s="756"/>
      <c r="BE264" s="756"/>
      <c r="BF264" s="756"/>
      <c r="BG264" s="756"/>
      <c r="BH264" s="1178"/>
      <c r="BI264" s="1178"/>
      <c r="BJ264" s="1178"/>
      <c r="BK264" s="1178"/>
      <c r="BL264" s="1178"/>
      <c r="BM264" s="1178"/>
      <c r="BN264" s="1178"/>
      <c r="BO264" s="1178"/>
      <c r="BP264" s="1178"/>
      <c r="BQ264" s="1178"/>
      <c r="BR264" s="1178"/>
      <c r="BS264" s="1178"/>
      <c r="BT264" s="1178"/>
      <c r="BU264" s="1178"/>
      <c r="BV264" s="1178"/>
      <c r="BW264" s="1178"/>
      <c r="BX264" s="1178"/>
      <c r="BY264" s="1178"/>
      <c r="BZ264" s="1178"/>
      <c r="CA264" s="1178"/>
      <c r="CB264" s="1178"/>
      <c r="CC264" s="1178"/>
    </row>
    <row r="265" spans="2:81">
      <c r="F265" s="596"/>
      <c r="G265" s="596"/>
      <c r="H265" s="596"/>
      <c r="I265" s="596"/>
      <c r="J265" s="751"/>
    </row>
    <row r="266" spans="2:81" s="412" customFormat="1" ht="22.5">
      <c r="B266" s="906" t="s">
        <v>1516</v>
      </c>
      <c r="C266" s="906"/>
      <c r="D266" s="906"/>
      <c r="E266" s="907"/>
      <c r="F266" s="907"/>
      <c r="G266" s="908"/>
      <c r="H266" s="908"/>
      <c r="I266" s="908"/>
      <c r="J266" s="908"/>
      <c r="K266" s="909"/>
      <c r="L266" s="909"/>
      <c r="M266" s="909"/>
      <c r="N266" s="1557"/>
      <c r="O266" s="909"/>
      <c r="P266" s="909"/>
      <c r="Q266" s="909"/>
      <c r="R266" s="909"/>
      <c r="S266" s="909"/>
      <c r="T266" s="953"/>
      <c r="U266" s="1161"/>
      <c r="V266" s="936"/>
      <c r="W266" s="936"/>
      <c r="X266" s="936"/>
      <c r="Y266" s="936"/>
      <c r="Z266" s="936"/>
      <c r="AA266" s="936"/>
      <c r="AB266" s="936"/>
      <c r="AC266" s="936"/>
      <c r="AD266" s="936"/>
      <c r="AE266" s="936"/>
      <c r="AF266" s="936"/>
      <c r="AG266" s="936"/>
      <c r="AH266" s="936"/>
      <c r="AI266" s="936"/>
      <c r="AJ266" s="936"/>
      <c r="AK266" s="936"/>
      <c r="AL266" s="936"/>
      <c r="AM266" s="936"/>
      <c r="AN266" s="936"/>
      <c r="AO266" s="936"/>
      <c r="AP266" s="936"/>
      <c r="AQ266" s="936"/>
      <c r="AR266" s="936"/>
      <c r="AS266" s="936"/>
      <c r="AT266" s="936"/>
      <c r="AU266" s="936"/>
      <c r="AV266" s="936"/>
      <c r="AW266" s="936"/>
      <c r="AX266" s="936"/>
      <c r="AY266" s="953"/>
    </row>
    <row r="267" spans="2:81" s="37" customFormat="1">
      <c r="B267" s="829" t="s">
        <v>1686</v>
      </c>
      <c r="C267" s="1168"/>
      <c r="D267" s="1354"/>
      <c r="E267" s="790"/>
      <c r="F267" s="1246"/>
      <c r="G267" s="1355"/>
      <c r="H267" s="1356">
        <v>1</v>
      </c>
      <c r="I267" s="1356">
        <v>1.2</v>
      </c>
      <c r="J267" s="1356">
        <v>2.09</v>
      </c>
      <c r="K267" s="1356">
        <v>3</v>
      </c>
      <c r="L267" s="1356">
        <v>3.4</v>
      </c>
      <c r="M267" s="2187">
        <v>4</v>
      </c>
      <c r="N267" s="2107">
        <v>4.3</v>
      </c>
      <c r="O267" s="1619">
        <v>4.5999999999999996</v>
      </c>
      <c r="P267" s="1619">
        <f>O267+0.1</f>
        <v>4.6999999999999993</v>
      </c>
      <c r="Q267" s="1202"/>
      <c r="R267" s="1202"/>
      <c r="S267" s="1202"/>
      <c r="T267" s="947"/>
      <c r="U267" s="789"/>
      <c r="V267" s="1248"/>
      <c r="W267" s="1248"/>
      <c r="X267" s="1248"/>
      <c r="Y267" s="1248"/>
      <c r="Z267" s="1248"/>
      <c r="AA267" s="1248"/>
      <c r="AB267" s="1248"/>
      <c r="AC267" s="1248"/>
      <c r="AD267" s="1248"/>
      <c r="AE267" s="1248"/>
      <c r="AF267" s="1248"/>
      <c r="AG267" s="1248"/>
      <c r="AH267" s="1248"/>
      <c r="AI267" s="1248"/>
      <c r="AJ267" s="1248"/>
      <c r="AK267" s="1248"/>
      <c r="AL267" s="1248"/>
      <c r="AM267" s="1248"/>
      <c r="AN267" s="1248"/>
      <c r="AO267" s="1248"/>
      <c r="AP267" s="1248"/>
      <c r="AQ267" s="1248"/>
      <c r="AR267" s="1248"/>
      <c r="AS267" s="1248"/>
      <c r="AT267" s="1248"/>
      <c r="AU267" s="1248"/>
      <c r="AV267" s="1248"/>
      <c r="AW267" s="1248"/>
      <c r="AX267" s="1248"/>
      <c r="AY267" s="947"/>
      <c r="AZ267" s="1248"/>
      <c r="BA267" s="1248"/>
      <c r="BB267" s="1248"/>
      <c r="BC267" s="1248"/>
      <c r="BD267" s="1248"/>
      <c r="BE267" s="1248"/>
      <c r="BF267" s="1248"/>
      <c r="BG267" s="1248"/>
      <c r="BH267" s="1248"/>
      <c r="BI267" s="1248"/>
      <c r="BJ267" s="1248"/>
      <c r="BK267" s="1248"/>
      <c r="BL267" s="1248"/>
      <c r="BM267" s="1248"/>
      <c r="BN267" s="1248"/>
      <c r="BO267" s="1248"/>
      <c r="BP267" s="1248"/>
      <c r="BQ267" s="1248"/>
      <c r="BR267" s="1248"/>
      <c r="BS267" s="1248"/>
      <c r="BT267" s="1248"/>
      <c r="BU267" s="1248"/>
      <c r="BV267" s="1248"/>
      <c r="BW267" s="1248"/>
      <c r="BX267" s="1248"/>
      <c r="BY267" s="1248"/>
      <c r="BZ267" s="1248"/>
      <c r="CA267" s="1248"/>
      <c r="CB267" s="1248"/>
      <c r="CC267" s="1248"/>
    </row>
    <row r="268" spans="2:81">
      <c r="B268" s="680" t="s">
        <v>1056</v>
      </c>
      <c r="C268" s="343"/>
      <c r="D268" s="741"/>
      <c r="E268" s="1630"/>
      <c r="F268" s="309"/>
      <c r="G268" s="35"/>
      <c r="H268" s="35"/>
      <c r="I268" s="1179">
        <f t="shared" ref="I268:O268" si="254">I267/H267-1</f>
        <v>0.19999999999999996</v>
      </c>
      <c r="J268" s="1179">
        <f t="shared" si="254"/>
        <v>0.7416666666666667</v>
      </c>
      <c r="K268" s="1179">
        <f t="shared" si="254"/>
        <v>0.43540669856459346</v>
      </c>
      <c r="L268" s="1179">
        <f t="shared" si="254"/>
        <v>0.1333333333333333</v>
      </c>
      <c r="M268" s="1179">
        <f t="shared" si="254"/>
        <v>0.17647058823529416</v>
      </c>
      <c r="N268" s="2108">
        <f t="shared" si="254"/>
        <v>7.4999999999999956E-2</v>
      </c>
      <c r="O268" s="1179">
        <f t="shared" si="254"/>
        <v>6.9767441860465018E-2</v>
      </c>
      <c r="P268" s="1179">
        <f>P267/O267-1</f>
        <v>2.1739130434782483E-2</v>
      </c>
      <c r="Q268" s="630"/>
      <c r="R268" s="630"/>
      <c r="S268" s="630"/>
      <c r="U268" s="789"/>
      <c r="V268" s="596"/>
      <c r="W268" s="596"/>
      <c r="X268" s="596"/>
      <c r="Y268" s="596"/>
      <c r="Z268" s="596"/>
      <c r="AA268" s="596"/>
      <c r="AB268" s="596"/>
      <c r="AC268" s="596"/>
      <c r="AD268" s="596"/>
      <c r="AE268" s="596"/>
      <c r="AF268" s="596"/>
      <c r="AG268" s="596"/>
      <c r="AH268" s="596"/>
      <c r="AI268" s="596"/>
      <c r="AJ268" s="596"/>
      <c r="AK268" s="596"/>
      <c r="AL268" s="596"/>
      <c r="AM268" s="596"/>
      <c r="AN268" s="596"/>
      <c r="AO268" s="596"/>
      <c r="AP268" s="596"/>
      <c r="AQ268" s="596"/>
      <c r="AR268" s="596"/>
      <c r="AS268" s="596"/>
      <c r="AT268" s="596"/>
      <c r="AU268" s="596"/>
      <c r="AV268" s="596"/>
      <c r="AW268" s="596"/>
      <c r="AX268" s="596"/>
      <c r="AZ268" s="596"/>
      <c r="BA268" s="596"/>
      <c r="BB268" s="596"/>
      <c r="BC268" s="596"/>
      <c r="BD268" s="596"/>
      <c r="BE268" s="596"/>
      <c r="BF268" s="596"/>
      <c r="BG268" s="596"/>
      <c r="BH268" s="596"/>
      <c r="BI268" s="596"/>
      <c r="BJ268" s="596"/>
      <c r="BK268" s="596"/>
      <c r="BL268" s="596"/>
      <c r="BM268" s="596"/>
      <c r="BN268" s="596"/>
      <c r="BO268" s="596"/>
      <c r="BP268" s="596"/>
      <c r="BQ268" s="596"/>
      <c r="BR268" s="596"/>
      <c r="BS268" s="596"/>
      <c r="BT268" s="596"/>
      <c r="BU268" s="596"/>
      <c r="BV268" s="596"/>
      <c r="BW268" s="596"/>
      <c r="BX268" s="596"/>
      <c r="BY268" s="596"/>
      <c r="BZ268" s="596"/>
      <c r="CA268" s="596"/>
      <c r="CB268" s="596"/>
      <c r="CC268" s="596"/>
    </row>
    <row r="269" spans="2:81">
      <c r="B269" s="680" t="s">
        <v>1523</v>
      </c>
      <c r="C269" s="343"/>
      <c r="D269" s="741"/>
      <c r="E269" s="1630"/>
      <c r="F269" s="309"/>
      <c r="G269" s="35"/>
      <c r="H269" s="35"/>
      <c r="I269" s="749">
        <f t="shared" ref="I269:P269" si="255">I267-H267</f>
        <v>0.19999999999999996</v>
      </c>
      <c r="J269" s="749">
        <f t="shared" si="255"/>
        <v>0.8899999999999999</v>
      </c>
      <c r="K269" s="749">
        <f t="shared" si="255"/>
        <v>0.91000000000000014</v>
      </c>
      <c r="L269" s="749">
        <f t="shared" si="255"/>
        <v>0.39999999999999991</v>
      </c>
      <c r="M269" s="749">
        <f t="shared" si="255"/>
        <v>0.60000000000000009</v>
      </c>
      <c r="N269" s="2109">
        <f t="shared" si="255"/>
        <v>0.29999999999999982</v>
      </c>
      <c r="O269" s="749">
        <f t="shared" si="255"/>
        <v>0.29999999999999982</v>
      </c>
      <c r="P269" s="749">
        <f t="shared" si="255"/>
        <v>9.9999999999999645E-2</v>
      </c>
      <c r="Q269" s="630"/>
      <c r="R269" s="630"/>
      <c r="S269" s="630"/>
      <c r="U269" s="789"/>
      <c r="V269" s="596"/>
      <c r="W269" s="596"/>
      <c r="X269" s="596"/>
      <c r="Y269" s="596"/>
      <c r="Z269" s="596"/>
      <c r="AA269" s="596"/>
      <c r="AB269" s="596"/>
      <c r="AC269" s="596"/>
      <c r="AD269" s="596"/>
      <c r="AE269" s="596"/>
      <c r="AF269" s="596"/>
      <c r="AG269" s="596"/>
      <c r="AH269" s="596"/>
      <c r="AI269" s="596"/>
      <c r="AJ269" s="596"/>
      <c r="AK269" s="596"/>
      <c r="AL269" s="596"/>
      <c r="AM269" s="596"/>
      <c r="AN269" s="596"/>
      <c r="AO269" s="596"/>
      <c r="AP269" s="596"/>
      <c r="AQ269" s="596"/>
      <c r="AR269" s="596"/>
      <c r="AS269" s="596"/>
      <c r="AT269" s="596"/>
      <c r="AU269" s="596"/>
      <c r="AV269" s="596"/>
      <c r="AW269" s="596"/>
      <c r="AX269" s="596"/>
      <c r="AZ269" s="596"/>
      <c r="BA269" s="596"/>
      <c r="BB269" s="596"/>
      <c r="BC269" s="596"/>
      <c r="BD269" s="596"/>
      <c r="BE269" s="596"/>
      <c r="BF269" s="596"/>
      <c r="BG269" s="596"/>
      <c r="BH269" s="596"/>
      <c r="BI269" s="596"/>
      <c r="BJ269" s="596"/>
      <c r="BK269" s="596"/>
      <c r="BL269" s="596"/>
      <c r="BM269" s="596"/>
      <c r="BN269" s="596"/>
      <c r="BO269" s="596"/>
      <c r="BP269" s="596"/>
      <c r="BQ269" s="596"/>
      <c r="BR269" s="596"/>
      <c r="BS269" s="596"/>
      <c r="BT269" s="596"/>
      <c r="BU269" s="596"/>
      <c r="BV269" s="596"/>
      <c r="BW269" s="596"/>
      <c r="BX269" s="596"/>
      <c r="BY269" s="596"/>
      <c r="BZ269" s="596"/>
      <c r="CA269" s="596"/>
      <c r="CB269" s="596"/>
      <c r="CC269" s="596"/>
    </row>
    <row r="270" spans="2:81">
      <c r="B270" s="680"/>
      <c r="C270" s="343"/>
      <c r="D270" s="741"/>
      <c r="E270" s="1630"/>
      <c r="F270" s="309"/>
      <c r="G270" s="35"/>
      <c r="H270" s="35"/>
      <c r="I270" s="749"/>
      <c r="J270" s="1179"/>
      <c r="K270" s="1179"/>
      <c r="L270" s="1179"/>
      <c r="M270" s="1179"/>
      <c r="N270" s="2108"/>
      <c r="O270" s="1179"/>
      <c r="P270" s="1179"/>
      <c r="Q270" s="630"/>
      <c r="R270" s="630"/>
      <c r="S270" s="630"/>
      <c r="U270" s="789"/>
      <c r="V270" s="596"/>
      <c r="W270" s="596"/>
      <c r="X270" s="596"/>
      <c r="Y270" s="596"/>
      <c r="Z270" s="596"/>
      <c r="AA270" s="596"/>
      <c r="AB270" s="596"/>
      <c r="AC270" s="596"/>
      <c r="AD270" s="596"/>
      <c r="AE270" s="596"/>
      <c r="AF270" s="596"/>
      <c r="AG270" s="596"/>
      <c r="AH270" s="596"/>
      <c r="AI270" s="596"/>
      <c r="AJ270" s="596"/>
      <c r="AK270" s="596"/>
      <c r="AL270" s="596"/>
      <c r="AM270" s="596"/>
      <c r="AN270" s="596"/>
      <c r="AO270" s="596"/>
      <c r="AP270" s="596"/>
      <c r="AQ270" s="596"/>
      <c r="AR270" s="596"/>
      <c r="AS270" s="596"/>
      <c r="AT270" s="596"/>
      <c r="AU270" s="596"/>
      <c r="AV270" s="596"/>
      <c r="AW270" s="596"/>
      <c r="AX270" s="596"/>
      <c r="AZ270" s="596"/>
      <c r="BA270" s="596"/>
      <c r="BB270" s="596"/>
      <c r="BC270" s="596"/>
      <c r="BD270" s="596"/>
      <c r="BE270" s="596"/>
      <c r="BF270" s="596"/>
      <c r="BG270" s="596"/>
      <c r="BH270" s="596"/>
      <c r="BI270" s="596"/>
      <c r="BJ270" s="596"/>
      <c r="BK270" s="596"/>
      <c r="BL270" s="596"/>
      <c r="BM270" s="596"/>
      <c r="BN270" s="596"/>
      <c r="BO270" s="596"/>
      <c r="BP270" s="596"/>
      <c r="BQ270" s="596"/>
      <c r="BR270" s="596"/>
      <c r="BS270" s="596"/>
      <c r="BT270" s="596"/>
      <c r="BU270" s="596"/>
      <c r="BV270" s="596"/>
      <c r="BW270" s="596"/>
      <c r="BX270" s="596"/>
      <c r="BY270" s="596"/>
      <c r="BZ270" s="596"/>
      <c r="CA270" s="596"/>
      <c r="CB270" s="596"/>
      <c r="CC270" s="596"/>
    </row>
    <row r="271" spans="2:81" ht="22.5">
      <c r="B271" s="680" t="s">
        <v>1533</v>
      </c>
      <c r="C271" s="343"/>
      <c r="D271" s="741"/>
      <c r="E271" s="1630"/>
      <c r="F271" s="309"/>
      <c r="G271" s="35"/>
      <c r="H271" s="867">
        <f t="shared" ref="H271:M271" si="256">H267*1000000/H478</f>
        <v>809.06148867313914</v>
      </c>
      <c r="I271" s="867">
        <f t="shared" si="256"/>
        <v>664.45182724252493</v>
      </c>
      <c r="J271" s="867">
        <f t="shared" si="256"/>
        <v>903.97923875432514</v>
      </c>
      <c r="K271" s="867">
        <f t="shared" si="256"/>
        <v>1079.5250089960418</v>
      </c>
      <c r="L271" s="867">
        <f t="shared" si="256"/>
        <v>1140.5568601140558</v>
      </c>
      <c r="M271" s="867">
        <f t="shared" si="256"/>
        <v>1252.7403695584089</v>
      </c>
      <c r="N271" s="2108"/>
      <c r="O271" s="1179"/>
      <c r="P271" s="1179"/>
      <c r="Q271" s="630"/>
      <c r="R271" s="630"/>
      <c r="S271" s="630"/>
      <c r="U271" s="789"/>
      <c r="V271" s="596"/>
      <c r="W271" s="596"/>
      <c r="X271" s="596"/>
      <c r="Y271" s="596"/>
      <c r="Z271" s="596"/>
      <c r="AA271" s="596"/>
      <c r="AB271" s="596"/>
      <c r="AC271" s="596"/>
      <c r="AD271" s="596"/>
      <c r="AE271" s="596"/>
      <c r="AF271" s="596"/>
      <c r="AG271" s="596"/>
      <c r="AH271" s="596"/>
      <c r="AI271" s="596"/>
      <c r="AJ271" s="596"/>
      <c r="AK271" s="596"/>
      <c r="AL271" s="596"/>
      <c r="AM271" s="596"/>
      <c r="AN271" s="596"/>
      <c r="AO271" s="596"/>
      <c r="AP271" s="596"/>
      <c r="AQ271" s="596"/>
      <c r="AR271" s="596"/>
      <c r="AS271" s="596"/>
      <c r="AT271" s="596"/>
      <c r="AU271" s="596"/>
      <c r="AV271" s="596"/>
      <c r="AW271" s="596"/>
      <c r="AX271" s="596"/>
      <c r="AZ271" s="596"/>
      <c r="BA271" s="596"/>
      <c r="BB271" s="596"/>
      <c r="BC271" s="596"/>
      <c r="BD271" s="596"/>
      <c r="BE271" s="596"/>
      <c r="BF271" s="596"/>
      <c r="BG271" s="596"/>
      <c r="BH271" s="596"/>
      <c r="BI271" s="596"/>
      <c r="BJ271" s="596"/>
      <c r="BK271" s="596"/>
      <c r="BL271" s="596"/>
      <c r="BM271" s="596"/>
      <c r="BN271" s="596"/>
      <c r="BO271" s="596"/>
      <c r="BP271" s="596"/>
      <c r="BQ271" s="596"/>
      <c r="BR271" s="596"/>
      <c r="BS271" s="596"/>
      <c r="BT271" s="596"/>
      <c r="BU271" s="596"/>
      <c r="BV271" s="596"/>
      <c r="BW271" s="596"/>
      <c r="BX271" s="596"/>
      <c r="BY271" s="596"/>
      <c r="BZ271" s="596"/>
      <c r="CA271" s="596"/>
      <c r="CB271" s="596"/>
      <c r="CC271" s="596"/>
    </row>
    <row r="272" spans="2:81">
      <c r="B272" s="680" t="s">
        <v>1056</v>
      </c>
      <c r="C272" s="343"/>
      <c r="D272" s="741"/>
      <c r="E272" s="1630"/>
      <c r="F272" s="309"/>
      <c r="G272" s="35"/>
      <c r="H272" s="35"/>
      <c r="I272" s="1179">
        <f>I271/H271-1</f>
        <v>-0.17873754152823917</v>
      </c>
      <c r="J272" s="1179">
        <f>J271/I271-1</f>
        <v>0.36048875432525929</v>
      </c>
      <c r="K272" s="1179">
        <f>K271/J271-1</f>
        <v>0.19419225875543011</v>
      </c>
      <c r="L272" s="1179">
        <f>L271/K271-1</f>
        <v>5.6535838085653545E-2</v>
      </c>
      <c r="M272" s="1179">
        <f>M271/L271-1</f>
        <v>9.8358541662828536E-2</v>
      </c>
      <c r="N272" s="2108"/>
      <c r="O272" s="1179"/>
      <c r="P272" s="1179"/>
      <c r="Q272" s="630"/>
      <c r="R272" s="630"/>
      <c r="S272" s="630"/>
      <c r="U272" s="789"/>
      <c r="V272" s="596"/>
      <c r="W272" s="596"/>
      <c r="X272" s="596"/>
      <c r="Y272" s="596"/>
      <c r="Z272" s="596"/>
      <c r="AA272" s="596"/>
      <c r="AB272" s="596"/>
      <c r="AC272" s="596"/>
      <c r="AD272" s="596"/>
      <c r="AE272" s="596"/>
      <c r="AF272" s="596"/>
      <c r="AG272" s="596"/>
      <c r="AH272" s="596"/>
      <c r="AI272" s="596"/>
      <c r="AJ272" s="596"/>
      <c r="AK272" s="596"/>
      <c r="AL272" s="596"/>
      <c r="AM272" s="596"/>
      <c r="AN272" s="596"/>
      <c r="AO272" s="596"/>
      <c r="AP272" s="596"/>
      <c r="AQ272" s="596"/>
      <c r="AR272" s="596"/>
      <c r="AS272" s="596"/>
      <c r="AT272" s="596"/>
      <c r="AU272" s="596"/>
      <c r="AV272" s="596"/>
      <c r="AW272" s="596"/>
      <c r="AX272" s="596"/>
      <c r="AZ272" s="596"/>
      <c r="BA272" s="596"/>
      <c r="BB272" s="596"/>
      <c r="BC272" s="596"/>
      <c r="BD272" s="596"/>
      <c r="BE272" s="596"/>
      <c r="BF272" s="596"/>
      <c r="BG272" s="596"/>
      <c r="BH272" s="596"/>
      <c r="BI272" s="596"/>
      <c r="BJ272" s="596"/>
      <c r="BK272" s="596"/>
      <c r="BL272" s="596"/>
      <c r="BM272" s="596"/>
      <c r="BN272" s="596"/>
      <c r="BO272" s="596"/>
      <c r="BP272" s="596"/>
      <c r="BQ272" s="596"/>
      <c r="BR272" s="596"/>
      <c r="BS272" s="596"/>
      <c r="BT272" s="596"/>
      <c r="BU272" s="596"/>
      <c r="BV272" s="596"/>
      <c r="BW272" s="596"/>
      <c r="BX272" s="596"/>
      <c r="BY272" s="596"/>
      <c r="BZ272" s="596"/>
      <c r="CA272" s="596"/>
      <c r="CB272" s="596"/>
      <c r="CC272" s="596"/>
    </row>
    <row r="273" spans="2:81">
      <c r="B273" s="829" t="s">
        <v>1537</v>
      </c>
      <c r="C273" s="1168"/>
      <c r="D273" s="1354"/>
      <c r="E273" s="1629"/>
      <c r="F273" s="313"/>
      <c r="G273" s="494"/>
      <c r="H273" s="756">
        <f t="shared" ref="H273:P273" si="257">H11</f>
        <v>4003.0305000000003</v>
      </c>
      <c r="I273" s="756">
        <f t="shared" si="257"/>
        <v>4655.1538</v>
      </c>
      <c r="J273" s="756">
        <f t="shared" si="257"/>
        <v>6591.89787918</v>
      </c>
      <c r="K273" s="756">
        <f t="shared" si="257"/>
        <v>8172.3068279999998</v>
      </c>
      <c r="L273" s="756">
        <f t="shared" si="257"/>
        <v>10336.009</v>
      </c>
      <c r="M273" s="756">
        <f t="shared" si="257"/>
        <v>13303.58428814</v>
      </c>
      <c r="N273" s="1529">
        <f t="shared" si="257"/>
        <v>15936.363618762907</v>
      </c>
      <c r="O273" s="756">
        <f t="shared" si="257"/>
        <v>18645.5454339526</v>
      </c>
      <c r="P273" s="756">
        <f t="shared" si="257"/>
        <v>21255.921794705966</v>
      </c>
      <c r="Q273" s="630"/>
      <c r="R273" s="630"/>
      <c r="S273" s="630"/>
      <c r="U273" s="789"/>
      <c r="V273" s="596"/>
      <c r="W273" s="596"/>
      <c r="X273" s="596"/>
      <c r="Y273" s="596"/>
      <c r="Z273" s="596"/>
      <c r="AA273" s="596"/>
      <c r="AB273" s="596"/>
      <c r="AC273" s="596"/>
      <c r="AD273" s="596"/>
      <c r="AE273" s="596"/>
      <c r="AF273" s="596"/>
      <c r="AG273" s="596"/>
      <c r="AH273" s="596"/>
      <c r="AI273" s="596"/>
      <c r="AJ273" s="596"/>
      <c r="AK273" s="596"/>
      <c r="AL273" s="596"/>
      <c r="AM273" s="596"/>
      <c r="AN273" s="596"/>
      <c r="AO273" s="596"/>
      <c r="AP273" s="596"/>
      <c r="AQ273" s="596"/>
      <c r="AR273" s="596"/>
      <c r="AS273" s="596"/>
      <c r="AT273" s="596"/>
      <c r="AU273" s="596"/>
      <c r="AV273" s="596"/>
      <c r="AW273" s="596"/>
      <c r="AX273" s="596"/>
      <c r="AZ273" s="596"/>
      <c r="BA273" s="596"/>
      <c r="BB273" s="596"/>
      <c r="BC273" s="596"/>
      <c r="BD273" s="596"/>
      <c r="BE273" s="596"/>
      <c r="BF273" s="596"/>
      <c r="BG273" s="596"/>
      <c r="BH273" s="596"/>
      <c r="BI273" s="596"/>
      <c r="BJ273" s="596"/>
      <c r="BK273" s="596"/>
      <c r="BL273" s="596"/>
      <c r="BM273" s="596"/>
      <c r="BN273" s="596"/>
      <c r="BO273" s="596"/>
      <c r="BP273" s="596"/>
      <c r="BQ273" s="596"/>
      <c r="BR273" s="596"/>
      <c r="BS273" s="596"/>
      <c r="BT273" s="596"/>
      <c r="BU273" s="596"/>
      <c r="BV273" s="596"/>
      <c r="BW273" s="596"/>
      <c r="BX273" s="596"/>
      <c r="BY273" s="596"/>
      <c r="BZ273" s="596"/>
      <c r="CA273" s="596"/>
      <c r="CB273" s="596"/>
      <c r="CC273" s="596"/>
    </row>
    <row r="274" spans="2:81">
      <c r="B274" s="680" t="s">
        <v>1056</v>
      </c>
      <c r="C274" s="36"/>
      <c r="D274" s="36"/>
      <c r="E274" s="36"/>
      <c r="F274" s="36"/>
      <c r="G274" s="36"/>
      <c r="H274" s="36"/>
      <c r="I274" s="1811">
        <f t="shared" ref="I274:P274" si="258">I273/H273-1</f>
        <v>0.16290740227934797</v>
      </c>
      <c r="J274" s="1811">
        <f t="shared" si="258"/>
        <v>0.41604298426831776</v>
      </c>
      <c r="K274" s="1811">
        <f t="shared" si="258"/>
        <v>0.2397502172798518</v>
      </c>
      <c r="L274" s="1295">
        <f t="shared" si="258"/>
        <v>0.26476027118643075</v>
      </c>
      <c r="M274" s="1295">
        <f t="shared" si="258"/>
        <v>0.28711036224329911</v>
      </c>
      <c r="N274" s="2110">
        <f t="shared" si="258"/>
        <v>0.19789999999999996</v>
      </c>
      <c r="O274" s="1811">
        <f t="shared" si="258"/>
        <v>0.16999999999999993</v>
      </c>
      <c r="P274" s="1811">
        <f t="shared" si="258"/>
        <v>0.14000000000000012</v>
      </c>
      <c r="Q274" s="630"/>
      <c r="R274" s="630"/>
      <c r="S274" s="630"/>
      <c r="U274" s="789"/>
      <c r="V274" s="596"/>
      <c r="W274" s="596"/>
      <c r="X274" s="596"/>
      <c r="Y274" s="596"/>
      <c r="Z274" s="596"/>
      <c r="AA274" s="596"/>
      <c r="AB274" s="596"/>
      <c r="AC274" s="596"/>
      <c r="AD274" s="596"/>
      <c r="AE274" s="596"/>
      <c r="AF274" s="596"/>
      <c r="AG274" s="596"/>
      <c r="AH274" s="596"/>
      <c r="AI274" s="596"/>
      <c r="AJ274" s="596"/>
      <c r="AK274" s="596"/>
      <c r="AL274" s="596"/>
      <c r="AM274" s="596"/>
      <c r="AN274" s="596"/>
      <c r="AO274" s="596"/>
      <c r="AP274" s="596"/>
      <c r="AQ274" s="596"/>
      <c r="AR274" s="596"/>
      <c r="AS274" s="596"/>
      <c r="AT274" s="596"/>
      <c r="AU274" s="596"/>
      <c r="AV274" s="596"/>
      <c r="AW274" s="596"/>
      <c r="AX274" s="596"/>
      <c r="AZ274" s="596"/>
      <c r="BA274" s="596"/>
      <c r="BB274" s="596"/>
      <c r="BC274" s="596"/>
      <c r="BD274" s="596"/>
      <c r="BE274" s="596"/>
      <c r="BF274" s="596"/>
      <c r="BG274" s="596"/>
      <c r="BH274" s="596"/>
      <c r="BI274" s="596"/>
      <c r="BJ274" s="596"/>
      <c r="BK274" s="596"/>
      <c r="BL274" s="596"/>
      <c r="BM274" s="596"/>
      <c r="BN274" s="596"/>
      <c r="BO274" s="596"/>
      <c r="BP274" s="596"/>
      <c r="BQ274" s="596"/>
      <c r="BR274" s="596"/>
      <c r="BS274" s="596"/>
      <c r="BT274" s="596"/>
      <c r="BU274" s="596"/>
      <c r="BV274" s="596"/>
      <c r="BW274" s="596"/>
      <c r="BX274" s="596"/>
      <c r="BY274" s="596"/>
      <c r="BZ274" s="596"/>
      <c r="CA274" s="596"/>
      <c r="CB274" s="596"/>
      <c r="CC274" s="596"/>
    </row>
    <row r="275" spans="2:81">
      <c r="B275" s="1631" t="s">
        <v>1679</v>
      </c>
      <c r="C275" s="1168"/>
      <c r="D275" s="1354"/>
      <c r="E275" s="1629"/>
      <c r="F275" s="313"/>
      <c r="G275" s="494"/>
      <c r="H275" s="756">
        <f t="shared" ref="H275:P275" si="259">H273/H267</f>
        <v>4003.0305000000003</v>
      </c>
      <c r="I275" s="756">
        <f t="shared" si="259"/>
        <v>3879.2948333333334</v>
      </c>
      <c r="J275" s="756">
        <f t="shared" si="259"/>
        <v>3154.0181240095694</v>
      </c>
      <c r="K275" s="756">
        <f t="shared" si="259"/>
        <v>2724.1022760000001</v>
      </c>
      <c r="L275" s="756">
        <f t="shared" si="259"/>
        <v>3040.0026470588236</v>
      </c>
      <c r="M275" s="756">
        <f>M273/M267</f>
        <v>3325.8960720350001</v>
      </c>
      <c r="N275" s="1529">
        <f t="shared" si="259"/>
        <v>3706.1310741309089</v>
      </c>
      <c r="O275" s="756">
        <f t="shared" si="259"/>
        <v>4053.3794421636089</v>
      </c>
      <c r="P275" s="756">
        <f t="shared" si="259"/>
        <v>4522.5365520650994</v>
      </c>
      <c r="Q275" s="630"/>
      <c r="R275" s="630"/>
      <c r="S275" s="630"/>
      <c r="U275" s="789"/>
      <c r="V275" s="596"/>
      <c r="W275" s="596"/>
      <c r="X275" s="596"/>
      <c r="Y275" s="596"/>
      <c r="Z275" s="596"/>
      <c r="AA275" s="596"/>
      <c r="AB275" s="596"/>
      <c r="AC275" s="596"/>
      <c r="AD275" s="596"/>
      <c r="AE275" s="596"/>
      <c r="AF275" s="596"/>
      <c r="AG275" s="596"/>
      <c r="AH275" s="596"/>
      <c r="AI275" s="596"/>
      <c r="AJ275" s="596"/>
      <c r="AK275" s="596"/>
      <c r="AL275" s="596"/>
      <c r="AM275" s="596"/>
      <c r="AN275" s="596"/>
      <c r="AO275" s="596"/>
      <c r="AP275" s="596"/>
      <c r="AQ275" s="596"/>
      <c r="AR275" s="596"/>
      <c r="AS275" s="596"/>
      <c r="AT275" s="596"/>
      <c r="AU275" s="596"/>
      <c r="AV275" s="596"/>
      <c r="AW275" s="596"/>
      <c r="AX275" s="596"/>
      <c r="AZ275" s="596"/>
      <c r="BA275" s="596"/>
      <c r="BB275" s="596"/>
      <c r="BC275" s="596"/>
      <c r="BD275" s="596"/>
      <c r="BE275" s="596"/>
      <c r="BF275" s="596"/>
      <c r="BG275" s="596"/>
      <c r="BH275" s="596"/>
      <c r="BI275" s="596"/>
      <c r="BJ275" s="596"/>
      <c r="BK275" s="596"/>
      <c r="BL275" s="596"/>
      <c r="BM275" s="596"/>
      <c r="BN275" s="596"/>
      <c r="BO275" s="596"/>
      <c r="BP275" s="596"/>
      <c r="BQ275" s="596"/>
      <c r="BR275" s="596"/>
      <c r="BS275" s="596"/>
      <c r="BT275" s="596"/>
      <c r="BU275" s="596"/>
      <c r="BV275" s="596"/>
      <c r="BW275" s="596"/>
      <c r="BX275" s="596"/>
      <c r="BY275" s="596"/>
      <c r="BZ275" s="596"/>
      <c r="CA275" s="596"/>
      <c r="CB275" s="596"/>
      <c r="CC275" s="596"/>
    </row>
    <row r="276" spans="2:81">
      <c r="B276" s="680" t="s">
        <v>1056</v>
      </c>
      <c r="C276" s="36"/>
      <c r="D276" s="36"/>
      <c r="E276" s="36"/>
      <c r="F276" s="36"/>
      <c r="G276" s="36"/>
      <c r="H276" s="36"/>
      <c r="I276" s="1811">
        <f>I275/H275-1</f>
        <v>-3.091049810054336E-2</v>
      </c>
      <c r="J276" s="1811">
        <f t="shared" ref="J276:P276" si="260">J275/I275-1</f>
        <v>-0.18696096597034384</v>
      </c>
      <c r="K276" s="1811">
        <f t="shared" si="260"/>
        <v>-0.1363073486283698</v>
      </c>
      <c r="L276" s="1295">
        <f t="shared" si="260"/>
        <v>0.11596494516449773</v>
      </c>
      <c r="M276" s="1295">
        <f t="shared" si="260"/>
        <v>9.4043807906804222E-2</v>
      </c>
      <c r="N276" s="2110">
        <f t="shared" si="260"/>
        <v>0.11432558139534899</v>
      </c>
      <c r="O276" s="1811">
        <f t="shared" si="260"/>
        <v>9.3695652173912958E-2</v>
      </c>
      <c r="P276" s="1811">
        <f t="shared" si="260"/>
        <v>0.11574468085106382</v>
      </c>
      <c r="Q276" s="630"/>
      <c r="R276" s="630"/>
      <c r="S276" s="630"/>
      <c r="U276" s="789"/>
      <c r="V276" s="596"/>
      <c r="W276" s="596"/>
      <c r="X276" s="596"/>
      <c r="Y276" s="596"/>
      <c r="Z276" s="596"/>
      <c r="AA276" s="596"/>
      <c r="AB276" s="596"/>
      <c r="AC276" s="596"/>
      <c r="AD276" s="596"/>
      <c r="AE276" s="596"/>
      <c r="AF276" s="596"/>
      <c r="AG276" s="596"/>
      <c r="AH276" s="596"/>
      <c r="AI276" s="596"/>
      <c r="AJ276" s="596"/>
      <c r="AK276" s="596"/>
      <c r="AL276" s="596"/>
      <c r="AM276" s="596"/>
      <c r="AN276" s="596"/>
      <c r="AO276" s="596"/>
      <c r="AP276" s="596"/>
      <c r="AQ276" s="596"/>
      <c r="AR276" s="596"/>
      <c r="AS276" s="596"/>
      <c r="AT276" s="596"/>
      <c r="AU276" s="596"/>
      <c r="AV276" s="596"/>
      <c r="AW276" s="596"/>
      <c r="AX276" s="596"/>
      <c r="AZ276" s="596"/>
      <c r="BA276" s="596"/>
      <c r="BB276" s="596"/>
      <c r="BC276" s="596"/>
      <c r="BD276" s="596"/>
      <c r="BE276" s="596"/>
      <c r="BF276" s="596"/>
      <c r="BG276" s="596"/>
      <c r="BH276" s="596"/>
      <c r="BI276" s="596"/>
      <c r="BJ276" s="596"/>
      <c r="BK276" s="596"/>
      <c r="BL276" s="596"/>
      <c r="BM276" s="596"/>
      <c r="BN276" s="596"/>
      <c r="BO276" s="596"/>
      <c r="BP276" s="596"/>
      <c r="BQ276" s="596"/>
      <c r="BR276" s="596"/>
      <c r="BS276" s="596"/>
      <c r="BT276" s="596"/>
      <c r="BU276" s="596"/>
      <c r="BV276" s="596"/>
      <c r="BW276" s="596"/>
      <c r="BX276" s="596"/>
      <c r="BY276" s="596"/>
      <c r="BZ276" s="596"/>
      <c r="CA276" s="596"/>
      <c r="CB276" s="596"/>
      <c r="CC276" s="596"/>
    </row>
    <row r="277" spans="2:81" hidden="1" outlineLevel="1">
      <c r="B277" s="680" t="s">
        <v>1524</v>
      </c>
      <c r="C277" s="343"/>
      <c r="D277" s="741"/>
      <c r="E277" s="1630"/>
      <c r="F277" s="309"/>
      <c r="G277" s="35"/>
      <c r="H277" s="35"/>
      <c r="I277" s="749"/>
      <c r="J277" s="1179"/>
      <c r="K277" s="1179"/>
      <c r="L277" s="1179"/>
      <c r="M277" s="1179"/>
      <c r="N277" s="2108"/>
      <c r="O277" s="1179"/>
      <c r="P277" s="1179"/>
      <c r="Q277" s="630"/>
      <c r="R277" s="630"/>
      <c r="S277" s="630"/>
      <c r="U277" s="789"/>
      <c r="V277" s="596"/>
      <c r="W277" s="596"/>
      <c r="X277" s="596"/>
      <c r="Y277" s="596"/>
      <c r="Z277" s="596"/>
      <c r="AA277" s="596"/>
      <c r="AB277" s="596"/>
      <c r="AC277" s="596"/>
      <c r="AD277" s="596"/>
      <c r="AE277" s="596"/>
      <c r="AF277" s="596"/>
      <c r="AG277" s="596"/>
      <c r="AH277" s="596"/>
      <c r="AI277" s="596"/>
      <c r="AJ277" s="596"/>
      <c r="AK277" s="596"/>
      <c r="AL277" s="596"/>
      <c r="AM277" s="596"/>
      <c r="AN277" s="596"/>
      <c r="AO277" s="596"/>
      <c r="AP277" s="596"/>
      <c r="AQ277" s="596"/>
      <c r="AR277" s="596"/>
      <c r="AS277" s="596"/>
      <c r="AT277" s="596"/>
      <c r="AU277" s="596"/>
      <c r="AV277" s="596"/>
      <c r="AW277" s="596"/>
      <c r="AX277" s="596"/>
      <c r="AZ277" s="596"/>
      <c r="BA277" s="596"/>
      <c r="BB277" s="596"/>
      <c r="BC277" s="596"/>
      <c r="BD277" s="596"/>
      <c r="BE277" s="596"/>
      <c r="BF277" s="596"/>
      <c r="BG277" s="596"/>
      <c r="BH277" s="596"/>
      <c r="BI277" s="596"/>
      <c r="BJ277" s="596"/>
      <c r="BK277" s="596"/>
      <c r="BL277" s="596"/>
      <c r="BM277" s="596"/>
      <c r="BN277" s="596"/>
      <c r="BO277" s="596"/>
      <c r="BP277" s="596"/>
      <c r="BQ277" s="596"/>
      <c r="BR277" s="596"/>
      <c r="BS277" s="596"/>
      <c r="BT277" s="596"/>
      <c r="BU277" s="596"/>
      <c r="BV277" s="596"/>
      <c r="BW277" s="596"/>
      <c r="BX277" s="596"/>
      <c r="BY277" s="596"/>
      <c r="BZ277" s="596"/>
      <c r="CA277" s="596"/>
      <c r="CB277" s="596"/>
      <c r="CC277" s="596"/>
    </row>
    <row r="278" spans="2:81" hidden="1" outlineLevel="1">
      <c r="B278" s="1632" t="s">
        <v>1538</v>
      </c>
      <c r="C278" s="343"/>
      <c r="D278" s="741"/>
      <c r="E278" s="1630"/>
      <c r="F278" s="309"/>
      <c r="G278" s="35"/>
      <c r="H278" s="35"/>
      <c r="I278" s="867">
        <f>I280*$I$267</f>
        <v>4655.1538</v>
      </c>
      <c r="J278" s="867">
        <f>J280*$I$267</f>
        <v>5120.6691799999999</v>
      </c>
      <c r="K278" s="867">
        <f>K280*$I$267</f>
        <v>5632.7360980000003</v>
      </c>
      <c r="L278" s="867">
        <f>L280*$I$267</f>
        <v>6196.0097078000008</v>
      </c>
      <c r="M278" s="867">
        <f>M280*$I$267</f>
        <v>6815.6106785800021</v>
      </c>
      <c r="N278" s="2108"/>
      <c r="O278" s="1179"/>
      <c r="P278" s="1179"/>
      <c r="Q278" s="630"/>
      <c r="R278" s="630"/>
      <c r="S278" s="630"/>
      <c r="U278" s="789"/>
      <c r="V278" s="596"/>
      <c r="W278" s="596"/>
      <c r="X278" s="596"/>
      <c r="Y278" s="596"/>
      <c r="Z278" s="596"/>
      <c r="AA278" s="596"/>
      <c r="AB278" s="596"/>
      <c r="AC278" s="596"/>
      <c r="AD278" s="596"/>
      <c r="AE278" s="596"/>
      <c r="AF278" s="596"/>
      <c r="AG278" s="596"/>
      <c r="AH278" s="596"/>
      <c r="AI278" s="596"/>
      <c r="AJ278" s="596"/>
      <c r="AK278" s="596"/>
      <c r="AL278" s="596"/>
      <c r="AM278" s="596"/>
      <c r="AN278" s="596"/>
      <c r="AO278" s="596"/>
      <c r="AP278" s="596"/>
      <c r="AQ278" s="596"/>
      <c r="AR278" s="596"/>
      <c r="AS278" s="596"/>
      <c r="AT278" s="596"/>
      <c r="AU278" s="596"/>
      <c r="AV278" s="596"/>
      <c r="AW278" s="596"/>
      <c r="AX278" s="596"/>
      <c r="AZ278" s="596"/>
      <c r="BA278" s="596"/>
      <c r="BB278" s="596"/>
      <c r="BC278" s="596"/>
      <c r="BD278" s="596"/>
      <c r="BE278" s="596"/>
      <c r="BF278" s="596"/>
      <c r="BG278" s="596"/>
      <c r="BH278" s="596"/>
      <c r="BI278" s="596"/>
      <c r="BJ278" s="596"/>
      <c r="BK278" s="596"/>
      <c r="BL278" s="596"/>
      <c r="BM278" s="596"/>
      <c r="BN278" s="596"/>
      <c r="BO278" s="596"/>
      <c r="BP278" s="596"/>
      <c r="BQ278" s="596"/>
      <c r="BR278" s="596"/>
      <c r="BS278" s="596"/>
      <c r="BT278" s="596"/>
      <c r="BU278" s="596"/>
      <c r="BV278" s="596"/>
      <c r="BW278" s="596"/>
      <c r="BX278" s="596"/>
      <c r="BY278" s="596"/>
      <c r="BZ278" s="596"/>
      <c r="CA278" s="596"/>
      <c r="CB278" s="596"/>
      <c r="CC278" s="596"/>
    </row>
    <row r="279" spans="2:81" hidden="1" outlineLevel="1">
      <c r="B279" s="1632" t="s">
        <v>1535</v>
      </c>
      <c r="C279" s="343"/>
      <c r="D279" s="741"/>
      <c r="E279" s="1630"/>
      <c r="F279" s="309"/>
      <c r="G279" s="35"/>
      <c r="H279" s="35"/>
      <c r="I279" s="1199">
        <f>I278/I273</f>
        <v>1</v>
      </c>
      <c r="J279" s="1199">
        <f>J278/J273</f>
        <v>0.77681257717496466</v>
      </c>
      <c r="K279" s="1199">
        <f>K278/K273</f>
        <v>0.68924677163381709</v>
      </c>
      <c r="L279" s="1199">
        <f>L278/L273</f>
        <v>0.59945862158208263</v>
      </c>
      <c r="M279" s="1199">
        <f>M278/M273</f>
        <v>0.51231386451665095</v>
      </c>
      <c r="N279" s="2108"/>
      <c r="O279" s="1179"/>
      <c r="P279" s="1179"/>
      <c r="Q279" s="630"/>
      <c r="R279" s="630"/>
      <c r="S279" s="630"/>
      <c r="U279" s="789"/>
      <c r="V279" s="596"/>
      <c r="W279" s="596"/>
      <c r="X279" s="596"/>
      <c r="Y279" s="596"/>
      <c r="Z279" s="596"/>
      <c r="AA279" s="596"/>
      <c r="AB279" s="596"/>
      <c r="AC279" s="596"/>
      <c r="AD279" s="596"/>
      <c r="AE279" s="596"/>
      <c r="AF279" s="596"/>
      <c r="AG279" s="596"/>
      <c r="AH279" s="596"/>
      <c r="AI279" s="596"/>
      <c r="AJ279" s="596"/>
      <c r="AK279" s="596"/>
      <c r="AL279" s="596"/>
      <c r="AM279" s="596"/>
      <c r="AN279" s="596"/>
      <c r="AO279" s="596"/>
      <c r="AP279" s="596"/>
      <c r="AQ279" s="596"/>
      <c r="AR279" s="596"/>
      <c r="AS279" s="596"/>
      <c r="AT279" s="596"/>
      <c r="AU279" s="596"/>
      <c r="AV279" s="596"/>
      <c r="AW279" s="596"/>
      <c r="AX279" s="596"/>
      <c r="AZ279" s="596"/>
      <c r="BA279" s="596"/>
      <c r="BB279" s="596"/>
      <c r="BC279" s="596"/>
      <c r="BD279" s="596"/>
      <c r="BE279" s="596"/>
      <c r="BF279" s="596"/>
      <c r="BG279" s="596"/>
      <c r="BH279" s="596"/>
      <c r="BI279" s="596"/>
      <c r="BJ279" s="596"/>
      <c r="BK279" s="596"/>
      <c r="BL279" s="596"/>
      <c r="BM279" s="596"/>
      <c r="BN279" s="596"/>
      <c r="BO279" s="596"/>
      <c r="BP279" s="596"/>
      <c r="BQ279" s="596"/>
      <c r="BR279" s="596"/>
      <c r="BS279" s="596"/>
      <c r="BT279" s="596"/>
      <c r="BU279" s="596"/>
      <c r="BV279" s="596"/>
      <c r="BW279" s="596"/>
      <c r="BX279" s="596"/>
      <c r="BY279" s="596"/>
      <c r="BZ279" s="596"/>
      <c r="CA279" s="596"/>
      <c r="CB279" s="596"/>
      <c r="CC279" s="596"/>
    </row>
    <row r="280" spans="2:81" hidden="1" outlineLevel="1">
      <c r="B280" s="1632" t="s">
        <v>1539</v>
      </c>
      <c r="C280" s="343"/>
      <c r="D280" s="741"/>
      <c r="E280" s="1630"/>
      <c r="F280" s="309"/>
      <c r="G280" s="35"/>
      <c r="H280" s="35"/>
      <c r="I280" s="867">
        <f>I273/I267</f>
        <v>3879.2948333333334</v>
      </c>
      <c r="J280" s="867">
        <f>I280*(1+J281)</f>
        <v>4267.2243166666667</v>
      </c>
      <c r="K280" s="867">
        <f>J280*(1+K281)</f>
        <v>4693.9467483333337</v>
      </c>
      <c r="L280" s="867">
        <f>K280*(1+L281)</f>
        <v>5163.3414231666675</v>
      </c>
      <c r="M280" s="867">
        <f>L280*(1+M281)</f>
        <v>5679.675565483335</v>
      </c>
      <c r="N280" s="2108"/>
      <c r="O280" s="1179"/>
      <c r="P280" s="1179"/>
      <c r="Q280" s="630"/>
      <c r="R280" s="630"/>
      <c r="S280" s="630"/>
      <c r="U280" s="789"/>
      <c r="V280" s="596"/>
      <c r="W280" s="596"/>
      <c r="X280" s="596"/>
      <c r="Y280" s="596"/>
      <c r="Z280" s="596"/>
      <c r="AA280" s="596"/>
      <c r="AB280" s="596"/>
      <c r="AC280" s="596"/>
      <c r="AD280" s="596"/>
      <c r="AE280" s="596"/>
      <c r="AF280" s="596"/>
      <c r="AG280" s="596"/>
      <c r="AH280" s="596"/>
      <c r="AI280" s="596"/>
      <c r="AJ280" s="596"/>
      <c r="AK280" s="596"/>
      <c r="AL280" s="596"/>
      <c r="AM280" s="596"/>
      <c r="AN280" s="596"/>
      <c r="AO280" s="596"/>
      <c r="AP280" s="596"/>
      <c r="AQ280" s="596"/>
      <c r="AR280" s="596"/>
      <c r="AS280" s="596"/>
      <c r="AT280" s="596"/>
      <c r="AU280" s="596"/>
      <c r="AV280" s="596"/>
      <c r="AW280" s="596"/>
      <c r="AX280" s="596"/>
      <c r="AZ280" s="596"/>
      <c r="BA280" s="596"/>
      <c r="BB280" s="596"/>
      <c r="BC280" s="596"/>
      <c r="BD280" s="596"/>
      <c r="BE280" s="596"/>
      <c r="BF280" s="596"/>
      <c r="BG280" s="596"/>
      <c r="BH280" s="596"/>
      <c r="BI280" s="596"/>
      <c r="BJ280" s="596"/>
      <c r="BK280" s="596"/>
      <c r="BL280" s="596"/>
      <c r="BM280" s="596"/>
      <c r="BN280" s="596"/>
      <c r="BO280" s="596"/>
      <c r="BP280" s="596"/>
      <c r="BQ280" s="596"/>
      <c r="BR280" s="596"/>
      <c r="BS280" s="596"/>
      <c r="BT280" s="596"/>
      <c r="BU280" s="596"/>
      <c r="BV280" s="596"/>
      <c r="BW280" s="596"/>
      <c r="BX280" s="596"/>
      <c r="BY280" s="596"/>
      <c r="BZ280" s="596"/>
      <c r="CA280" s="596"/>
      <c r="CB280" s="596"/>
      <c r="CC280" s="596"/>
    </row>
    <row r="281" spans="2:81" hidden="1" outlineLevel="1">
      <c r="B281" s="680" t="s">
        <v>1056</v>
      </c>
      <c r="C281" s="343"/>
      <c r="D281" s="741"/>
      <c r="E281" s="1630"/>
      <c r="F281" s="309"/>
      <c r="G281" s="35"/>
      <c r="H281" s="35"/>
      <c r="I281" s="749"/>
      <c r="J281" s="1635">
        <v>0.1</v>
      </c>
      <c r="K281" s="1635">
        <v>0.1</v>
      </c>
      <c r="L281" s="1635">
        <v>0.1</v>
      </c>
      <c r="M281" s="1635">
        <v>0.1</v>
      </c>
      <c r="N281" s="2108"/>
      <c r="O281" s="1179"/>
      <c r="P281" s="1179"/>
      <c r="Q281" s="630"/>
      <c r="R281" s="630"/>
      <c r="S281" s="630"/>
      <c r="U281" s="789"/>
      <c r="V281" s="596"/>
      <c r="W281" s="596"/>
      <c r="X281" s="596"/>
      <c r="Y281" s="596"/>
      <c r="Z281" s="596"/>
      <c r="AA281" s="596"/>
      <c r="AB281" s="596"/>
      <c r="AC281" s="596"/>
      <c r="AD281" s="596"/>
      <c r="AE281" s="596"/>
      <c r="AF281" s="596"/>
      <c r="AG281" s="596"/>
      <c r="AH281" s="596"/>
      <c r="AI281" s="596"/>
      <c r="AJ281" s="596"/>
      <c r="AK281" s="596"/>
      <c r="AL281" s="596"/>
      <c r="AM281" s="596"/>
      <c r="AN281" s="596"/>
      <c r="AO281" s="596"/>
      <c r="AP281" s="596"/>
      <c r="AQ281" s="596"/>
      <c r="AR281" s="596"/>
      <c r="AS281" s="596"/>
      <c r="AT281" s="596"/>
      <c r="AU281" s="596"/>
      <c r="AV281" s="596"/>
      <c r="AW281" s="596"/>
      <c r="AX281" s="596"/>
      <c r="AZ281" s="596"/>
      <c r="BA281" s="596"/>
      <c r="BB281" s="596"/>
      <c r="BC281" s="596"/>
      <c r="BD281" s="596"/>
      <c r="BE281" s="596"/>
      <c r="BF281" s="596"/>
      <c r="BG281" s="596"/>
      <c r="BH281" s="596"/>
      <c r="BI281" s="596"/>
      <c r="BJ281" s="596"/>
      <c r="BK281" s="596"/>
      <c r="BL281" s="596"/>
      <c r="BM281" s="596"/>
      <c r="BN281" s="596"/>
      <c r="BO281" s="596"/>
      <c r="BP281" s="596"/>
      <c r="BQ281" s="596"/>
      <c r="BR281" s="596"/>
      <c r="BS281" s="596"/>
      <c r="BT281" s="596"/>
      <c r="BU281" s="596"/>
      <c r="BV281" s="596"/>
      <c r="BW281" s="596"/>
      <c r="BX281" s="596"/>
      <c r="BY281" s="596"/>
      <c r="BZ281" s="596"/>
      <c r="CA281" s="596"/>
      <c r="CB281" s="596"/>
      <c r="CC281" s="596"/>
    </row>
    <row r="282" spans="2:81" hidden="1" outlineLevel="1">
      <c r="B282" s="1632"/>
      <c r="C282" s="343"/>
      <c r="D282" s="741"/>
      <c r="E282" s="1630"/>
      <c r="F282" s="309"/>
      <c r="G282" s="35"/>
      <c r="H282" s="35"/>
      <c r="I282" s="867"/>
      <c r="J282" s="867"/>
      <c r="K282" s="867"/>
      <c r="L282" s="867"/>
      <c r="M282" s="867"/>
      <c r="N282" s="2108"/>
      <c r="O282" s="1179"/>
      <c r="P282" s="1179"/>
      <c r="Q282" s="630"/>
      <c r="R282" s="630"/>
      <c r="S282" s="630"/>
      <c r="U282" s="789"/>
      <c r="V282" s="596"/>
      <c r="W282" s="596"/>
      <c r="X282" s="596"/>
      <c r="Y282" s="596"/>
      <c r="Z282" s="596"/>
      <c r="AA282" s="596"/>
      <c r="AB282" s="596"/>
      <c r="AC282" s="596"/>
      <c r="AD282" s="596"/>
      <c r="AE282" s="596"/>
      <c r="AF282" s="596"/>
      <c r="AG282" s="596"/>
      <c r="AH282" s="596"/>
      <c r="AI282" s="596"/>
      <c r="AJ282" s="596"/>
      <c r="AK282" s="596"/>
      <c r="AL282" s="596"/>
      <c r="AM282" s="596"/>
      <c r="AN282" s="596"/>
      <c r="AO282" s="596"/>
      <c r="AP282" s="596"/>
      <c r="AQ282" s="596"/>
      <c r="AR282" s="596"/>
      <c r="AS282" s="596"/>
      <c r="AT282" s="596"/>
      <c r="AU282" s="596"/>
      <c r="AV282" s="596"/>
      <c r="AW282" s="596"/>
      <c r="AX282" s="596"/>
      <c r="AZ282" s="596"/>
      <c r="BA282" s="596"/>
      <c r="BB282" s="596"/>
      <c r="BC282" s="596"/>
      <c r="BD282" s="596"/>
      <c r="BE282" s="596"/>
      <c r="BF282" s="596"/>
      <c r="BG282" s="596"/>
      <c r="BH282" s="596"/>
      <c r="BI282" s="596"/>
      <c r="BJ282" s="596"/>
      <c r="BK282" s="596"/>
      <c r="BL282" s="596"/>
      <c r="BM282" s="596"/>
      <c r="BN282" s="596"/>
      <c r="BO282" s="596"/>
      <c r="BP282" s="596"/>
      <c r="BQ282" s="596"/>
      <c r="BR282" s="596"/>
      <c r="BS282" s="596"/>
      <c r="BT282" s="596"/>
      <c r="BU282" s="596"/>
      <c r="BV282" s="596"/>
      <c r="BW282" s="596"/>
      <c r="BX282" s="596"/>
      <c r="BY282" s="596"/>
      <c r="BZ282" s="596"/>
      <c r="CA282" s="596"/>
      <c r="CB282" s="596"/>
      <c r="CC282" s="596"/>
    </row>
    <row r="283" spans="2:81" hidden="1" outlineLevel="1">
      <c r="B283" s="1632" t="s">
        <v>1540</v>
      </c>
      <c r="C283" s="343"/>
      <c r="D283" s="741"/>
      <c r="E283" s="1630"/>
      <c r="F283" s="309"/>
      <c r="G283" s="35"/>
      <c r="H283" s="35"/>
      <c r="I283" s="749">
        <f>I273-I278</f>
        <v>0</v>
      </c>
      <c r="J283" s="867">
        <f>J273-J278</f>
        <v>1471.2286991800001</v>
      </c>
      <c r="K283" s="867">
        <f>K273-K278</f>
        <v>2539.5707299999995</v>
      </c>
      <c r="L283" s="867">
        <f>L273-L278</f>
        <v>4139.9992921999992</v>
      </c>
      <c r="M283" s="867">
        <f>M273-M278</f>
        <v>6487.9736095599983</v>
      </c>
      <c r="N283" s="2108"/>
      <c r="O283" s="1179"/>
      <c r="P283" s="1179"/>
      <c r="Q283" s="630"/>
      <c r="R283" s="630"/>
      <c r="S283" s="630"/>
      <c r="U283" s="789"/>
      <c r="V283" s="596"/>
      <c r="W283" s="596"/>
      <c r="X283" s="596"/>
      <c r="Y283" s="596"/>
      <c r="Z283" s="596"/>
      <c r="AA283" s="596"/>
      <c r="AB283" s="596"/>
      <c r="AC283" s="596"/>
      <c r="AD283" s="596"/>
      <c r="AE283" s="596"/>
      <c r="AF283" s="596"/>
      <c r="AG283" s="596"/>
      <c r="AH283" s="596"/>
      <c r="AI283" s="596"/>
      <c r="AJ283" s="596"/>
      <c r="AK283" s="596"/>
      <c r="AL283" s="596"/>
      <c r="AM283" s="596"/>
      <c r="AN283" s="596"/>
      <c r="AO283" s="596"/>
      <c r="AP283" s="596"/>
      <c r="AQ283" s="596"/>
      <c r="AR283" s="596"/>
      <c r="AS283" s="596"/>
      <c r="AT283" s="596"/>
      <c r="AU283" s="596"/>
      <c r="AV283" s="596"/>
      <c r="AW283" s="596"/>
      <c r="AX283" s="596"/>
      <c r="AZ283" s="596"/>
      <c r="BA283" s="596"/>
      <c r="BB283" s="596"/>
      <c r="BC283" s="596"/>
      <c r="BD283" s="596"/>
      <c r="BE283" s="596"/>
      <c r="BF283" s="596"/>
      <c r="BG283" s="596"/>
      <c r="BH283" s="596"/>
      <c r="BI283" s="596"/>
      <c r="BJ283" s="596"/>
      <c r="BK283" s="596"/>
      <c r="BL283" s="596"/>
      <c r="BM283" s="596"/>
      <c r="BN283" s="596"/>
      <c r="BO283" s="596"/>
      <c r="BP283" s="596"/>
      <c r="BQ283" s="596"/>
      <c r="BR283" s="596"/>
      <c r="BS283" s="596"/>
      <c r="BT283" s="596"/>
      <c r="BU283" s="596"/>
      <c r="BV283" s="596"/>
      <c r="BW283" s="596"/>
      <c r="BX283" s="596"/>
      <c r="BY283" s="596"/>
      <c r="BZ283" s="596"/>
      <c r="CA283" s="596"/>
      <c r="CB283" s="596"/>
      <c r="CC283" s="596"/>
    </row>
    <row r="284" spans="2:81" hidden="1" outlineLevel="1">
      <c r="B284" s="1632" t="s">
        <v>1535</v>
      </c>
      <c r="C284" s="343"/>
      <c r="D284" s="741"/>
      <c r="E284" s="1630"/>
      <c r="F284" s="309"/>
      <c r="G284" s="35"/>
      <c r="H284" s="35"/>
      <c r="I284" s="1199">
        <f>I283/I273</f>
        <v>0</v>
      </c>
      <c r="J284" s="1199">
        <f>J283/J273</f>
        <v>0.22318742282503531</v>
      </c>
      <c r="K284" s="1199">
        <f>K283/K273</f>
        <v>0.31075322836618285</v>
      </c>
      <c r="L284" s="1199">
        <f>L283/L273</f>
        <v>0.40054137841791732</v>
      </c>
      <c r="M284" s="1199">
        <f>M283/M273</f>
        <v>0.4876861354833491</v>
      </c>
      <c r="N284" s="2108"/>
      <c r="O284" s="1179"/>
      <c r="P284" s="1179"/>
      <c r="Q284" s="630"/>
      <c r="R284" s="630"/>
      <c r="S284" s="630"/>
      <c r="U284" s="789"/>
      <c r="V284" s="596"/>
      <c r="W284" s="596"/>
      <c r="X284" s="596"/>
      <c r="Y284" s="596"/>
      <c r="Z284" s="596"/>
      <c r="AA284" s="596"/>
      <c r="AB284" s="596"/>
      <c r="AC284" s="596"/>
      <c r="AD284" s="596"/>
      <c r="AE284" s="596"/>
      <c r="AF284" s="596"/>
      <c r="AG284" s="596"/>
      <c r="AH284" s="596"/>
      <c r="AI284" s="596"/>
      <c r="AJ284" s="596"/>
      <c r="AK284" s="596"/>
      <c r="AL284" s="596"/>
      <c r="AM284" s="596"/>
      <c r="AN284" s="596"/>
      <c r="AO284" s="596"/>
      <c r="AP284" s="596"/>
      <c r="AQ284" s="596"/>
      <c r="AR284" s="596"/>
      <c r="AS284" s="596"/>
      <c r="AT284" s="596"/>
      <c r="AU284" s="596"/>
      <c r="AV284" s="596"/>
      <c r="AW284" s="596"/>
      <c r="AX284" s="596"/>
      <c r="AZ284" s="596"/>
      <c r="BA284" s="596"/>
      <c r="BB284" s="596"/>
      <c r="BC284" s="596"/>
      <c r="BD284" s="596"/>
      <c r="BE284" s="596"/>
      <c r="BF284" s="596"/>
      <c r="BG284" s="596"/>
      <c r="BH284" s="596"/>
      <c r="BI284" s="596"/>
      <c r="BJ284" s="596"/>
      <c r="BK284" s="596"/>
      <c r="BL284" s="596"/>
      <c r="BM284" s="596"/>
      <c r="BN284" s="596"/>
      <c r="BO284" s="596"/>
      <c r="BP284" s="596"/>
      <c r="BQ284" s="596"/>
      <c r="BR284" s="596"/>
      <c r="BS284" s="596"/>
      <c r="BT284" s="596"/>
      <c r="BU284" s="596"/>
      <c r="BV284" s="596"/>
      <c r="BW284" s="596"/>
      <c r="BX284" s="596"/>
      <c r="BY284" s="596"/>
      <c r="BZ284" s="596"/>
      <c r="CA284" s="596"/>
      <c r="CB284" s="596"/>
      <c r="CC284" s="596"/>
    </row>
    <row r="285" spans="2:81" hidden="1" outlineLevel="1">
      <c r="B285" s="1632" t="s">
        <v>1534</v>
      </c>
      <c r="C285" s="343"/>
      <c r="D285" s="741"/>
      <c r="E285" s="1630"/>
      <c r="F285" s="309"/>
      <c r="G285" s="35"/>
      <c r="H285" s="35"/>
      <c r="I285" s="749"/>
      <c r="J285" s="867">
        <f>J283/J269</f>
        <v>1653.0659541348318</v>
      </c>
      <c r="K285" s="867">
        <f>K283/SUM($J269:K269)</f>
        <v>1410.8726277777776</v>
      </c>
      <c r="L285" s="867">
        <f>L283/SUM($J269:L269)</f>
        <v>1881.8178600909087</v>
      </c>
      <c r="M285" s="867">
        <f>M283/SUM($J269:M269)</f>
        <v>2317.1334319857133</v>
      </c>
      <c r="N285" s="2108"/>
      <c r="O285" s="1179"/>
      <c r="P285" s="1179"/>
      <c r="Q285" s="630"/>
      <c r="R285" s="630"/>
      <c r="S285" s="630"/>
      <c r="U285" s="789"/>
      <c r="V285" s="596"/>
      <c r="W285" s="596"/>
      <c r="X285" s="596"/>
      <c r="Y285" s="596"/>
      <c r="Z285" s="596"/>
      <c r="AA285" s="596"/>
      <c r="AB285" s="596"/>
      <c r="AC285" s="596"/>
      <c r="AD285" s="596"/>
      <c r="AE285" s="596"/>
      <c r="AF285" s="596"/>
      <c r="AG285" s="596"/>
      <c r="AH285" s="596"/>
      <c r="AI285" s="596"/>
      <c r="AJ285" s="596"/>
      <c r="AK285" s="596"/>
      <c r="AL285" s="596"/>
      <c r="AM285" s="596"/>
      <c r="AN285" s="596"/>
      <c r="AO285" s="596"/>
      <c r="AP285" s="596"/>
      <c r="AQ285" s="596"/>
      <c r="AR285" s="596"/>
      <c r="AS285" s="596"/>
      <c r="AT285" s="596"/>
      <c r="AU285" s="596"/>
      <c r="AV285" s="596"/>
      <c r="AW285" s="596"/>
      <c r="AX285" s="596"/>
      <c r="AZ285" s="596"/>
      <c r="BA285" s="596"/>
      <c r="BB285" s="596"/>
      <c r="BC285" s="596"/>
      <c r="BD285" s="596"/>
      <c r="BE285" s="596"/>
      <c r="BF285" s="596"/>
      <c r="BG285" s="596"/>
      <c r="BH285" s="596"/>
      <c r="BI285" s="596"/>
      <c r="BJ285" s="596"/>
      <c r="BK285" s="596"/>
      <c r="BL285" s="596"/>
      <c r="BM285" s="596"/>
      <c r="BN285" s="596"/>
      <c r="BO285" s="596"/>
      <c r="BP285" s="596"/>
      <c r="BQ285" s="596"/>
      <c r="BR285" s="596"/>
      <c r="BS285" s="596"/>
      <c r="BT285" s="596"/>
      <c r="BU285" s="596"/>
      <c r="BV285" s="596"/>
      <c r="BW285" s="596"/>
      <c r="BX285" s="596"/>
      <c r="BY285" s="596"/>
      <c r="BZ285" s="596"/>
      <c r="CA285" s="596"/>
      <c r="CB285" s="596"/>
      <c r="CC285" s="596"/>
    </row>
    <row r="286" spans="2:81" hidden="1" outlineLevel="1">
      <c r="B286" s="680" t="s">
        <v>1056</v>
      </c>
      <c r="C286" s="343"/>
      <c r="D286" s="741"/>
      <c r="E286" s="1630"/>
      <c r="F286" s="309"/>
      <c r="G286" s="35"/>
      <c r="H286" s="35"/>
      <c r="I286" s="749"/>
      <c r="J286" s="749"/>
      <c r="K286" s="1199">
        <f>K285/J285-1</f>
        <v>-0.14651159305002526</v>
      </c>
      <c r="L286" s="1199">
        <f>L285/K285-1</f>
        <v>0.33379712884139123</v>
      </c>
      <c r="M286" s="1199">
        <f>M285/L285-1</f>
        <v>0.23132715504877566</v>
      </c>
      <c r="N286" s="2108"/>
      <c r="O286" s="1179"/>
      <c r="P286" s="1179"/>
      <c r="Q286" s="630"/>
      <c r="R286" s="630"/>
      <c r="S286" s="630"/>
      <c r="U286" s="789"/>
      <c r="V286" s="596"/>
      <c r="W286" s="596"/>
      <c r="X286" s="596"/>
      <c r="Y286" s="596"/>
      <c r="Z286" s="596"/>
      <c r="AA286" s="596"/>
      <c r="AB286" s="596"/>
      <c r="AC286" s="596"/>
      <c r="AD286" s="596"/>
      <c r="AE286" s="596"/>
      <c r="AF286" s="596"/>
      <c r="AG286" s="596"/>
      <c r="AH286" s="596"/>
      <c r="AI286" s="596"/>
      <c r="AJ286" s="596"/>
      <c r="AK286" s="596"/>
      <c r="AL286" s="596"/>
      <c r="AM286" s="596"/>
      <c r="AN286" s="596"/>
      <c r="AO286" s="596"/>
      <c r="AP286" s="596"/>
      <c r="AQ286" s="596"/>
      <c r="AR286" s="596"/>
      <c r="AS286" s="596"/>
      <c r="AT286" s="596"/>
      <c r="AU286" s="596"/>
      <c r="AV286" s="596"/>
      <c r="AW286" s="596"/>
      <c r="AX286" s="596"/>
      <c r="AZ286" s="596"/>
      <c r="BA286" s="596"/>
      <c r="BB286" s="596"/>
      <c r="BC286" s="596"/>
      <c r="BD286" s="596"/>
      <c r="BE286" s="596"/>
      <c r="BF286" s="596"/>
      <c r="BG286" s="596"/>
      <c r="BH286" s="596"/>
      <c r="BI286" s="596"/>
      <c r="BJ286" s="596"/>
      <c r="BK286" s="596"/>
      <c r="BL286" s="596"/>
      <c r="BM286" s="596"/>
      <c r="BN286" s="596"/>
      <c r="BO286" s="596"/>
      <c r="BP286" s="596"/>
      <c r="BQ286" s="596"/>
      <c r="BR286" s="596"/>
      <c r="BS286" s="596"/>
      <c r="BT286" s="596"/>
      <c r="BU286" s="596"/>
      <c r="BV286" s="596"/>
      <c r="BW286" s="596"/>
      <c r="BX286" s="596"/>
      <c r="BY286" s="596"/>
      <c r="BZ286" s="596"/>
      <c r="CA286" s="596"/>
      <c r="CB286" s="596"/>
      <c r="CC286" s="596"/>
    </row>
    <row r="287" spans="2:81" collapsed="1">
      <c r="B287" s="1712" t="s">
        <v>1606</v>
      </c>
      <c r="C287" s="343"/>
      <c r="D287" s="741"/>
      <c r="E287" s="1630"/>
      <c r="F287" s="309"/>
      <c r="G287" s="35"/>
      <c r="H287" s="35"/>
      <c r="I287" s="749"/>
      <c r="J287" s="1179"/>
      <c r="K287" s="1179"/>
      <c r="L287" s="1692"/>
      <c r="M287" s="1692"/>
      <c r="N287" s="2108"/>
      <c r="O287" s="1179"/>
      <c r="P287" s="1179"/>
      <c r="Q287" s="630"/>
      <c r="R287" s="630"/>
      <c r="S287" s="630"/>
      <c r="U287" s="789"/>
      <c r="V287" s="596"/>
      <c r="W287" s="596"/>
      <c r="X287" s="596"/>
      <c r="Y287" s="596"/>
      <c r="Z287" s="596"/>
      <c r="AA287" s="596"/>
      <c r="AB287" s="596"/>
      <c r="AC287" s="596"/>
      <c r="AD287" s="596"/>
      <c r="AE287" s="596"/>
      <c r="AF287" s="596"/>
      <c r="AG287" s="596"/>
      <c r="AH287" s="596"/>
      <c r="AI287" s="596"/>
      <c r="AJ287" s="596"/>
      <c r="AK287" s="596"/>
      <c r="AL287" s="596"/>
      <c r="AM287" s="596"/>
      <c r="AN287" s="596"/>
      <c r="AO287" s="596"/>
      <c r="AP287" s="596"/>
      <c r="AQ287" s="596"/>
      <c r="AR287" s="596"/>
      <c r="AS287" s="596"/>
      <c r="AT287" s="596"/>
      <c r="AU287" s="596"/>
      <c r="AV287" s="596"/>
      <c r="AW287" s="596"/>
      <c r="AX287" s="596"/>
      <c r="AZ287" s="596"/>
      <c r="BA287" s="596"/>
      <c r="BB287" s="596"/>
      <c r="BC287" s="596"/>
      <c r="BD287" s="596"/>
      <c r="BE287" s="596"/>
      <c r="BF287" s="596"/>
      <c r="BG287" s="596"/>
      <c r="BH287" s="596"/>
      <c r="BI287" s="596"/>
      <c r="BJ287" s="596"/>
      <c r="BK287" s="596"/>
      <c r="BL287" s="596"/>
      <c r="BM287" s="596"/>
      <c r="BN287" s="596"/>
      <c r="BO287" s="596"/>
      <c r="BP287" s="596"/>
      <c r="BQ287" s="596"/>
      <c r="BR287" s="596"/>
      <c r="BS287" s="596"/>
      <c r="BT287" s="596"/>
      <c r="BU287" s="596"/>
      <c r="BV287" s="596"/>
      <c r="BW287" s="596"/>
      <c r="BX287" s="596"/>
      <c r="BY287" s="596"/>
      <c r="BZ287" s="596"/>
      <c r="CA287" s="596"/>
      <c r="CB287" s="596"/>
      <c r="CC287" s="596"/>
    </row>
    <row r="288" spans="2:81" s="37" customFormat="1">
      <c r="B288" s="829" t="s">
        <v>1568</v>
      </c>
      <c r="C288" s="1168"/>
      <c r="D288" s="1354"/>
      <c r="E288" s="1629"/>
      <c r="F288" s="313"/>
      <c r="G288" s="494"/>
      <c r="H288" s="1619">
        <f>I289</f>
        <v>0.19999999999999996</v>
      </c>
      <c r="I288" s="1210">
        <f t="shared" ref="I288:P288" si="261">I269</f>
        <v>0.19999999999999996</v>
      </c>
      <c r="J288" s="1210">
        <f t="shared" si="261"/>
        <v>0.8899999999999999</v>
      </c>
      <c r="K288" s="1210">
        <f t="shared" si="261"/>
        <v>0.91000000000000014</v>
      </c>
      <c r="L288" s="1210">
        <f t="shared" si="261"/>
        <v>0.39999999999999991</v>
      </c>
      <c r="M288" s="1210">
        <f>M269</f>
        <v>0.60000000000000009</v>
      </c>
      <c r="N288" s="2111">
        <f t="shared" si="261"/>
        <v>0.29999999999999982</v>
      </c>
      <c r="O288" s="1210">
        <f t="shared" si="261"/>
        <v>0.29999999999999982</v>
      </c>
      <c r="P288" s="1210">
        <f t="shared" si="261"/>
        <v>9.9999999999999645E-2</v>
      </c>
      <c r="Q288" s="1202"/>
      <c r="R288" s="1202"/>
      <c r="S288" s="1202"/>
      <c r="T288" s="944"/>
      <c r="U288" s="1164"/>
      <c r="V288" s="1360"/>
      <c r="W288" s="1360"/>
      <c r="X288" s="1360"/>
      <c r="Y288" s="1360"/>
      <c r="Z288" s="1360"/>
      <c r="AA288" s="1360"/>
      <c r="AB288" s="1360"/>
      <c r="AC288" s="1360"/>
      <c r="AD288" s="1360"/>
      <c r="AE288" s="1360"/>
      <c r="AF288" s="1360"/>
      <c r="AG288" s="1360"/>
      <c r="AH288" s="1360"/>
      <c r="AI288" s="1360"/>
      <c r="AJ288" s="1360"/>
      <c r="AK288" s="1360"/>
      <c r="AL288" s="1360"/>
      <c r="AM288" s="1360"/>
      <c r="AN288" s="1360"/>
      <c r="AO288" s="1360"/>
      <c r="AP288" s="1360"/>
      <c r="AQ288" s="1360"/>
      <c r="AR288" s="1360"/>
      <c r="AS288" s="1360"/>
      <c r="AT288" s="1360"/>
      <c r="AU288" s="1360"/>
      <c r="AV288" s="1360"/>
      <c r="AW288" s="1360"/>
      <c r="AX288" s="1360"/>
      <c r="AY288" s="944"/>
      <c r="AZ288" s="1360"/>
      <c r="BA288" s="1360"/>
      <c r="BB288" s="1360"/>
      <c r="BC288" s="1360"/>
      <c r="BD288" s="1360"/>
      <c r="BE288" s="1360"/>
      <c r="BF288" s="1360"/>
      <c r="BG288" s="1360"/>
      <c r="BH288" s="1360"/>
      <c r="BI288" s="1360"/>
      <c r="BJ288" s="1360"/>
      <c r="BK288" s="1360"/>
      <c r="BL288" s="1360"/>
      <c r="BM288" s="1360"/>
      <c r="BN288" s="1360"/>
      <c r="BO288" s="1360"/>
      <c r="BP288" s="1360"/>
      <c r="BQ288" s="1360"/>
      <c r="BR288" s="1360"/>
      <c r="BS288" s="1360"/>
      <c r="BT288" s="1360"/>
      <c r="BU288" s="1360"/>
      <c r="BV288" s="1360"/>
      <c r="BW288" s="1360"/>
      <c r="BX288" s="1360"/>
      <c r="BY288" s="1360"/>
      <c r="BZ288" s="1360"/>
      <c r="CA288" s="1360"/>
      <c r="CB288" s="1360"/>
      <c r="CC288" s="1360"/>
    </row>
    <row r="289" spans="2:81">
      <c r="B289" s="680" t="s">
        <v>1569</v>
      </c>
      <c r="C289" s="343"/>
      <c r="D289" s="741"/>
      <c r="E289" s="1630"/>
      <c r="F289" s="309"/>
      <c r="G289" s="35"/>
      <c r="H289" s="35"/>
      <c r="I289" s="1696">
        <f>J289</f>
        <v>0.19999999999999996</v>
      </c>
      <c r="J289" s="749">
        <f>I288</f>
        <v>0.19999999999999996</v>
      </c>
      <c r="K289" s="749">
        <f t="shared" ref="K289:P291" si="262">J288</f>
        <v>0.8899999999999999</v>
      </c>
      <c r="L289" s="749">
        <f t="shared" si="262"/>
        <v>0.91000000000000014</v>
      </c>
      <c r="M289" s="749">
        <f t="shared" si="262"/>
        <v>0.39999999999999991</v>
      </c>
      <c r="N289" s="2109">
        <f t="shared" si="262"/>
        <v>0.60000000000000009</v>
      </c>
      <c r="O289" s="749">
        <f t="shared" si="262"/>
        <v>0.29999999999999982</v>
      </c>
      <c r="P289" s="749">
        <f t="shared" si="262"/>
        <v>0.29999999999999982</v>
      </c>
      <c r="Q289" s="630"/>
      <c r="R289" s="630"/>
      <c r="S289" s="630"/>
      <c r="U289" s="789"/>
      <c r="V289" s="596"/>
      <c r="W289" s="596"/>
      <c r="X289" s="596"/>
      <c r="Y289" s="596"/>
      <c r="Z289" s="596"/>
      <c r="AA289" s="596"/>
      <c r="AB289" s="596"/>
      <c r="AC289" s="596"/>
      <c r="AD289" s="596"/>
      <c r="AE289" s="596"/>
      <c r="AF289" s="596"/>
      <c r="AG289" s="596"/>
      <c r="AH289" s="596"/>
      <c r="AI289" s="596"/>
      <c r="AJ289" s="596"/>
      <c r="AK289" s="596"/>
      <c r="AL289" s="596"/>
      <c r="AM289" s="596"/>
      <c r="AN289" s="596"/>
      <c r="AO289" s="596"/>
      <c r="AP289" s="596"/>
      <c r="AQ289" s="596"/>
      <c r="AR289" s="596"/>
      <c r="AS289" s="596"/>
      <c r="AT289" s="596"/>
      <c r="AU289" s="596"/>
      <c r="AV289" s="596"/>
      <c r="AW289" s="596"/>
      <c r="AX289" s="596"/>
      <c r="AZ289" s="596"/>
      <c r="BA289" s="596"/>
      <c r="BB289" s="596"/>
      <c r="BC289" s="596"/>
      <c r="BD289" s="596"/>
      <c r="BE289" s="596"/>
      <c r="BF289" s="596"/>
      <c r="BG289" s="596"/>
      <c r="BH289" s="596"/>
      <c r="BI289" s="596"/>
      <c r="BJ289" s="596"/>
      <c r="BK289" s="596"/>
      <c r="BL289" s="596"/>
      <c r="BM289" s="596"/>
      <c r="BN289" s="596"/>
      <c r="BO289" s="596"/>
      <c r="BP289" s="596"/>
      <c r="BQ289" s="596"/>
      <c r="BR289" s="596"/>
      <c r="BS289" s="596"/>
      <c r="BT289" s="596"/>
      <c r="BU289" s="596"/>
      <c r="BV289" s="596"/>
      <c r="BW289" s="596"/>
      <c r="BX289" s="596"/>
      <c r="BY289" s="596"/>
      <c r="BZ289" s="596"/>
      <c r="CA289" s="596"/>
      <c r="CB289" s="596"/>
      <c r="CC289" s="596"/>
    </row>
    <row r="290" spans="2:81">
      <c r="B290" s="680" t="s">
        <v>1600</v>
      </c>
      <c r="C290" s="343"/>
      <c r="D290" s="741"/>
      <c r="E290" s="1630"/>
      <c r="F290" s="309"/>
      <c r="G290" s="35"/>
      <c r="H290" s="35"/>
      <c r="I290" s="1696">
        <f>J290</f>
        <v>0.19999999999999996</v>
      </c>
      <c r="J290" s="749">
        <f>I289</f>
        <v>0.19999999999999996</v>
      </c>
      <c r="K290" s="749">
        <f>J289</f>
        <v>0.19999999999999996</v>
      </c>
      <c r="L290" s="749">
        <f t="shared" si="262"/>
        <v>0.8899999999999999</v>
      </c>
      <c r="M290" s="749">
        <f t="shared" si="262"/>
        <v>0.91000000000000014</v>
      </c>
      <c r="N290" s="2109">
        <f t="shared" si="262"/>
        <v>0.39999999999999991</v>
      </c>
      <c r="O290" s="749">
        <f t="shared" si="262"/>
        <v>0.60000000000000009</v>
      </c>
      <c r="P290" s="749">
        <f t="shared" si="262"/>
        <v>0.29999999999999982</v>
      </c>
      <c r="Q290" s="630"/>
      <c r="R290" s="630"/>
      <c r="S290" s="630"/>
      <c r="U290" s="789"/>
      <c r="V290" s="596"/>
      <c r="W290" s="596"/>
      <c r="X290" s="596"/>
      <c r="Y290" s="596"/>
      <c r="Z290" s="596"/>
      <c r="AA290" s="596"/>
      <c r="AB290" s="596"/>
      <c r="AC290" s="596"/>
      <c r="AD290" s="596"/>
      <c r="AE290" s="596"/>
      <c r="AF290" s="596"/>
      <c r="AG290" s="596"/>
      <c r="AH290" s="596"/>
      <c r="AI290" s="596"/>
      <c r="AJ290" s="596"/>
      <c r="AK290" s="596"/>
      <c r="AL290" s="596"/>
      <c r="AM290" s="596"/>
      <c r="AN290" s="596"/>
      <c r="AO290" s="596"/>
      <c r="AP290" s="596"/>
      <c r="AQ290" s="596"/>
      <c r="AR290" s="596"/>
      <c r="AS290" s="596"/>
      <c r="AT290" s="596"/>
      <c r="AU290" s="596"/>
      <c r="AV290" s="596"/>
      <c r="AW290" s="596"/>
      <c r="AX290" s="596"/>
      <c r="AZ290" s="596"/>
      <c r="BA290" s="596"/>
      <c r="BB290" s="596"/>
      <c r="BC290" s="596"/>
      <c r="BD290" s="596"/>
      <c r="BE290" s="596"/>
      <c r="BF290" s="596"/>
      <c r="BG290" s="596"/>
      <c r="BH290" s="596"/>
      <c r="BI290" s="596"/>
      <c r="BJ290" s="596"/>
      <c r="BK290" s="596"/>
      <c r="BL290" s="596"/>
      <c r="BM290" s="596"/>
      <c r="BN290" s="596"/>
      <c r="BO290" s="596"/>
      <c r="BP290" s="596"/>
      <c r="BQ290" s="596"/>
      <c r="BR290" s="596"/>
      <c r="BS290" s="596"/>
      <c r="BT290" s="596"/>
      <c r="BU290" s="596"/>
      <c r="BV290" s="596"/>
      <c r="BW290" s="596"/>
      <c r="BX290" s="596"/>
      <c r="BY290" s="596"/>
      <c r="BZ290" s="596"/>
      <c r="CA290" s="596"/>
      <c r="CB290" s="596"/>
      <c r="CC290" s="596"/>
    </row>
    <row r="291" spans="2:81">
      <c r="B291" s="680" t="s">
        <v>1601</v>
      </c>
      <c r="C291" s="343"/>
      <c r="D291" s="741"/>
      <c r="E291" s="1630"/>
      <c r="F291" s="309"/>
      <c r="G291" s="35"/>
      <c r="H291" s="35"/>
      <c r="I291" s="1696">
        <f>J291</f>
        <v>0.19999999999999996</v>
      </c>
      <c r="J291" s="749">
        <f>I290</f>
        <v>0.19999999999999996</v>
      </c>
      <c r="K291" s="749">
        <f>J290</f>
        <v>0.19999999999999996</v>
      </c>
      <c r="L291" s="749">
        <f t="shared" si="262"/>
        <v>0.19999999999999996</v>
      </c>
      <c r="M291" s="749">
        <f t="shared" si="262"/>
        <v>0.8899999999999999</v>
      </c>
      <c r="N291" s="2109">
        <f t="shared" si="262"/>
        <v>0.91000000000000014</v>
      </c>
      <c r="O291" s="749">
        <f t="shared" si="262"/>
        <v>0.39999999999999991</v>
      </c>
      <c r="P291" s="749">
        <f t="shared" si="262"/>
        <v>0.60000000000000009</v>
      </c>
      <c r="Q291" s="630"/>
      <c r="R291" s="630"/>
      <c r="S291" s="630"/>
      <c r="U291" s="789"/>
      <c r="V291" s="596"/>
      <c r="W291" s="596"/>
      <c r="X291" s="596"/>
      <c r="Y291" s="596"/>
      <c r="Z291" s="596"/>
      <c r="AA291" s="596"/>
      <c r="AB291" s="596"/>
      <c r="AC291" s="596"/>
      <c r="AD291" s="596"/>
      <c r="AE291" s="596"/>
      <c r="AF291" s="596"/>
      <c r="AG291" s="596"/>
      <c r="AH291" s="596"/>
      <c r="AI291" s="596"/>
      <c r="AJ291" s="596"/>
      <c r="AK291" s="596"/>
      <c r="AL291" s="596"/>
      <c r="AM291" s="596"/>
      <c r="AN291" s="596"/>
      <c r="AO291" s="596"/>
      <c r="AP291" s="596"/>
      <c r="AQ291" s="596"/>
      <c r="AR291" s="596"/>
      <c r="AS291" s="596"/>
      <c r="AT291" s="596"/>
      <c r="AU291" s="596"/>
      <c r="AV291" s="596"/>
      <c r="AW291" s="596"/>
      <c r="AX291" s="596"/>
      <c r="AZ291" s="596"/>
      <c r="BA291" s="596"/>
      <c r="BB291" s="596"/>
      <c r="BC291" s="596"/>
      <c r="BD291" s="596"/>
      <c r="BE291" s="596"/>
      <c r="BF291" s="596"/>
      <c r="BG291" s="596"/>
      <c r="BH291" s="596"/>
      <c r="BI291" s="596"/>
      <c r="BJ291" s="596"/>
      <c r="BK291" s="596"/>
      <c r="BL291" s="596"/>
      <c r="BM291" s="596"/>
      <c r="BN291" s="596"/>
      <c r="BO291" s="596"/>
      <c r="BP291" s="596"/>
      <c r="BQ291" s="596"/>
      <c r="BR291" s="596"/>
      <c r="BS291" s="596"/>
      <c r="BT291" s="596"/>
      <c r="BU291" s="596"/>
      <c r="BV291" s="596"/>
      <c r="BW291" s="596"/>
      <c r="BX291" s="596"/>
      <c r="BY291" s="596"/>
      <c r="BZ291" s="596"/>
      <c r="CA291" s="596"/>
      <c r="CB291" s="596"/>
      <c r="CC291" s="596"/>
    </row>
    <row r="292" spans="2:81" s="37" customFormat="1">
      <c r="B292" s="829" t="s">
        <v>1602</v>
      </c>
      <c r="C292" s="1168"/>
      <c r="D292" s="1354"/>
      <c r="E292" s="1629"/>
      <c r="F292" s="313"/>
      <c r="G292" s="494"/>
      <c r="H292" s="494"/>
      <c r="I292" s="1210">
        <f>I267-I288-I289-I290-I291</f>
        <v>0.40000000000000013</v>
      </c>
      <c r="J292" s="1210">
        <f t="shared" ref="J292:P292" si="263">J267-J288-J289-J290-J291</f>
        <v>0.60000000000000009</v>
      </c>
      <c r="K292" s="1210">
        <f t="shared" si="263"/>
        <v>0.8</v>
      </c>
      <c r="L292" s="1210">
        <f t="shared" si="263"/>
        <v>1</v>
      </c>
      <c r="M292" s="1210">
        <f t="shared" si="263"/>
        <v>1.2</v>
      </c>
      <c r="N292" s="2111">
        <f t="shared" si="263"/>
        <v>2.09</v>
      </c>
      <c r="O292" s="1210">
        <f t="shared" si="263"/>
        <v>3</v>
      </c>
      <c r="P292" s="1210">
        <f t="shared" si="263"/>
        <v>3.4</v>
      </c>
      <c r="Q292" s="1202"/>
      <c r="R292" s="1202"/>
      <c r="S292" s="1202"/>
      <c r="T292" s="944"/>
      <c r="U292" s="1164"/>
      <c r="V292" s="1360"/>
      <c r="W292" s="1360"/>
      <c r="X292" s="1360"/>
      <c r="Y292" s="1360"/>
      <c r="Z292" s="1360"/>
      <c r="AA292" s="1360"/>
      <c r="AB292" s="1360"/>
      <c r="AC292" s="1360"/>
      <c r="AD292" s="1360"/>
      <c r="AE292" s="1360"/>
      <c r="AF292" s="1360"/>
      <c r="AG292" s="1360"/>
      <c r="AH292" s="1360"/>
      <c r="AI292" s="1360"/>
      <c r="AJ292" s="1360"/>
      <c r="AK292" s="1360"/>
      <c r="AL292" s="1360"/>
      <c r="AM292" s="1360"/>
      <c r="AN292" s="1360"/>
      <c r="AO292" s="1360"/>
      <c r="AP292" s="1360"/>
      <c r="AQ292" s="1360"/>
      <c r="AR292" s="1360"/>
      <c r="AS292" s="1360"/>
      <c r="AT292" s="1360"/>
      <c r="AU292" s="1360"/>
      <c r="AV292" s="1360"/>
      <c r="AW292" s="1360"/>
      <c r="AX292" s="1360"/>
      <c r="AY292" s="944"/>
      <c r="AZ292" s="1360"/>
      <c r="BA292" s="1360"/>
      <c r="BB292" s="1360"/>
      <c r="BC292" s="1360"/>
      <c r="BD292" s="1360"/>
      <c r="BE292" s="1360"/>
      <c r="BF292" s="1360"/>
      <c r="BG292" s="1360"/>
      <c r="BH292" s="1360"/>
      <c r="BI292" s="1360"/>
      <c r="BJ292" s="1360"/>
      <c r="BK292" s="1360"/>
      <c r="BL292" s="1360"/>
      <c r="BM292" s="1360"/>
      <c r="BN292" s="1360"/>
      <c r="BO292" s="1360"/>
      <c r="BP292" s="1360"/>
      <c r="BQ292" s="1360"/>
      <c r="BR292" s="1360"/>
      <c r="BS292" s="1360"/>
      <c r="BT292" s="1360"/>
      <c r="BU292" s="1360"/>
      <c r="BV292" s="1360"/>
      <c r="BW292" s="1360"/>
      <c r="BX292" s="1360"/>
      <c r="BY292" s="1360"/>
      <c r="BZ292" s="1360"/>
      <c r="CA292" s="1360"/>
      <c r="CB292" s="1360"/>
      <c r="CC292" s="1360"/>
    </row>
    <row r="293" spans="2:81">
      <c r="B293" s="680"/>
      <c r="C293" s="343"/>
      <c r="D293" s="741"/>
      <c r="E293" s="1630"/>
      <c r="F293" s="309"/>
      <c r="G293" s="35"/>
      <c r="H293" s="35"/>
      <c r="I293" s="749"/>
      <c r="J293" s="1179"/>
      <c r="K293" s="1179"/>
      <c r="L293" s="1179"/>
      <c r="M293" s="1179"/>
      <c r="N293" s="2108"/>
      <c r="O293" s="1179"/>
      <c r="P293" s="1179"/>
      <c r="Q293" s="630"/>
      <c r="R293" s="630"/>
      <c r="S293" s="630"/>
      <c r="U293" s="789"/>
      <c r="V293" s="596"/>
      <c r="W293" s="596"/>
      <c r="X293" s="596"/>
      <c r="Y293" s="596"/>
      <c r="Z293" s="596"/>
      <c r="AA293" s="596"/>
      <c r="AB293" s="596"/>
      <c r="AC293" s="596"/>
      <c r="AD293" s="596"/>
      <c r="AE293" s="596"/>
      <c r="AF293" s="596"/>
      <c r="AG293" s="596"/>
      <c r="AH293" s="596"/>
      <c r="AI293" s="596"/>
      <c r="AJ293" s="596"/>
      <c r="AK293" s="596"/>
      <c r="AL293" s="596"/>
      <c r="AM293" s="596"/>
      <c r="AN293" s="596"/>
      <c r="AO293" s="596"/>
      <c r="AP293" s="596"/>
      <c r="AQ293" s="596"/>
      <c r="AR293" s="596"/>
      <c r="AS293" s="596"/>
      <c r="AT293" s="596"/>
      <c r="AU293" s="596"/>
      <c r="AV293" s="596"/>
      <c r="AW293" s="596"/>
      <c r="AX293" s="596"/>
      <c r="AZ293" s="596"/>
      <c r="BA293" s="596"/>
      <c r="BB293" s="596"/>
      <c r="BC293" s="596"/>
      <c r="BD293" s="596"/>
      <c r="BE293" s="596"/>
      <c r="BF293" s="596"/>
      <c r="BG293" s="596"/>
      <c r="BH293" s="596"/>
      <c r="BI293" s="596"/>
      <c r="BJ293" s="596"/>
      <c r="BK293" s="596"/>
      <c r="BL293" s="596"/>
      <c r="BM293" s="596"/>
      <c r="BN293" s="596"/>
      <c r="BO293" s="596"/>
      <c r="BP293" s="596"/>
      <c r="BQ293" s="596"/>
      <c r="BR293" s="596"/>
      <c r="BS293" s="596"/>
      <c r="BT293" s="596"/>
      <c r="BU293" s="596"/>
      <c r="BV293" s="596"/>
      <c r="BW293" s="596"/>
      <c r="BX293" s="596"/>
      <c r="BY293" s="596"/>
      <c r="BZ293" s="596"/>
      <c r="CA293" s="596"/>
      <c r="CB293" s="596"/>
      <c r="CC293" s="596"/>
    </row>
    <row r="294" spans="2:81">
      <c r="B294" s="680" t="s">
        <v>1596</v>
      </c>
      <c r="C294" s="343"/>
      <c r="D294" s="741"/>
      <c r="E294" s="1630"/>
      <c r="F294" s="309"/>
      <c r="G294" s="35"/>
      <c r="H294" s="35"/>
      <c r="I294" s="1702">
        <v>1000</v>
      </c>
      <c r="J294" s="1702">
        <v>1000</v>
      </c>
      <c r="K294" s="1702">
        <v>1000</v>
      </c>
      <c r="L294" s="1702">
        <f t="shared" ref="L294:P294" si="264">K294</f>
        <v>1000</v>
      </c>
      <c r="M294" s="1702">
        <f t="shared" si="264"/>
        <v>1000</v>
      </c>
      <c r="N294" s="2112">
        <f t="shared" si="264"/>
        <v>1000</v>
      </c>
      <c r="O294" s="1702">
        <f t="shared" si="264"/>
        <v>1000</v>
      </c>
      <c r="P294" s="1702">
        <f t="shared" si="264"/>
        <v>1000</v>
      </c>
      <c r="Q294" s="630"/>
      <c r="R294" s="630"/>
      <c r="S294" s="630"/>
      <c r="U294" s="789"/>
      <c r="V294" s="596"/>
      <c r="W294" s="596"/>
      <c r="X294" s="596"/>
      <c r="Y294" s="596"/>
      <c r="Z294" s="596"/>
      <c r="AA294" s="596"/>
      <c r="AB294" s="596"/>
      <c r="AC294" s="596"/>
      <c r="AD294" s="596"/>
      <c r="AE294" s="596"/>
      <c r="AF294" s="596"/>
      <c r="AG294" s="596"/>
      <c r="AH294" s="596"/>
      <c r="AI294" s="596"/>
      <c r="AJ294" s="596"/>
      <c r="AK294" s="596"/>
      <c r="AL294" s="596"/>
      <c r="AM294" s="596"/>
      <c r="AN294" s="596"/>
      <c r="AO294" s="596"/>
      <c r="AP294" s="596"/>
      <c r="AQ294" s="596"/>
      <c r="AR294" s="596"/>
      <c r="AS294" s="596"/>
      <c r="AT294" s="596"/>
      <c r="AU294" s="596"/>
      <c r="AV294" s="596"/>
      <c r="AW294" s="596"/>
      <c r="AX294" s="596"/>
      <c r="AZ294" s="596"/>
      <c r="BA294" s="596"/>
      <c r="BB294" s="596"/>
      <c r="BC294" s="596"/>
      <c r="BD294" s="596"/>
      <c r="BE294" s="596"/>
      <c r="BF294" s="596"/>
      <c r="BG294" s="596"/>
      <c r="BH294" s="596"/>
      <c r="BI294" s="596"/>
      <c r="BJ294" s="596"/>
      <c r="BK294" s="596"/>
      <c r="BL294" s="596"/>
      <c r="BM294" s="596"/>
      <c r="BN294" s="596"/>
      <c r="BO294" s="596"/>
      <c r="BP294" s="596"/>
      <c r="BQ294" s="596"/>
      <c r="BR294" s="596"/>
      <c r="BS294" s="596"/>
      <c r="BT294" s="596"/>
      <c r="BU294" s="596"/>
      <c r="BV294" s="596"/>
      <c r="BW294" s="596"/>
      <c r="BX294" s="596"/>
      <c r="BY294" s="596"/>
      <c r="BZ294" s="596"/>
      <c r="CA294" s="596"/>
      <c r="CB294" s="596"/>
      <c r="CC294" s="596"/>
    </row>
    <row r="295" spans="2:81">
      <c r="B295" s="1632" t="s">
        <v>1597</v>
      </c>
      <c r="C295" s="343"/>
      <c r="D295" s="741"/>
      <c r="E295" s="1630"/>
      <c r="F295" s="309"/>
      <c r="G295" s="35"/>
      <c r="H295" s="35"/>
      <c r="I295" s="1702">
        <v>2000</v>
      </c>
      <c r="J295" s="1702">
        <v>2000</v>
      </c>
      <c r="K295" s="1702">
        <v>2000</v>
      </c>
      <c r="L295" s="1702">
        <v>2000</v>
      </c>
      <c r="M295" s="1702">
        <v>2000</v>
      </c>
      <c r="N295" s="2112">
        <v>2000</v>
      </c>
      <c r="O295" s="1702">
        <v>2000</v>
      </c>
      <c r="P295" s="1702">
        <v>2000</v>
      </c>
      <c r="Q295" s="630"/>
      <c r="R295" s="630"/>
      <c r="S295" s="630"/>
      <c r="U295" s="789"/>
      <c r="V295" s="596"/>
      <c r="W295" s="596"/>
      <c r="X295" s="596"/>
      <c r="Y295" s="596"/>
      <c r="Z295" s="596"/>
      <c r="AA295" s="596"/>
      <c r="AB295" s="596"/>
      <c r="AC295" s="596"/>
      <c r="AD295" s="596"/>
      <c r="AE295" s="596"/>
      <c r="AF295" s="596"/>
      <c r="AG295" s="596"/>
      <c r="AH295" s="596"/>
      <c r="AI295" s="596"/>
      <c r="AJ295" s="596"/>
      <c r="AK295" s="596"/>
      <c r="AL295" s="596"/>
      <c r="AM295" s="596"/>
      <c r="AN295" s="596"/>
      <c r="AO295" s="596"/>
      <c r="AP295" s="596"/>
      <c r="AQ295" s="596"/>
      <c r="AR295" s="596"/>
      <c r="AS295" s="596"/>
      <c r="AT295" s="596"/>
      <c r="AU295" s="596"/>
      <c r="AV295" s="596"/>
      <c r="AW295" s="596"/>
      <c r="AX295" s="596"/>
      <c r="AZ295" s="596"/>
      <c r="BA295" s="596"/>
      <c r="BB295" s="596"/>
      <c r="BC295" s="596"/>
      <c r="BD295" s="596"/>
      <c r="BE295" s="596"/>
      <c r="BF295" s="596"/>
      <c r="BG295" s="596"/>
      <c r="BH295" s="596"/>
      <c r="BI295" s="596"/>
      <c r="BJ295" s="596"/>
      <c r="BK295" s="596"/>
      <c r="BL295" s="596"/>
      <c r="BM295" s="596"/>
      <c r="BN295" s="596"/>
      <c r="BO295" s="596"/>
      <c r="BP295" s="596"/>
      <c r="BQ295" s="596"/>
      <c r="BR295" s="596"/>
      <c r="BS295" s="596"/>
      <c r="BT295" s="596"/>
      <c r="BU295" s="596"/>
      <c r="BV295" s="596"/>
      <c r="BW295" s="596"/>
      <c r="BX295" s="596"/>
      <c r="BY295" s="596"/>
      <c r="BZ295" s="596"/>
      <c r="CA295" s="596"/>
      <c r="CB295" s="596"/>
      <c r="CC295" s="596"/>
    </row>
    <row r="296" spans="2:81">
      <c r="B296" s="680" t="s">
        <v>1625</v>
      </c>
      <c r="C296" s="302"/>
      <c r="D296" s="1363"/>
      <c r="E296" s="596"/>
      <c r="F296" s="35"/>
      <c r="G296" s="35"/>
      <c r="H296" s="35"/>
      <c r="I296" s="1702">
        <v>3000</v>
      </c>
      <c r="J296" s="1702">
        <v>3000</v>
      </c>
      <c r="K296" s="1702">
        <v>3000</v>
      </c>
      <c r="L296" s="1702">
        <v>3000</v>
      </c>
      <c r="M296" s="1702">
        <v>3000</v>
      </c>
      <c r="N296" s="2112">
        <v>3000</v>
      </c>
      <c r="O296" s="1702">
        <v>3000</v>
      </c>
      <c r="P296" s="1702">
        <v>3000</v>
      </c>
      <c r="Q296" s="630"/>
      <c r="R296" s="630"/>
      <c r="S296" s="630"/>
      <c r="U296" s="789"/>
      <c r="V296" s="596"/>
      <c r="W296" s="596"/>
      <c r="X296" s="596"/>
      <c r="Y296" s="596"/>
      <c r="Z296" s="596"/>
      <c r="AA296" s="596"/>
      <c r="AB296" s="596"/>
      <c r="AC296" s="596"/>
      <c r="AD296" s="596"/>
      <c r="AE296" s="596"/>
      <c r="AF296" s="596"/>
      <c r="AG296" s="596"/>
      <c r="AH296" s="596"/>
      <c r="AI296" s="596"/>
      <c r="AJ296" s="596"/>
      <c r="AK296" s="596"/>
      <c r="AL296" s="596"/>
      <c r="AM296" s="596"/>
      <c r="AN296" s="596"/>
      <c r="AO296" s="596"/>
      <c r="AP296" s="596"/>
      <c r="AQ296" s="596"/>
      <c r="AR296" s="596"/>
      <c r="AS296" s="596"/>
      <c r="AT296" s="596"/>
      <c r="AU296" s="596"/>
      <c r="AV296" s="596"/>
      <c r="AW296" s="596"/>
      <c r="AX296" s="596"/>
      <c r="AZ296" s="596"/>
      <c r="BA296" s="596"/>
      <c r="BB296" s="596"/>
      <c r="BC296" s="596"/>
      <c r="BD296" s="596"/>
      <c r="BE296" s="596"/>
      <c r="BF296" s="596"/>
      <c r="BG296" s="596"/>
      <c r="BH296" s="596"/>
      <c r="BI296" s="596"/>
      <c r="BJ296" s="596"/>
      <c r="BK296" s="596"/>
      <c r="BL296" s="596"/>
      <c r="BM296" s="596"/>
      <c r="BN296" s="596"/>
      <c r="BO296" s="596"/>
      <c r="BP296" s="596"/>
      <c r="BQ296" s="596"/>
      <c r="BR296" s="596"/>
      <c r="BS296" s="596"/>
      <c r="BT296" s="596"/>
      <c r="BU296" s="596"/>
      <c r="BV296" s="596"/>
      <c r="BW296" s="596"/>
      <c r="BX296" s="596"/>
      <c r="BY296" s="596"/>
      <c r="BZ296" s="596"/>
      <c r="CA296" s="596"/>
      <c r="CB296" s="596"/>
      <c r="CC296" s="596"/>
    </row>
    <row r="297" spans="2:81">
      <c r="B297" s="1632" t="s">
        <v>1626</v>
      </c>
      <c r="C297" s="302"/>
      <c r="D297" s="1363"/>
      <c r="E297" s="596"/>
      <c r="F297" s="35"/>
      <c r="G297" s="35"/>
      <c r="H297" s="35"/>
      <c r="I297" s="1702">
        <v>4000</v>
      </c>
      <c r="J297" s="1702">
        <v>4000</v>
      </c>
      <c r="K297" s="1702">
        <v>4000</v>
      </c>
      <c r="L297" s="1702">
        <v>4000</v>
      </c>
      <c r="M297" s="1702">
        <v>4000</v>
      </c>
      <c r="N297" s="2112">
        <v>4000</v>
      </c>
      <c r="O297" s="1702">
        <v>4000</v>
      </c>
      <c r="P297" s="1702">
        <v>4000</v>
      </c>
      <c r="Q297" s="630"/>
      <c r="R297" s="630"/>
      <c r="S297" s="630"/>
      <c r="U297" s="789"/>
      <c r="V297" s="596"/>
      <c r="W297" s="596"/>
      <c r="X297" s="596"/>
      <c r="Y297" s="596"/>
      <c r="Z297" s="596"/>
      <c r="AA297" s="596"/>
      <c r="AB297" s="596"/>
      <c r="AC297" s="596"/>
      <c r="AD297" s="596"/>
      <c r="AE297" s="596"/>
      <c r="AF297" s="596"/>
      <c r="AG297" s="596"/>
      <c r="AH297" s="596"/>
      <c r="AI297" s="596"/>
      <c r="AJ297" s="596"/>
      <c r="AK297" s="596"/>
      <c r="AL297" s="596"/>
      <c r="AM297" s="596"/>
      <c r="AN297" s="596"/>
      <c r="AO297" s="596"/>
      <c r="AP297" s="596"/>
      <c r="AQ297" s="596"/>
      <c r="AR297" s="596"/>
      <c r="AS297" s="596"/>
      <c r="AT297" s="596"/>
      <c r="AU297" s="596"/>
      <c r="AV297" s="596"/>
      <c r="AW297" s="596"/>
      <c r="AX297" s="596"/>
      <c r="AZ297" s="596"/>
      <c r="BA297" s="596"/>
      <c r="BB297" s="596"/>
      <c r="BC297" s="596"/>
      <c r="BD297" s="596"/>
      <c r="BE297" s="596"/>
      <c r="BF297" s="596"/>
      <c r="BG297" s="596"/>
      <c r="BH297" s="596"/>
      <c r="BI297" s="596"/>
      <c r="BJ297" s="596"/>
      <c r="BK297" s="596"/>
      <c r="BL297" s="596"/>
      <c r="BM297" s="596"/>
      <c r="BN297" s="596"/>
      <c r="BO297" s="596"/>
      <c r="BP297" s="596"/>
      <c r="BQ297" s="596"/>
      <c r="BR297" s="596"/>
      <c r="BS297" s="596"/>
      <c r="BT297" s="596"/>
      <c r="BU297" s="596"/>
      <c r="BV297" s="596"/>
      <c r="BW297" s="596"/>
      <c r="BX297" s="596"/>
      <c r="BY297" s="596"/>
      <c r="BZ297" s="596"/>
      <c r="CA297" s="596"/>
      <c r="CB297" s="596"/>
      <c r="CC297" s="596"/>
    </row>
    <row r="298" spans="2:81" s="37" customFormat="1">
      <c r="B298" s="1631" t="s">
        <v>1603</v>
      </c>
      <c r="C298" s="1293"/>
      <c r="E298" s="1360"/>
      <c r="F298" s="494"/>
      <c r="G298" s="494"/>
      <c r="H298" s="494"/>
      <c r="I298" s="756">
        <f t="shared" ref="I298:P298" si="265">I305/I292</f>
        <v>6637.8844999999983</v>
      </c>
      <c r="J298" s="756">
        <f t="shared" si="265"/>
        <v>6503.1631319666658</v>
      </c>
      <c r="K298" s="756">
        <f t="shared" si="265"/>
        <v>5102.883534999999</v>
      </c>
      <c r="L298" s="756">
        <f t="shared" si="265"/>
        <v>4646.009</v>
      </c>
      <c r="M298" s="756">
        <f t="shared" si="265"/>
        <v>4677.9869067833342</v>
      </c>
      <c r="N298" s="1529">
        <f t="shared" si="265"/>
        <v>4591.5615400779461</v>
      </c>
      <c r="O298" s="756">
        <f t="shared" si="265"/>
        <v>4781.8484779842001</v>
      </c>
      <c r="P298" s="756">
        <f t="shared" si="265"/>
        <v>5075.2711160899898</v>
      </c>
      <c r="Q298" s="1202"/>
      <c r="R298" s="1202"/>
      <c r="S298" s="1202"/>
      <c r="T298" s="944"/>
      <c r="U298" s="1164"/>
      <c r="V298" s="1360"/>
      <c r="W298" s="1360"/>
      <c r="X298" s="1360"/>
      <c r="Y298" s="1360"/>
      <c r="Z298" s="1360"/>
      <c r="AA298" s="1360"/>
      <c r="AB298" s="1360"/>
      <c r="AC298" s="1360"/>
      <c r="AD298" s="1360"/>
      <c r="AE298" s="1360"/>
      <c r="AF298" s="1360"/>
      <c r="AG298" s="1360"/>
      <c r="AH298" s="1360"/>
      <c r="AI298" s="1360"/>
      <c r="AJ298" s="1360"/>
      <c r="AK298" s="1360"/>
      <c r="AL298" s="1360"/>
      <c r="AM298" s="1360"/>
      <c r="AN298" s="1360"/>
      <c r="AO298" s="1360"/>
      <c r="AP298" s="1360"/>
      <c r="AQ298" s="1360"/>
      <c r="AR298" s="1360"/>
      <c r="AS298" s="1360"/>
      <c r="AT298" s="1360"/>
      <c r="AU298" s="1360"/>
      <c r="AV298" s="1360"/>
      <c r="AW298" s="1360"/>
      <c r="AX298" s="1360"/>
      <c r="AY298" s="944"/>
      <c r="AZ298" s="1360"/>
      <c r="BA298" s="1360"/>
      <c r="BB298" s="1360"/>
      <c r="BC298" s="1360"/>
      <c r="BD298" s="1360"/>
      <c r="BE298" s="1360"/>
      <c r="BF298" s="1360"/>
      <c r="BG298" s="1360"/>
      <c r="BH298" s="1360"/>
      <c r="BI298" s="1360"/>
      <c r="BJ298" s="1360"/>
      <c r="BK298" s="1360"/>
      <c r="BL298" s="1360"/>
      <c r="BM298" s="1360"/>
      <c r="BN298" s="1360"/>
      <c r="BO298" s="1360"/>
      <c r="BP298" s="1360"/>
      <c r="BQ298" s="1360"/>
      <c r="BR298" s="1360"/>
      <c r="BS298" s="1360"/>
      <c r="BT298" s="1360"/>
      <c r="BU298" s="1360"/>
      <c r="BV298" s="1360"/>
      <c r="BW298" s="1360"/>
      <c r="BX298" s="1360"/>
      <c r="BY298" s="1360"/>
      <c r="BZ298" s="1360"/>
      <c r="CA298" s="1360"/>
      <c r="CB298" s="1360"/>
      <c r="CC298" s="1360"/>
    </row>
    <row r="299" spans="2:81" s="38" customFormat="1">
      <c r="B299" s="1697" t="s">
        <v>1608</v>
      </c>
      <c r="C299" s="1252"/>
      <c r="E299" s="635"/>
      <c r="F299" s="1200"/>
      <c r="G299" s="1200"/>
      <c r="H299" s="1200"/>
      <c r="I299" s="1698"/>
      <c r="J299" s="347">
        <f>J298/I298-1</f>
        <v>-2.0295828894481782E-2</v>
      </c>
      <c r="K299" s="347">
        <f t="shared" ref="K299:P299" si="266">K298/J298-1</f>
        <v>-0.21532284652118183</v>
      </c>
      <c r="L299" s="347">
        <f t="shared" si="266"/>
        <v>-8.9532620501008409E-2</v>
      </c>
      <c r="M299" s="347">
        <f t="shared" si="266"/>
        <v>6.8828766331132663E-3</v>
      </c>
      <c r="N299" s="1492">
        <f t="shared" si="266"/>
        <v>-1.8474905643721784E-2</v>
      </c>
      <c r="O299" s="347">
        <f t="shared" si="266"/>
        <v>4.1442750194092826E-2</v>
      </c>
      <c r="P299" s="347">
        <f t="shared" si="266"/>
        <v>6.1361759883592715E-2</v>
      </c>
      <c r="Q299" s="1699"/>
      <c r="R299" s="1699"/>
      <c r="S299" s="1699"/>
      <c r="T299" s="945"/>
      <c r="U299" s="1158"/>
      <c r="V299" s="635"/>
      <c r="W299" s="635"/>
      <c r="X299" s="635"/>
      <c r="Y299" s="635"/>
      <c r="Z299" s="635"/>
      <c r="AA299" s="635"/>
      <c r="AB299" s="635"/>
      <c r="AC299" s="635"/>
      <c r="AD299" s="635"/>
      <c r="AE299" s="635"/>
      <c r="AF299" s="635"/>
      <c r="AG299" s="635"/>
      <c r="AH299" s="635"/>
      <c r="AI299" s="635"/>
      <c r="AJ299" s="635"/>
      <c r="AK299" s="635"/>
      <c r="AL299" s="635"/>
      <c r="AM299" s="635"/>
      <c r="AN299" s="635"/>
      <c r="AO299" s="635"/>
      <c r="AP299" s="635"/>
      <c r="AQ299" s="635"/>
      <c r="AR299" s="635"/>
      <c r="AS299" s="635"/>
      <c r="AT299" s="635"/>
      <c r="AU299" s="635"/>
      <c r="AV299" s="635"/>
      <c r="AW299" s="635"/>
      <c r="AX299" s="635"/>
      <c r="AY299" s="945"/>
      <c r="AZ299" s="635"/>
      <c r="BA299" s="635"/>
      <c r="BB299" s="635"/>
      <c r="BC299" s="635"/>
      <c r="BD299" s="635"/>
      <c r="BE299" s="635"/>
      <c r="BF299" s="635"/>
      <c r="BG299" s="635"/>
      <c r="BH299" s="635"/>
      <c r="BI299" s="635"/>
      <c r="BJ299" s="635"/>
      <c r="BK299" s="635"/>
      <c r="BL299" s="635"/>
      <c r="BM299" s="635"/>
      <c r="BN299" s="635"/>
      <c r="BO299" s="635"/>
      <c r="BP299" s="635"/>
      <c r="BQ299" s="635"/>
      <c r="BR299" s="635"/>
      <c r="BS299" s="635"/>
      <c r="BT299" s="635"/>
      <c r="BU299" s="635"/>
      <c r="BV299" s="635"/>
      <c r="BW299" s="635"/>
      <c r="BX299" s="635"/>
      <c r="BY299" s="635"/>
      <c r="BZ299" s="635"/>
      <c r="CA299" s="635"/>
      <c r="CB299" s="635"/>
      <c r="CC299" s="635"/>
    </row>
    <row r="300" spans="2:81" s="38" customFormat="1">
      <c r="B300" s="1700"/>
      <c r="C300" s="1252"/>
      <c r="D300" s="1254"/>
      <c r="E300" s="635"/>
      <c r="F300" s="1200"/>
      <c r="G300" s="1200"/>
      <c r="H300" s="1200"/>
      <c r="I300" s="1698"/>
      <c r="J300" s="347">
        <f t="shared" ref="J300:P300" si="267">(1+J18)/(1+J299)-1</f>
        <v>0.43639674461814404</v>
      </c>
      <c r="K300" s="347">
        <f t="shared" si="267"/>
        <v>0.55339997677464714</v>
      </c>
      <c r="L300" s="347">
        <f t="shared" si="267"/>
        <v>0.45441228807672362</v>
      </c>
      <c r="M300" s="347">
        <f t="shared" si="267"/>
        <v>0.3966854112004603</v>
      </c>
      <c r="N300" s="1492">
        <f t="shared" si="267"/>
        <v>0.35028941299244676</v>
      </c>
      <c r="O300" s="347">
        <f t="shared" si="267"/>
        <v>0.16200055028779015</v>
      </c>
      <c r="P300" s="347">
        <f t="shared" si="267"/>
        <v>0.1049492378014707</v>
      </c>
      <c r="Q300" s="1699"/>
      <c r="R300" s="1699"/>
      <c r="S300" s="1699"/>
      <c r="T300" s="945"/>
      <c r="U300" s="1158"/>
      <c r="V300" s="635"/>
      <c r="W300" s="635"/>
      <c r="X300" s="635"/>
      <c r="Y300" s="635"/>
      <c r="Z300" s="635"/>
      <c r="AA300" s="635"/>
      <c r="AB300" s="635"/>
      <c r="AC300" s="635"/>
      <c r="AD300" s="635"/>
      <c r="AE300" s="635"/>
      <c r="AF300" s="635"/>
      <c r="AG300" s="635"/>
      <c r="AH300" s="635"/>
      <c r="AI300" s="635"/>
      <c r="AJ300" s="635"/>
      <c r="AK300" s="635"/>
      <c r="AL300" s="635"/>
      <c r="AM300" s="635"/>
      <c r="AN300" s="635"/>
      <c r="AO300" s="635"/>
      <c r="AP300" s="635"/>
      <c r="AQ300" s="635"/>
      <c r="AR300" s="635"/>
      <c r="AS300" s="635"/>
      <c r="AT300" s="635"/>
      <c r="AU300" s="635"/>
      <c r="AV300" s="635"/>
      <c r="AW300" s="635"/>
      <c r="AX300" s="635"/>
      <c r="AY300" s="945"/>
      <c r="AZ300" s="635"/>
      <c r="BA300" s="635"/>
      <c r="BB300" s="635"/>
      <c r="BC300" s="635"/>
      <c r="BD300" s="635"/>
      <c r="BE300" s="635"/>
      <c r="BF300" s="635"/>
      <c r="BG300" s="635"/>
      <c r="BH300" s="635"/>
      <c r="BI300" s="635"/>
      <c r="BJ300" s="635"/>
      <c r="BK300" s="635"/>
      <c r="BL300" s="635"/>
      <c r="BM300" s="635"/>
      <c r="BN300" s="635"/>
      <c r="BO300" s="635"/>
      <c r="BP300" s="635"/>
      <c r="BQ300" s="635"/>
      <c r="BR300" s="635"/>
      <c r="BS300" s="635"/>
      <c r="BT300" s="635"/>
      <c r="BU300" s="635"/>
      <c r="BV300" s="635"/>
      <c r="BW300" s="635"/>
      <c r="BX300" s="635"/>
      <c r="BY300" s="635"/>
      <c r="BZ300" s="635"/>
      <c r="CA300" s="635"/>
      <c r="CB300" s="635"/>
      <c r="CC300" s="635"/>
    </row>
    <row r="301" spans="2:81">
      <c r="B301" s="743" t="s">
        <v>1598</v>
      </c>
      <c r="C301" s="1709"/>
      <c r="D301" s="1363"/>
      <c r="E301" s="596"/>
      <c r="F301" s="35"/>
      <c r="G301" s="35"/>
      <c r="H301" s="35"/>
      <c r="I301" s="867">
        <f t="shared" ref="I301:P301" si="268">I288*I294</f>
        <v>199.99999999999994</v>
      </c>
      <c r="J301" s="867">
        <f t="shared" si="268"/>
        <v>889.99999999999989</v>
      </c>
      <c r="K301" s="867">
        <f t="shared" si="268"/>
        <v>910.00000000000011</v>
      </c>
      <c r="L301" s="867">
        <f t="shared" si="268"/>
        <v>399.99999999999989</v>
      </c>
      <c r="M301" s="867">
        <f t="shared" si="268"/>
        <v>600.00000000000011</v>
      </c>
      <c r="N301" s="1532">
        <f t="shared" si="268"/>
        <v>299.99999999999983</v>
      </c>
      <c r="O301" s="867">
        <f t="shared" si="268"/>
        <v>299.99999999999983</v>
      </c>
      <c r="P301" s="867">
        <f t="shared" si="268"/>
        <v>99.999999999999645</v>
      </c>
      <c r="Q301" s="630"/>
      <c r="R301" s="630"/>
      <c r="S301" s="630"/>
      <c r="U301" s="789"/>
      <c r="V301" s="596"/>
      <c r="W301" s="596"/>
      <c r="X301" s="596"/>
      <c r="Y301" s="596"/>
      <c r="Z301" s="596"/>
      <c r="AA301" s="596"/>
      <c r="AB301" s="596"/>
      <c r="AC301" s="596"/>
      <c r="AD301" s="596"/>
      <c r="AE301" s="596"/>
      <c r="AF301" s="596"/>
      <c r="AG301" s="596"/>
      <c r="AH301" s="596"/>
      <c r="AI301" s="596"/>
      <c r="AJ301" s="596"/>
      <c r="AK301" s="596"/>
      <c r="AL301" s="596"/>
      <c r="AM301" s="596"/>
      <c r="AN301" s="596"/>
      <c r="AO301" s="596"/>
      <c r="AP301" s="596"/>
      <c r="AQ301" s="596"/>
      <c r="AR301" s="596"/>
      <c r="AS301" s="596"/>
      <c r="AT301" s="596"/>
      <c r="AU301" s="596"/>
      <c r="AV301" s="596"/>
      <c r="AW301" s="596"/>
      <c r="AX301" s="596"/>
      <c r="AZ301" s="596"/>
      <c r="BA301" s="596"/>
      <c r="BB301" s="596"/>
      <c r="BC301" s="596"/>
      <c r="BD301" s="596"/>
      <c r="BE301" s="596"/>
      <c r="BF301" s="596"/>
      <c r="BG301" s="596"/>
      <c r="BH301" s="596"/>
      <c r="BI301" s="596"/>
      <c r="BJ301" s="596"/>
      <c r="BK301" s="596"/>
      <c r="BL301" s="596"/>
      <c r="BM301" s="596"/>
      <c r="BN301" s="596"/>
      <c r="BO301" s="596"/>
      <c r="BP301" s="596"/>
      <c r="BQ301" s="596"/>
      <c r="BR301" s="596"/>
      <c r="BS301" s="596"/>
      <c r="BT301" s="596"/>
      <c r="BU301" s="596"/>
      <c r="BV301" s="596"/>
      <c r="BW301" s="596"/>
      <c r="BX301" s="596"/>
      <c r="BY301" s="596"/>
      <c r="BZ301" s="596"/>
      <c r="CA301" s="596"/>
      <c r="CB301" s="596"/>
      <c r="CC301" s="596"/>
    </row>
    <row r="302" spans="2:81">
      <c r="B302" s="1632" t="s">
        <v>1599</v>
      </c>
      <c r="C302" s="1709"/>
      <c r="D302" s="1363"/>
      <c r="E302" s="596"/>
      <c r="F302" s="35"/>
      <c r="G302" s="35"/>
      <c r="H302" s="35"/>
      <c r="I302" s="867">
        <f t="shared" ref="I302:P302" si="269">I295*I289</f>
        <v>399.99999999999989</v>
      </c>
      <c r="J302" s="867">
        <f t="shared" si="269"/>
        <v>399.99999999999989</v>
      </c>
      <c r="K302" s="867">
        <f t="shared" si="269"/>
        <v>1779.9999999999998</v>
      </c>
      <c r="L302" s="867">
        <f t="shared" si="269"/>
        <v>1820.0000000000002</v>
      </c>
      <c r="M302" s="867">
        <f t="shared" si="269"/>
        <v>799.99999999999977</v>
      </c>
      <c r="N302" s="1532">
        <f t="shared" si="269"/>
        <v>1200.0000000000002</v>
      </c>
      <c r="O302" s="867">
        <f t="shared" si="269"/>
        <v>599.99999999999966</v>
      </c>
      <c r="P302" s="867">
        <f t="shared" si="269"/>
        <v>599.99999999999966</v>
      </c>
      <c r="Q302" s="630"/>
      <c r="R302" s="630"/>
      <c r="S302" s="630"/>
      <c r="U302" s="789"/>
      <c r="V302" s="596"/>
      <c r="W302" s="596"/>
      <c r="X302" s="596"/>
      <c r="Y302" s="596"/>
      <c r="Z302" s="596"/>
      <c r="AA302" s="596"/>
      <c r="AB302" s="596"/>
      <c r="AC302" s="596"/>
      <c r="AD302" s="596"/>
      <c r="AE302" s="596"/>
      <c r="AF302" s="596"/>
      <c r="AG302" s="596"/>
      <c r="AH302" s="596"/>
      <c r="AI302" s="596"/>
      <c r="AJ302" s="596"/>
      <c r="AK302" s="596"/>
      <c r="AL302" s="596"/>
      <c r="AM302" s="596"/>
      <c r="AN302" s="596"/>
      <c r="AO302" s="596"/>
      <c r="AP302" s="596"/>
      <c r="AQ302" s="596"/>
      <c r="AR302" s="596"/>
      <c r="AS302" s="596"/>
      <c r="AT302" s="596"/>
      <c r="AU302" s="596"/>
      <c r="AV302" s="596"/>
      <c r="AW302" s="596"/>
      <c r="AX302" s="596"/>
      <c r="AZ302" s="596"/>
      <c r="BA302" s="596"/>
      <c r="BB302" s="596"/>
      <c r="BC302" s="596"/>
      <c r="BD302" s="596"/>
      <c r="BE302" s="596"/>
      <c r="BF302" s="596"/>
      <c r="BG302" s="596"/>
      <c r="BH302" s="596"/>
      <c r="BI302" s="596"/>
      <c r="BJ302" s="596"/>
      <c r="BK302" s="596"/>
      <c r="BL302" s="596"/>
      <c r="BM302" s="596"/>
      <c r="BN302" s="596"/>
      <c r="BO302" s="596"/>
      <c r="BP302" s="596"/>
      <c r="BQ302" s="596"/>
      <c r="BR302" s="596"/>
      <c r="BS302" s="596"/>
      <c r="BT302" s="596"/>
      <c r="BU302" s="596"/>
      <c r="BV302" s="596"/>
      <c r="BW302" s="596"/>
      <c r="BX302" s="596"/>
      <c r="BY302" s="596"/>
      <c r="BZ302" s="596"/>
      <c r="CA302" s="596"/>
      <c r="CB302" s="596"/>
      <c r="CC302" s="596"/>
    </row>
    <row r="303" spans="2:81">
      <c r="B303" s="1632" t="s">
        <v>1604</v>
      </c>
      <c r="C303" s="1709"/>
      <c r="D303" s="1363"/>
      <c r="E303" s="596"/>
      <c r="F303" s="35"/>
      <c r="G303" s="35"/>
      <c r="H303" s="35"/>
      <c r="I303" s="867">
        <f>I296*I290</f>
        <v>599.99999999999989</v>
      </c>
      <c r="J303" s="867">
        <f t="shared" ref="J303:P303" si="270">J296*J290</f>
        <v>599.99999999999989</v>
      </c>
      <c r="K303" s="867">
        <f t="shared" si="270"/>
        <v>599.99999999999989</v>
      </c>
      <c r="L303" s="867">
        <f t="shared" si="270"/>
        <v>2669.9999999999995</v>
      </c>
      <c r="M303" s="867">
        <f t="shared" si="270"/>
        <v>2730.0000000000005</v>
      </c>
      <c r="N303" s="1532">
        <f t="shared" si="270"/>
        <v>1199.9999999999998</v>
      </c>
      <c r="O303" s="867">
        <f t="shared" si="270"/>
        <v>1800.0000000000002</v>
      </c>
      <c r="P303" s="867">
        <f t="shared" si="270"/>
        <v>899.99999999999943</v>
      </c>
      <c r="Q303" s="630"/>
      <c r="R303" s="630"/>
      <c r="S303" s="630"/>
      <c r="U303" s="789"/>
      <c r="V303" s="596"/>
      <c r="W303" s="596"/>
      <c r="X303" s="596"/>
      <c r="Y303" s="596"/>
      <c r="Z303" s="596"/>
      <c r="AA303" s="596"/>
      <c r="AB303" s="596"/>
      <c r="AC303" s="596"/>
      <c r="AD303" s="596"/>
      <c r="AE303" s="596"/>
      <c r="AF303" s="596"/>
      <c r="AG303" s="596"/>
      <c r="AH303" s="596"/>
      <c r="AI303" s="596"/>
      <c r="AJ303" s="596"/>
      <c r="AK303" s="596"/>
      <c r="AL303" s="596"/>
      <c r="AM303" s="596"/>
      <c r="AN303" s="596"/>
      <c r="AO303" s="596"/>
      <c r="AP303" s="596"/>
      <c r="AQ303" s="596"/>
      <c r="AR303" s="596"/>
      <c r="AS303" s="596"/>
      <c r="AT303" s="596"/>
      <c r="AU303" s="596"/>
      <c r="AV303" s="596"/>
      <c r="AW303" s="596"/>
      <c r="AX303" s="596"/>
      <c r="AZ303" s="596"/>
      <c r="BA303" s="596"/>
      <c r="BB303" s="596"/>
      <c r="BC303" s="596"/>
      <c r="BD303" s="596"/>
      <c r="BE303" s="596"/>
      <c r="BF303" s="596"/>
      <c r="BG303" s="596"/>
      <c r="BH303" s="596"/>
      <c r="BI303" s="596"/>
      <c r="BJ303" s="596"/>
      <c r="BK303" s="596"/>
      <c r="BL303" s="596"/>
      <c r="BM303" s="596"/>
      <c r="BN303" s="596"/>
      <c r="BO303" s="596"/>
      <c r="BP303" s="596"/>
      <c r="BQ303" s="596"/>
      <c r="BR303" s="596"/>
      <c r="BS303" s="596"/>
      <c r="BT303" s="596"/>
      <c r="BU303" s="596"/>
      <c r="BV303" s="596"/>
      <c r="BW303" s="596"/>
      <c r="BX303" s="596"/>
      <c r="BY303" s="596"/>
      <c r="BZ303" s="596"/>
      <c r="CA303" s="596"/>
      <c r="CB303" s="596"/>
      <c r="CC303" s="596"/>
    </row>
    <row r="304" spans="2:81">
      <c r="B304" s="1632" t="s">
        <v>1605</v>
      </c>
      <c r="C304" s="1709"/>
      <c r="D304" s="1363"/>
      <c r="E304" s="596"/>
      <c r="F304" s="35"/>
      <c r="G304" s="35"/>
      <c r="H304" s="35"/>
      <c r="I304" s="867">
        <f>I297*I291</f>
        <v>799.99999999999977</v>
      </c>
      <c r="J304" s="867">
        <f t="shared" ref="J304:P304" si="271">J297*J291</f>
        <v>799.99999999999977</v>
      </c>
      <c r="K304" s="867">
        <f t="shared" si="271"/>
        <v>799.99999999999977</v>
      </c>
      <c r="L304" s="867">
        <f t="shared" si="271"/>
        <v>799.99999999999977</v>
      </c>
      <c r="M304" s="867">
        <f t="shared" si="271"/>
        <v>3559.9999999999995</v>
      </c>
      <c r="N304" s="1532">
        <f t="shared" si="271"/>
        <v>3640.0000000000005</v>
      </c>
      <c r="O304" s="867">
        <f t="shared" si="271"/>
        <v>1599.9999999999995</v>
      </c>
      <c r="P304" s="867">
        <f t="shared" si="271"/>
        <v>2400.0000000000005</v>
      </c>
      <c r="Q304" s="630"/>
      <c r="R304" s="630"/>
      <c r="S304" s="630"/>
      <c r="U304" s="789"/>
      <c r="V304" s="596"/>
      <c r="W304" s="596"/>
      <c r="X304" s="596"/>
      <c r="Y304" s="596"/>
      <c r="Z304" s="596"/>
      <c r="AA304" s="596"/>
      <c r="AB304" s="596"/>
      <c r="AC304" s="596"/>
      <c r="AD304" s="596"/>
      <c r="AE304" s="596"/>
      <c r="AF304" s="596"/>
      <c r="AG304" s="596"/>
      <c r="AH304" s="596"/>
      <c r="AI304" s="596"/>
      <c r="AJ304" s="596"/>
      <c r="AK304" s="596"/>
      <c r="AL304" s="596"/>
      <c r="AM304" s="596"/>
      <c r="AN304" s="596"/>
      <c r="AO304" s="596"/>
      <c r="AP304" s="596"/>
      <c r="AQ304" s="596"/>
      <c r="AR304" s="596"/>
      <c r="AS304" s="596"/>
      <c r="AT304" s="596"/>
      <c r="AU304" s="596"/>
      <c r="AV304" s="596"/>
      <c r="AW304" s="596"/>
      <c r="AX304" s="596"/>
      <c r="AZ304" s="596"/>
      <c r="BA304" s="596"/>
      <c r="BB304" s="596"/>
      <c r="BC304" s="596"/>
      <c r="BD304" s="596"/>
      <c r="BE304" s="596"/>
      <c r="BF304" s="596"/>
      <c r="BG304" s="596"/>
      <c r="BH304" s="596"/>
      <c r="BI304" s="596"/>
      <c r="BJ304" s="596"/>
      <c r="BK304" s="596"/>
      <c r="BL304" s="596"/>
      <c r="BM304" s="596"/>
      <c r="BN304" s="596"/>
      <c r="BO304" s="596"/>
      <c r="BP304" s="596"/>
      <c r="BQ304" s="596"/>
      <c r="BR304" s="596"/>
      <c r="BS304" s="596"/>
      <c r="BT304" s="596"/>
      <c r="BU304" s="596"/>
      <c r="BV304" s="596"/>
      <c r="BW304" s="596"/>
      <c r="BX304" s="596"/>
      <c r="BY304" s="596"/>
      <c r="BZ304" s="596"/>
      <c r="CA304" s="596"/>
      <c r="CB304" s="596"/>
      <c r="CC304" s="596"/>
    </row>
    <row r="305" spans="2:81" s="37" customFormat="1">
      <c r="B305" s="1631" t="s">
        <v>1607</v>
      </c>
      <c r="C305" s="1710"/>
      <c r="D305" s="1701"/>
      <c r="E305" s="1360"/>
      <c r="F305" s="494"/>
      <c r="G305" s="494"/>
      <c r="H305" s="494"/>
      <c r="I305" s="756">
        <f t="shared" ref="I305:P305" si="272">I273-I301-I302-I303-I304</f>
        <v>2655.1538</v>
      </c>
      <c r="J305" s="756">
        <f t="shared" si="272"/>
        <v>3901.89787918</v>
      </c>
      <c r="K305" s="756">
        <f t="shared" si="272"/>
        <v>4082.3068279999998</v>
      </c>
      <c r="L305" s="756">
        <f t="shared" si="272"/>
        <v>4646.009</v>
      </c>
      <c r="M305" s="756">
        <f t="shared" si="272"/>
        <v>5613.5842881400004</v>
      </c>
      <c r="N305" s="1529">
        <f t="shared" si="272"/>
        <v>9596.3636187629072</v>
      </c>
      <c r="O305" s="756">
        <f t="shared" si="272"/>
        <v>14345.5454339526</v>
      </c>
      <c r="P305" s="756">
        <f t="shared" si="272"/>
        <v>17255.921794705966</v>
      </c>
      <c r="Q305" s="1202"/>
      <c r="R305" s="1202"/>
      <c r="S305" s="1202"/>
      <c r="T305" s="944"/>
      <c r="U305" s="1164"/>
      <c r="V305" s="1360"/>
      <c r="W305" s="1360"/>
      <c r="X305" s="1360"/>
      <c r="Y305" s="1360"/>
      <c r="Z305" s="1360"/>
      <c r="AA305" s="1360"/>
      <c r="AB305" s="1360"/>
      <c r="AC305" s="1360"/>
      <c r="AD305" s="1360"/>
      <c r="AE305" s="1360"/>
      <c r="AF305" s="1360"/>
      <c r="AG305" s="1360"/>
      <c r="AH305" s="1360"/>
      <c r="AI305" s="1360"/>
      <c r="AJ305" s="1360"/>
      <c r="AK305" s="1360"/>
      <c r="AL305" s="1360"/>
      <c r="AM305" s="1360"/>
      <c r="AN305" s="1360"/>
      <c r="AO305" s="1360"/>
      <c r="AP305" s="1360"/>
      <c r="AQ305" s="1360"/>
      <c r="AR305" s="1360"/>
      <c r="AS305" s="1360"/>
      <c r="AT305" s="1360"/>
      <c r="AU305" s="1360"/>
      <c r="AV305" s="1360"/>
      <c r="AW305" s="1360"/>
      <c r="AX305" s="1360"/>
      <c r="AY305" s="944"/>
      <c r="AZ305" s="1360"/>
      <c r="BA305" s="1360"/>
      <c r="BB305" s="1360"/>
      <c r="BC305" s="1360"/>
      <c r="BD305" s="1360"/>
      <c r="BE305" s="1360"/>
      <c r="BF305" s="1360"/>
      <c r="BG305" s="1360"/>
      <c r="BH305" s="1360"/>
      <c r="BI305" s="1360"/>
      <c r="BJ305" s="1360"/>
      <c r="BK305" s="1360"/>
      <c r="BL305" s="1360"/>
      <c r="BM305" s="1360"/>
      <c r="BN305" s="1360"/>
      <c r="BO305" s="1360"/>
      <c r="BP305" s="1360"/>
      <c r="BQ305" s="1360"/>
      <c r="BR305" s="1360"/>
      <c r="BS305" s="1360"/>
      <c r="BT305" s="1360"/>
      <c r="BU305" s="1360"/>
      <c r="BV305" s="1360"/>
      <c r="BW305" s="1360"/>
      <c r="BX305" s="1360"/>
      <c r="BY305" s="1360"/>
      <c r="BZ305" s="1360"/>
      <c r="CA305" s="1360"/>
      <c r="CB305" s="1360"/>
      <c r="CC305" s="1360"/>
    </row>
    <row r="306" spans="2:81" s="38" customFormat="1">
      <c r="B306" s="1697" t="s">
        <v>1608</v>
      </c>
      <c r="C306" s="1711"/>
      <c r="D306" s="1254"/>
      <c r="E306" s="635"/>
      <c r="F306" s="1200"/>
      <c r="G306" s="1819" t="s">
        <v>1678</v>
      </c>
      <c r="H306" s="1200"/>
      <c r="I306" s="1698"/>
      <c r="J306" s="347">
        <f>J299</f>
        <v>-2.0295828894481782E-2</v>
      </c>
      <c r="K306" s="347">
        <f t="shared" ref="K306:P306" si="273">K299</f>
        <v>-0.21532284652118183</v>
      </c>
      <c r="L306" s="347">
        <f t="shared" si="273"/>
        <v>-8.9532620501008409E-2</v>
      </c>
      <c r="M306" s="347">
        <f t="shared" si="273"/>
        <v>6.8828766331132663E-3</v>
      </c>
      <c r="N306" s="1492">
        <f t="shared" si="273"/>
        <v>-1.8474905643721784E-2</v>
      </c>
      <c r="O306" s="347">
        <f t="shared" si="273"/>
        <v>4.1442750194092826E-2</v>
      </c>
      <c r="P306" s="347">
        <f t="shared" si="273"/>
        <v>6.1361759883592715E-2</v>
      </c>
      <c r="Q306" s="1699"/>
      <c r="R306" s="1699"/>
      <c r="S306" s="1699"/>
      <c r="T306" s="945"/>
      <c r="U306" s="1158"/>
      <c r="V306" s="635"/>
      <c r="W306" s="635"/>
      <c r="X306" s="635"/>
      <c r="Y306" s="635"/>
      <c r="Z306" s="635"/>
      <c r="AA306" s="635"/>
      <c r="AB306" s="635"/>
      <c r="AC306" s="635"/>
      <c r="AD306" s="635"/>
      <c r="AE306" s="635"/>
      <c r="AF306" s="635"/>
      <c r="AG306" s="635"/>
      <c r="AH306" s="635"/>
      <c r="AI306" s="635"/>
      <c r="AJ306" s="635"/>
      <c r="AK306" s="635"/>
      <c r="AL306" s="635"/>
      <c r="AM306" s="635"/>
      <c r="AN306" s="635"/>
      <c r="AO306" s="635"/>
      <c r="AP306" s="635"/>
      <c r="AQ306" s="635"/>
      <c r="AR306" s="635"/>
      <c r="AS306" s="635"/>
      <c r="AT306" s="635"/>
      <c r="AU306" s="635"/>
      <c r="AV306" s="635"/>
      <c r="AW306" s="635"/>
      <c r="AX306" s="635"/>
      <c r="AY306" s="945"/>
      <c r="AZ306" s="635"/>
      <c r="BA306" s="635"/>
      <c r="BB306" s="635"/>
      <c r="BC306" s="635"/>
      <c r="BD306" s="635"/>
      <c r="BE306" s="635"/>
      <c r="BF306" s="635"/>
      <c r="BG306" s="635"/>
      <c r="BH306" s="635"/>
      <c r="BI306" s="635"/>
      <c r="BJ306" s="635"/>
      <c r="BK306" s="635"/>
      <c r="BL306" s="635"/>
      <c r="BM306" s="635"/>
      <c r="BN306" s="635"/>
      <c r="BO306" s="635"/>
      <c r="BP306" s="635"/>
      <c r="BQ306" s="635"/>
      <c r="BR306" s="635"/>
      <c r="BS306" s="635"/>
      <c r="BT306" s="635"/>
      <c r="BU306" s="635"/>
      <c r="BV306" s="635"/>
      <c r="BW306" s="635"/>
      <c r="BX306" s="635"/>
      <c r="BY306" s="635"/>
      <c r="BZ306" s="635"/>
      <c r="CA306" s="635"/>
      <c r="CB306" s="635"/>
      <c r="CC306" s="635"/>
    </row>
    <row r="307" spans="2:81">
      <c r="G307" s="1709" t="s">
        <v>1676</v>
      </c>
      <c r="J307" s="1634">
        <f t="shared" ref="J307:P307" si="274">(J275/I275)/(1+J306)-1</f>
        <v>-0.17011781922679137</v>
      </c>
      <c r="K307" s="1634">
        <f t="shared" si="274"/>
        <v>0.10069809926605067</v>
      </c>
      <c r="L307" s="1199">
        <f t="shared" si="274"/>
        <v>0.22570557747888409</v>
      </c>
      <c r="M307" s="1199">
        <f t="shared" si="274"/>
        <v>8.6565114271429433E-2</v>
      </c>
      <c r="N307" s="1579">
        <f t="shared" si="274"/>
        <v>0.13530014444120386</v>
      </c>
      <c r="O307" s="1634">
        <f t="shared" si="274"/>
        <v>5.0173571202144052E-2</v>
      </c>
      <c r="P307" s="1634">
        <f t="shared" si="274"/>
        <v>5.1238816983038449E-2</v>
      </c>
    </row>
    <row r="308" spans="2:81">
      <c r="G308" s="1709" t="s">
        <v>1677</v>
      </c>
      <c r="J308" s="1634">
        <f>J292/J267</f>
        <v>0.28708133971291872</v>
      </c>
      <c r="K308" s="1634">
        <f t="shared" ref="K308:P308" si="275">K292/K267</f>
        <v>0.26666666666666666</v>
      </c>
      <c r="L308" s="1199">
        <f t="shared" si="275"/>
        <v>0.29411764705882354</v>
      </c>
      <c r="M308" s="1199">
        <f t="shared" si="275"/>
        <v>0.3</v>
      </c>
      <c r="N308" s="1579">
        <f t="shared" si="275"/>
        <v>0.48604651162790696</v>
      </c>
      <c r="O308" s="1634">
        <f t="shared" si="275"/>
        <v>0.65217391304347827</v>
      </c>
      <c r="P308" s="1634">
        <f t="shared" si="275"/>
        <v>0.72340425531914898</v>
      </c>
    </row>
    <row r="309" spans="2:81">
      <c r="B309" s="680"/>
      <c r="C309" s="343"/>
      <c r="D309" s="741"/>
      <c r="E309" s="1630"/>
      <c r="F309" s="309"/>
      <c r="G309" s="35"/>
      <c r="H309" s="35"/>
      <c r="I309" s="749"/>
      <c r="J309" s="1179"/>
      <c r="K309" s="1179"/>
      <c r="L309" s="1179"/>
      <c r="M309" s="1179"/>
      <c r="N309" s="2108"/>
      <c r="O309" s="1179"/>
      <c r="P309" s="1179"/>
      <c r="Q309" s="630"/>
      <c r="R309" s="630"/>
      <c r="S309" s="630"/>
      <c r="U309" s="789"/>
      <c r="V309" s="596"/>
      <c r="W309" s="596"/>
      <c r="X309" s="596"/>
      <c r="Y309" s="596"/>
      <c r="Z309" s="596"/>
      <c r="AA309" s="596"/>
      <c r="AB309" s="596"/>
      <c r="AC309" s="596"/>
      <c r="AD309" s="596"/>
      <c r="AE309" s="596"/>
      <c r="AF309" s="596"/>
      <c r="AG309" s="596"/>
      <c r="AH309" s="596"/>
      <c r="AI309" s="596"/>
      <c r="AJ309" s="596"/>
      <c r="AK309" s="596"/>
      <c r="AL309" s="596"/>
      <c r="AM309" s="596"/>
      <c r="AN309" s="596"/>
      <c r="AO309" s="596"/>
      <c r="AP309" s="596"/>
      <c r="AQ309" s="596"/>
      <c r="AR309" s="596"/>
      <c r="AS309" s="596"/>
      <c r="AT309" s="596"/>
      <c r="AU309" s="596"/>
      <c r="AV309" s="596"/>
      <c r="AW309" s="596"/>
      <c r="AX309" s="596"/>
      <c r="AZ309" s="596"/>
      <c r="BA309" s="596"/>
      <c r="BB309" s="596"/>
      <c r="BC309" s="596"/>
      <c r="BD309" s="596"/>
      <c r="BE309" s="596"/>
      <c r="BF309" s="596"/>
      <c r="BG309" s="596"/>
      <c r="BH309" s="596"/>
      <c r="BI309" s="596"/>
      <c r="BJ309" s="596"/>
      <c r="BK309" s="596"/>
      <c r="BL309" s="596"/>
      <c r="BM309" s="596"/>
      <c r="BN309" s="596"/>
      <c r="BO309" s="596"/>
      <c r="BP309" s="596"/>
      <c r="BQ309" s="596"/>
      <c r="BR309" s="596"/>
      <c r="BS309" s="596"/>
      <c r="BT309" s="596"/>
      <c r="BU309" s="596"/>
      <c r="BV309" s="596"/>
      <c r="BW309" s="596"/>
      <c r="BX309" s="596"/>
      <c r="BY309" s="596"/>
      <c r="BZ309" s="596"/>
      <c r="CA309" s="596"/>
      <c r="CB309" s="596"/>
      <c r="CC309" s="596"/>
    </row>
    <row r="310" spans="2:81" s="37" customFormat="1">
      <c r="B310" s="1631" t="s">
        <v>1522</v>
      </c>
      <c r="C310" s="1168"/>
      <c r="D310" s="1354"/>
      <c r="E310" s="790"/>
      <c r="F310" s="1246"/>
      <c r="G310" s="1355"/>
      <c r="H310" s="630">
        <f t="shared" ref="H310:P310" si="276">H74/H267</f>
        <v>4003.0305000000003</v>
      </c>
      <c r="I310" s="630">
        <f t="shared" si="276"/>
        <v>3879.2948333333334</v>
      </c>
      <c r="J310" s="630">
        <f t="shared" si="276"/>
        <v>3154.0181240095694</v>
      </c>
      <c r="K310" s="630">
        <f t="shared" si="276"/>
        <v>2724.1022760000001</v>
      </c>
      <c r="L310" s="630">
        <f t="shared" si="276"/>
        <v>3040.0026470588236</v>
      </c>
      <c r="M310" s="630">
        <f t="shared" si="276"/>
        <v>3325.8960720350001</v>
      </c>
      <c r="N310" s="1537">
        <f t="shared" si="276"/>
        <v>3706.1310741309089</v>
      </c>
      <c r="O310" s="630">
        <f t="shared" si="276"/>
        <v>4053.3794421636089</v>
      </c>
      <c r="P310" s="630">
        <f t="shared" si="276"/>
        <v>4522.5365520650994</v>
      </c>
      <c r="Q310" s="1202"/>
      <c r="R310" s="1202"/>
      <c r="S310" s="1202"/>
      <c r="T310" s="947"/>
      <c r="U310" s="1164"/>
      <c r="V310" s="1248"/>
      <c r="W310" s="1248"/>
      <c r="X310" s="1248"/>
      <c r="Y310" s="1248"/>
      <c r="Z310" s="1248"/>
      <c r="AA310" s="1248"/>
      <c r="AB310" s="1248"/>
      <c r="AC310" s="1248"/>
      <c r="AD310" s="1248"/>
      <c r="AE310" s="1248"/>
      <c r="AF310" s="1248"/>
      <c r="AG310" s="1248"/>
      <c r="AH310" s="1248"/>
      <c r="AI310" s="1248"/>
      <c r="AJ310" s="1248"/>
      <c r="AK310" s="1248"/>
      <c r="AL310" s="1248"/>
      <c r="AM310" s="1248"/>
      <c r="AN310" s="1248"/>
      <c r="AO310" s="1248"/>
      <c r="AP310" s="1248"/>
      <c r="AQ310" s="1248"/>
      <c r="AR310" s="1248"/>
      <c r="AS310" s="1248"/>
      <c r="AT310" s="1248"/>
      <c r="AU310" s="1248"/>
      <c r="AV310" s="1248"/>
      <c r="AW310" s="1248"/>
      <c r="AX310" s="1248"/>
      <c r="AY310" s="947"/>
      <c r="AZ310" s="1248"/>
      <c r="BA310" s="1248"/>
      <c r="BB310" s="1248"/>
      <c r="BC310" s="1248"/>
      <c r="BD310" s="1248"/>
      <c r="BE310" s="1248"/>
      <c r="BF310" s="1248"/>
      <c r="BG310" s="1248"/>
      <c r="BH310" s="1248"/>
      <c r="BI310" s="1248"/>
      <c r="BJ310" s="1248"/>
      <c r="BK310" s="1248"/>
      <c r="BL310" s="1248"/>
      <c r="BM310" s="1248"/>
      <c r="BN310" s="1248"/>
      <c r="BO310" s="1248"/>
      <c r="BP310" s="1248"/>
      <c r="BQ310" s="1248"/>
      <c r="BR310" s="1248"/>
      <c r="BS310" s="1248"/>
      <c r="BT310" s="1248"/>
      <c r="BU310" s="1248"/>
      <c r="BV310" s="1248"/>
      <c r="BW310" s="1248"/>
      <c r="BX310" s="1248"/>
      <c r="BY310" s="1248"/>
      <c r="BZ310" s="1248"/>
      <c r="CA310" s="1248"/>
      <c r="CB310" s="1248"/>
      <c r="CC310" s="1248"/>
    </row>
    <row r="311" spans="2:81">
      <c r="B311" s="680" t="s">
        <v>1056</v>
      </c>
      <c r="C311" s="343"/>
      <c r="D311" s="741"/>
      <c r="E311" s="1630"/>
      <c r="F311" s="309"/>
      <c r="G311" s="35"/>
      <c r="H311" s="35"/>
      <c r="I311" s="1179">
        <f t="shared" ref="I311:P311" si="277">I310/H310-1</f>
        <v>-3.091049810054336E-2</v>
      </c>
      <c r="J311" s="1179">
        <f t="shared" si="277"/>
        <v>-0.18696096597034384</v>
      </c>
      <c r="K311" s="1179">
        <f t="shared" si="277"/>
        <v>-0.1363073486283698</v>
      </c>
      <c r="L311" s="1179">
        <f t="shared" si="277"/>
        <v>0.11596494516449773</v>
      </c>
      <c r="M311" s="1179">
        <f t="shared" si="277"/>
        <v>9.4043807906804222E-2</v>
      </c>
      <c r="N311" s="2108">
        <f t="shared" si="277"/>
        <v>0.11432558139534899</v>
      </c>
      <c r="O311" s="1179">
        <f t="shared" si="277"/>
        <v>9.3695652173912958E-2</v>
      </c>
      <c r="P311" s="1179">
        <f t="shared" si="277"/>
        <v>0.11574468085106382</v>
      </c>
      <c r="Q311" s="630"/>
      <c r="R311" s="630"/>
      <c r="S311" s="630"/>
      <c r="U311" s="789"/>
      <c r="V311" s="596"/>
      <c r="W311" s="596"/>
      <c r="X311" s="596"/>
      <c r="Y311" s="596"/>
      <c r="Z311" s="596"/>
      <c r="AA311" s="596"/>
      <c r="AB311" s="596"/>
      <c r="AC311" s="596"/>
      <c r="AD311" s="596"/>
      <c r="AE311" s="596"/>
      <c r="AF311" s="596"/>
      <c r="AG311" s="596"/>
      <c r="AH311" s="596"/>
      <c r="AI311" s="596"/>
      <c r="AJ311" s="596"/>
      <c r="AK311" s="596"/>
      <c r="AL311" s="596"/>
      <c r="AM311" s="596"/>
      <c r="AN311" s="596"/>
      <c r="AO311" s="596"/>
      <c r="AP311" s="596"/>
      <c r="AQ311" s="596"/>
      <c r="AR311" s="596"/>
      <c r="AS311" s="596"/>
      <c r="AT311" s="596"/>
      <c r="AU311" s="596"/>
      <c r="AV311" s="596"/>
      <c r="AW311" s="596"/>
      <c r="AX311" s="596"/>
      <c r="AZ311" s="596"/>
      <c r="BA311" s="596"/>
      <c r="BB311" s="596"/>
      <c r="BC311" s="596"/>
      <c r="BD311" s="596"/>
      <c r="BE311" s="596"/>
      <c r="BF311" s="596"/>
      <c r="BG311" s="596"/>
      <c r="BH311" s="596"/>
      <c r="BI311" s="596"/>
      <c r="BJ311" s="596"/>
      <c r="BK311" s="596"/>
      <c r="BL311" s="596"/>
      <c r="BM311" s="596"/>
      <c r="BN311" s="596"/>
      <c r="BO311" s="596"/>
      <c r="BP311" s="596"/>
      <c r="BQ311" s="596"/>
      <c r="BR311" s="596"/>
      <c r="BS311" s="596"/>
      <c r="BT311" s="596"/>
      <c r="BU311" s="596"/>
      <c r="BV311" s="596"/>
      <c r="BW311" s="596"/>
      <c r="BX311" s="596"/>
      <c r="BY311" s="596"/>
      <c r="BZ311" s="596"/>
      <c r="CA311" s="596"/>
      <c r="CB311" s="596"/>
      <c r="CC311" s="596"/>
    </row>
    <row r="312" spans="2:81" s="37" customFormat="1">
      <c r="B312" s="829"/>
      <c r="C312" s="1168"/>
      <c r="D312" s="1354"/>
      <c r="E312" s="790"/>
      <c r="F312" s="1246"/>
      <c r="G312" s="1355"/>
      <c r="H312" s="1355"/>
      <c r="I312" s="1356"/>
      <c r="J312" s="1356"/>
      <c r="K312" s="1356"/>
      <c r="L312" s="1356"/>
      <c r="M312" s="1627"/>
      <c r="N312" s="2113"/>
      <c r="O312" s="1618"/>
      <c r="P312" s="1618"/>
      <c r="Q312" s="1202"/>
      <c r="R312" s="1202"/>
      <c r="S312" s="1202"/>
      <c r="T312" s="947"/>
      <c r="U312" s="1164"/>
      <c r="V312" s="1248"/>
      <c r="W312" s="1248"/>
      <c r="X312" s="1248"/>
      <c r="Y312" s="1248"/>
      <c r="Z312" s="1248"/>
      <c r="AA312" s="1248"/>
      <c r="AB312" s="1248"/>
      <c r="AC312" s="1248"/>
      <c r="AD312" s="1248"/>
      <c r="AE312" s="1248"/>
      <c r="AF312" s="1248"/>
      <c r="AG312" s="1248"/>
      <c r="AH312" s="1248"/>
      <c r="AI312" s="1248"/>
      <c r="AJ312" s="1248"/>
      <c r="AK312" s="1248"/>
      <c r="AL312" s="1248"/>
      <c r="AM312" s="1248"/>
      <c r="AN312" s="1248"/>
      <c r="AO312" s="1248"/>
      <c r="AP312" s="1248"/>
      <c r="AQ312" s="1248"/>
      <c r="AR312" s="1248"/>
      <c r="AS312" s="1248"/>
      <c r="AT312" s="1248"/>
      <c r="AU312" s="1248"/>
      <c r="AV312" s="1248"/>
      <c r="AW312" s="1248"/>
      <c r="AX312" s="1248"/>
      <c r="AY312" s="947"/>
      <c r="AZ312" s="1248"/>
      <c r="BA312" s="1248"/>
      <c r="BB312" s="1248"/>
      <c r="BC312" s="1248"/>
      <c r="BD312" s="1248"/>
      <c r="BE312" s="1248"/>
      <c r="BF312" s="1248"/>
      <c r="BG312" s="1248"/>
      <c r="BH312" s="1248"/>
      <c r="BI312" s="1248"/>
      <c r="BJ312" s="1248"/>
      <c r="BK312" s="1248"/>
      <c r="BL312" s="1248"/>
      <c r="BM312" s="1248"/>
      <c r="BN312" s="1248"/>
      <c r="BO312" s="1248"/>
      <c r="BP312" s="1248"/>
      <c r="BQ312" s="1248"/>
      <c r="BR312" s="1248"/>
      <c r="BS312" s="1248"/>
      <c r="BT312" s="1248"/>
      <c r="BU312" s="1248"/>
      <c r="BV312" s="1248"/>
      <c r="BW312" s="1248"/>
      <c r="BX312" s="1248"/>
      <c r="BY312" s="1248"/>
      <c r="BZ312" s="1248"/>
      <c r="CA312" s="1248"/>
      <c r="CB312" s="1248"/>
      <c r="CC312" s="1248"/>
    </row>
    <row r="313" spans="2:81" s="37" customFormat="1">
      <c r="B313" s="1631" t="s">
        <v>1525</v>
      </c>
      <c r="C313" s="1168"/>
      <c r="D313" s="1354"/>
      <c r="E313" s="790"/>
      <c r="F313" s="1246"/>
      <c r="G313" s="1487"/>
      <c r="H313" s="1487">
        <f>I313/(1+I331)</f>
        <v>244.375</v>
      </c>
      <c r="I313" s="1487">
        <f>J313/(1+J331)</f>
        <v>262.08333333333337</v>
      </c>
      <c r="J313" s="1487">
        <f>K313/(1+K331)</f>
        <v>293.95833333333337</v>
      </c>
      <c r="K313" s="1487">
        <f>L313/(1+L331)</f>
        <v>312.84722222222223</v>
      </c>
      <c r="L313" s="1202">
        <v>340</v>
      </c>
      <c r="M313" s="1636">
        <f>L313*(M314+1)</f>
        <v>370.6</v>
      </c>
      <c r="N313" s="2114">
        <f>M313*(N314+1)</f>
        <v>374.30600000000004</v>
      </c>
      <c r="O313" s="1636">
        <f>N313*(O314+1)</f>
        <v>378.04906000000005</v>
      </c>
      <c r="P313" s="1636">
        <f>O313*(P314+1)</f>
        <v>381.82955060000006</v>
      </c>
      <c r="Q313" s="1202"/>
      <c r="R313" s="1202"/>
      <c r="S313" s="1202"/>
      <c r="T313" s="947"/>
      <c r="U313" s="1164"/>
      <c r="V313" s="1248"/>
      <c r="W313" s="1248"/>
      <c r="X313" s="1248"/>
      <c r="Y313" s="1248"/>
      <c r="Z313" s="1248"/>
      <c r="AA313" s="1248"/>
      <c r="AB313" s="1248"/>
      <c r="AC313" s="1248"/>
      <c r="AD313" s="1248"/>
      <c r="AE313" s="1248"/>
      <c r="AF313" s="1248"/>
      <c r="AG313" s="1248"/>
      <c r="AH313" s="1248"/>
      <c r="AI313" s="1248"/>
      <c r="AJ313" s="1248"/>
      <c r="AK313" s="1248"/>
      <c r="AL313" s="1248"/>
      <c r="AM313" s="1248"/>
      <c r="AN313" s="1248"/>
      <c r="AO313" s="1248"/>
      <c r="AP313" s="1248"/>
      <c r="AQ313" s="1248"/>
      <c r="AR313" s="1248"/>
      <c r="AS313" s="1248"/>
      <c r="AT313" s="1248"/>
      <c r="AU313" s="1248"/>
      <c r="AV313" s="1248"/>
      <c r="AW313" s="1248"/>
      <c r="AX313" s="1248"/>
      <c r="AY313" s="947"/>
      <c r="AZ313" s="1248"/>
      <c r="BA313" s="1248"/>
      <c r="BB313" s="1248"/>
      <c r="BC313" s="1248"/>
      <c r="BD313" s="1248"/>
      <c r="BE313" s="1248"/>
      <c r="BF313" s="1248"/>
      <c r="BG313" s="1248"/>
      <c r="BH313" s="1248"/>
      <c r="BI313" s="1248"/>
      <c r="BJ313" s="1248"/>
      <c r="BK313" s="1248"/>
      <c r="BL313" s="1248"/>
      <c r="BM313" s="1248"/>
      <c r="BN313" s="1248"/>
      <c r="BO313" s="1248"/>
      <c r="BP313" s="1248"/>
      <c r="BQ313" s="1248"/>
      <c r="BR313" s="1248"/>
      <c r="BS313" s="1248"/>
      <c r="BT313" s="1248"/>
      <c r="BU313" s="1248"/>
      <c r="BV313" s="1248"/>
      <c r="BW313" s="1248"/>
      <c r="BX313" s="1248"/>
      <c r="BY313" s="1248"/>
      <c r="BZ313" s="1248"/>
      <c r="CA313" s="1248"/>
      <c r="CB313" s="1248"/>
      <c r="CC313" s="1248"/>
    </row>
    <row r="314" spans="2:81">
      <c r="B314" s="680" t="s">
        <v>1056</v>
      </c>
      <c r="C314" s="343"/>
      <c r="D314" s="741"/>
      <c r="E314" s="631"/>
      <c r="F314" s="344"/>
      <c r="G314" s="1211"/>
      <c r="H314" s="1211"/>
      <c r="I314" s="1634">
        <f>I313/H313-1</f>
        <v>7.2463768115942129E-2</v>
      </c>
      <c r="J314" s="1634">
        <f>J313/I313-1</f>
        <v>0.12162162162162171</v>
      </c>
      <c r="K314" s="1634">
        <f>K313/J313-1</f>
        <v>6.425702811244971E-2</v>
      </c>
      <c r="L314" s="1199">
        <f>L313/K313-1</f>
        <v>8.679245283018866E-2</v>
      </c>
      <c r="M314" s="1635">
        <v>0.09</v>
      </c>
      <c r="N314" s="2115">
        <v>0.01</v>
      </c>
      <c r="O314" s="2115">
        <v>0.01</v>
      </c>
      <c r="P314" s="2115">
        <v>0.01</v>
      </c>
      <c r="Q314" s="630"/>
      <c r="R314" s="630"/>
      <c r="S314" s="630"/>
      <c r="T314" s="945"/>
      <c r="U314" s="789"/>
      <c r="V314" s="635"/>
      <c r="W314" s="635"/>
      <c r="X314" s="635"/>
      <c r="Y314" s="635"/>
      <c r="Z314" s="635"/>
      <c r="AA314" s="635"/>
      <c r="AB314" s="635"/>
      <c r="AC314" s="635"/>
      <c r="AD314" s="635"/>
      <c r="AE314" s="635"/>
      <c r="AF314" s="635"/>
      <c r="AG314" s="635"/>
      <c r="AH314" s="635"/>
      <c r="AI314" s="635"/>
      <c r="AJ314" s="635"/>
      <c r="AK314" s="635"/>
      <c r="AL314" s="635"/>
      <c r="AM314" s="635"/>
      <c r="AN314" s="635"/>
      <c r="AO314" s="635"/>
      <c r="AP314" s="635"/>
      <c r="AQ314" s="635"/>
      <c r="AR314" s="635"/>
      <c r="AS314" s="635"/>
      <c r="AT314" s="635"/>
      <c r="AU314" s="635"/>
      <c r="AV314" s="635"/>
      <c r="AW314" s="635"/>
      <c r="AX314" s="635"/>
      <c r="AY314" s="945"/>
      <c r="AZ314" s="635"/>
      <c r="BA314" s="635"/>
      <c r="BB314" s="635"/>
      <c r="BC314" s="635"/>
      <c r="BD314" s="635"/>
      <c r="BE314" s="635"/>
      <c r="BF314" s="635"/>
      <c r="BG314" s="635"/>
      <c r="BH314" s="635"/>
      <c r="BI314" s="635"/>
      <c r="BJ314" s="635"/>
      <c r="BK314" s="635"/>
      <c r="BL314" s="635"/>
      <c r="BM314" s="635"/>
      <c r="BN314" s="635"/>
      <c r="BO314" s="635"/>
      <c r="BP314" s="635"/>
      <c r="BQ314" s="635"/>
      <c r="BR314" s="635"/>
      <c r="BS314" s="635"/>
      <c r="BT314" s="635"/>
      <c r="BU314" s="635"/>
      <c r="BV314" s="635"/>
      <c r="BW314" s="635"/>
      <c r="BX314" s="635"/>
      <c r="BY314" s="635"/>
      <c r="BZ314" s="635"/>
      <c r="CA314" s="635"/>
      <c r="CB314" s="635"/>
      <c r="CC314" s="635"/>
    </row>
    <row r="315" spans="2:81" s="37" customFormat="1">
      <c r="B315" s="1631" t="s">
        <v>1526</v>
      </c>
      <c r="C315" s="1168"/>
      <c r="D315" s="1354"/>
      <c r="E315" s="790"/>
      <c r="F315" s="1246"/>
      <c r="G315" s="756"/>
      <c r="H315" s="756">
        <f>H382/H313*1000</f>
        <v>10311.786393861892</v>
      </c>
      <c r="I315" s="756">
        <f>I382/I313*1000</f>
        <v>10497.378314785372</v>
      </c>
      <c r="J315" s="756">
        <f>J382/J313*1000</f>
        <v>10882.72949252445</v>
      </c>
      <c r="K315" s="756">
        <f>K382/K313*1000</f>
        <v>10720.887902330744</v>
      </c>
      <c r="L315" s="756">
        <f>L382/L313*1000</f>
        <v>11061.629805882352</v>
      </c>
      <c r="M315" s="1636">
        <f>L315*(M316+1)</f>
        <v>11614.711296176471</v>
      </c>
      <c r="N315" s="2114">
        <f>M315*(N316+1)</f>
        <v>12950.403095236765</v>
      </c>
      <c r="O315" s="1636">
        <f>N315*(O316+1)</f>
        <v>13468.419219046236</v>
      </c>
      <c r="P315" s="1636">
        <f>O315*(P316+1)</f>
        <v>14007.155987808086</v>
      </c>
      <c r="Q315" s="1202"/>
      <c r="R315" s="1202"/>
      <c r="S315" s="1202"/>
      <c r="T315" s="947"/>
      <c r="U315" s="1164"/>
      <c r="V315" s="1248"/>
      <c r="W315" s="1248"/>
      <c r="X315" s="1248"/>
      <c r="Y315" s="1248"/>
      <c r="Z315" s="1248"/>
      <c r="AA315" s="1248"/>
      <c r="AB315" s="1248"/>
      <c r="AC315" s="1248"/>
      <c r="AD315" s="1248"/>
      <c r="AE315" s="1248"/>
      <c r="AF315" s="1248"/>
      <c r="AG315" s="1248"/>
      <c r="AH315" s="1248"/>
      <c r="AI315" s="1248"/>
      <c r="AJ315" s="1248"/>
      <c r="AK315" s="1248"/>
      <c r="AL315" s="1248"/>
      <c r="AM315" s="1248"/>
      <c r="AN315" s="1248"/>
      <c r="AO315" s="1248"/>
      <c r="AP315" s="1248"/>
      <c r="AQ315" s="1248"/>
      <c r="AR315" s="1248"/>
      <c r="AS315" s="1248"/>
      <c r="AT315" s="1248"/>
      <c r="AU315" s="1248"/>
      <c r="AV315" s="1248"/>
      <c r="AW315" s="1248"/>
      <c r="AX315" s="1248"/>
      <c r="AY315" s="947"/>
      <c r="AZ315" s="1248"/>
      <c r="BA315" s="1248"/>
      <c r="BB315" s="1248"/>
      <c r="BC315" s="1248"/>
      <c r="BD315" s="1248"/>
      <c r="BE315" s="1248"/>
      <c r="BF315" s="1248"/>
      <c r="BG315" s="1248"/>
      <c r="BH315" s="1248"/>
      <c r="BI315" s="1248"/>
      <c r="BJ315" s="1248"/>
      <c r="BK315" s="1248"/>
      <c r="BL315" s="1248"/>
      <c r="BM315" s="1248"/>
      <c r="BN315" s="1248"/>
      <c r="BO315" s="1248"/>
      <c r="BP315" s="1248"/>
      <c r="BQ315" s="1248"/>
      <c r="BR315" s="1248"/>
      <c r="BS315" s="1248"/>
      <c r="BT315" s="1248"/>
      <c r="BU315" s="1248"/>
      <c r="BV315" s="1248"/>
      <c r="BW315" s="1248"/>
      <c r="BX315" s="1248"/>
      <c r="BY315" s="1248"/>
      <c r="BZ315" s="1248"/>
      <c r="CA315" s="1248"/>
      <c r="CB315" s="1248"/>
      <c r="CC315" s="1248"/>
    </row>
    <row r="316" spans="2:81">
      <c r="B316" s="680" t="s">
        <v>1056</v>
      </c>
      <c r="C316" s="343"/>
      <c r="D316" s="741"/>
      <c r="E316" s="631"/>
      <c r="F316" s="344"/>
      <c r="G316" s="1200"/>
      <c r="H316" s="1634"/>
      <c r="I316" s="1634">
        <f>I315/H315-1</f>
        <v>1.7998037763268027E-2</v>
      </c>
      <c r="J316" s="1634">
        <f>J315/I315-1</f>
        <v>3.6709277896207482E-2</v>
      </c>
      <c r="K316" s="1634">
        <f>K315/J315-1</f>
        <v>-1.4871415328744364E-2</v>
      </c>
      <c r="L316" s="1199">
        <f>L315/K315-1</f>
        <v>3.1782992850576397E-2</v>
      </c>
      <c r="M316" s="1635">
        <v>0.05</v>
      </c>
      <c r="N316" s="2115">
        <v>0.115</v>
      </c>
      <c r="O316" s="1635">
        <v>0.04</v>
      </c>
      <c r="P316" s="1635">
        <v>0.04</v>
      </c>
      <c r="Q316" s="630"/>
      <c r="R316" s="630"/>
      <c r="S316" s="630"/>
      <c r="T316" s="945"/>
      <c r="U316" s="789"/>
      <c r="V316" s="635"/>
      <c r="W316" s="635"/>
      <c r="X316" s="635"/>
      <c r="Y316" s="635"/>
      <c r="Z316" s="635"/>
      <c r="AA316" s="635"/>
      <c r="AB316" s="635"/>
      <c r="AC316" s="635"/>
      <c r="AD316" s="635"/>
      <c r="AE316" s="635"/>
      <c r="AF316" s="635"/>
      <c r="AG316" s="635"/>
      <c r="AH316" s="635"/>
      <c r="AI316" s="635"/>
      <c r="AJ316" s="635"/>
      <c r="AK316" s="635"/>
      <c r="AL316" s="635"/>
      <c r="AM316" s="635"/>
      <c r="AN316" s="635"/>
      <c r="AO316" s="635"/>
      <c r="AP316" s="635"/>
      <c r="AQ316" s="635"/>
      <c r="AR316" s="635"/>
      <c r="AS316" s="635"/>
      <c r="AT316" s="635"/>
      <c r="AU316" s="635"/>
      <c r="AV316" s="635"/>
      <c r="AW316" s="635"/>
      <c r="AX316" s="635"/>
      <c r="AY316" s="945"/>
      <c r="AZ316" s="635"/>
      <c r="BA316" s="635"/>
      <c r="BB316" s="635"/>
      <c r="BC316" s="635"/>
      <c r="BD316" s="635"/>
      <c r="BE316" s="635"/>
      <c r="BF316" s="635"/>
      <c r="BG316" s="635"/>
      <c r="BH316" s="635"/>
      <c r="BI316" s="635"/>
      <c r="BJ316" s="635"/>
      <c r="BK316" s="635"/>
      <c r="BL316" s="635"/>
      <c r="BM316" s="635"/>
      <c r="BN316" s="635"/>
      <c r="BO316" s="635"/>
      <c r="BP316" s="635"/>
      <c r="BQ316" s="635"/>
      <c r="BR316" s="635"/>
      <c r="BS316" s="635"/>
      <c r="BT316" s="635"/>
      <c r="BU316" s="635"/>
      <c r="BV316" s="635"/>
      <c r="BW316" s="635"/>
      <c r="BX316" s="635"/>
      <c r="BY316" s="635"/>
      <c r="BZ316" s="635"/>
      <c r="CA316" s="635"/>
      <c r="CB316" s="635"/>
      <c r="CC316" s="635"/>
    </row>
    <row r="317" spans="2:81">
      <c r="B317" s="1707" t="s">
        <v>1588</v>
      </c>
      <c r="C317" s="343"/>
      <c r="D317" s="741"/>
      <c r="E317" s="631"/>
      <c r="F317" s="344"/>
      <c r="G317" s="1200"/>
      <c r="H317" s="1200"/>
      <c r="I317" s="867">
        <f t="shared" ref="I317:P317" si="278">I340/I313*1000</f>
        <v>10392.404531637518</v>
      </c>
      <c r="J317" s="867">
        <f t="shared" si="278"/>
        <v>10501.833960286094</v>
      </c>
      <c r="K317" s="867">
        <f t="shared" si="278"/>
        <v>10399.261265260822</v>
      </c>
      <c r="L317" s="867">
        <f t="shared" si="278"/>
        <v>9678.9260801470591</v>
      </c>
      <c r="M317" s="867">
        <f t="shared" si="278"/>
        <v>9294.0141361257411</v>
      </c>
      <c r="N317" s="1532">
        <f t="shared" si="278"/>
        <v>9648.0503059513885</v>
      </c>
      <c r="O317" s="867">
        <f t="shared" si="278"/>
        <v>9629.9197416180596</v>
      </c>
      <c r="P317" s="867">
        <f t="shared" si="278"/>
        <v>9594.9018516485394</v>
      </c>
      <c r="Q317" s="630"/>
      <c r="R317" s="630"/>
      <c r="S317" s="630"/>
      <c r="T317" s="945"/>
      <c r="U317" s="789"/>
      <c r="V317" s="635"/>
      <c r="W317" s="635"/>
      <c r="X317" s="635"/>
      <c r="Y317" s="635"/>
      <c r="Z317" s="635"/>
      <c r="AA317" s="635"/>
      <c r="AB317" s="635"/>
      <c r="AC317" s="635"/>
      <c r="AD317" s="635"/>
      <c r="AE317" s="635"/>
      <c r="AF317" s="635"/>
      <c r="AG317" s="635"/>
      <c r="AH317" s="635"/>
      <c r="AI317" s="635"/>
      <c r="AJ317" s="635"/>
      <c r="AK317" s="635"/>
      <c r="AL317" s="635"/>
      <c r="AM317" s="635"/>
      <c r="AN317" s="635"/>
      <c r="AO317" s="635"/>
      <c r="AP317" s="635"/>
      <c r="AQ317" s="635"/>
      <c r="AR317" s="635"/>
      <c r="AS317" s="635"/>
      <c r="AT317" s="635"/>
      <c r="AU317" s="635"/>
      <c r="AV317" s="635"/>
      <c r="AW317" s="635"/>
      <c r="AX317" s="635"/>
      <c r="AY317" s="945"/>
      <c r="AZ317" s="635"/>
      <c r="BA317" s="635"/>
      <c r="BB317" s="635"/>
      <c r="BC317" s="635"/>
      <c r="BD317" s="635"/>
      <c r="BE317" s="635"/>
      <c r="BF317" s="635"/>
      <c r="BG317" s="635"/>
      <c r="BH317" s="635"/>
      <c r="BI317" s="635"/>
      <c r="BJ317" s="635"/>
      <c r="BK317" s="635"/>
      <c r="BL317" s="635"/>
      <c r="BM317" s="635"/>
      <c r="BN317" s="635"/>
      <c r="BO317" s="635"/>
      <c r="BP317" s="635"/>
      <c r="BQ317" s="635"/>
      <c r="BR317" s="635"/>
      <c r="BS317" s="635"/>
      <c r="BT317" s="635"/>
      <c r="BU317" s="635"/>
      <c r="BV317" s="635"/>
      <c r="BW317" s="635"/>
      <c r="BX317" s="635"/>
      <c r="BY317" s="635"/>
      <c r="BZ317" s="635"/>
      <c r="CA317" s="635"/>
      <c r="CB317" s="635"/>
      <c r="CC317" s="635"/>
    </row>
    <row r="318" spans="2:81">
      <c r="B318" s="1707" t="s">
        <v>1589</v>
      </c>
      <c r="C318" s="343"/>
      <c r="D318" s="741"/>
      <c r="E318" s="631"/>
      <c r="F318" s="344"/>
      <c r="G318" s="1200"/>
      <c r="H318" s="1200"/>
      <c r="I318" s="867">
        <f>I315-I317</f>
        <v>104.97378314785419</v>
      </c>
      <c r="J318" s="867">
        <f t="shared" ref="J318:P318" si="279">J315-J317</f>
        <v>380.89553223835537</v>
      </c>
      <c r="K318" s="867">
        <f t="shared" si="279"/>
        <v>321.62663706992134</v>
      </c>
      <c r="L318" s="867">
        <f t="shared" si="279"/>
        <v>1382.7037257352931</v>
      </c>
      <c r="M318" s="867">
        <f t="shared" si="279"/>
        <v>2320.6971600507295</v>
      </c>
      <c r="N318" s="1532">
        <f t="shared" si="279"/>
        <v>3302.3527892853763</v>
      </c>
      <c r="O318" s="867">
        <f t="shared" si="279"/>
        <v>3838.4994774281768</v>
      </c>
      <c r="P318" s="867">
        <f t="shared" si="279"/>
        <v>4412.2541361595468</v>
      </c>
      <c r="Q318" s="630"/>
      <c r="R318" s="630"/>
      <c r="S318" s="630"/>
      <c r="T318" s="945"/>
      <c r="U318" s="789"/>
      <c r="V318" s="635"/>
      <c r="W318" s="635"/>
      <c r="X318" s="635"/>
      <c r="Y318" s="635"/>
      <c r="Z318" s="635"/>
      <c r="AA318" s="635"/>
      <c r="AB318" s="635"/>
      <c r="AC318" s="635"/>
      <c r="AD318" s="635"/>
      <c r="AE318" s="635"/>
      <c r="AF318" s="635"/>
      <c r="AG318" s="635"/>
      <c r="AH318" s="635"/>
      <c r="AI318" s="635"/>
      <c r="AJ318" s="635"/>
      <c r="AK318" s="635"/>
      <c r="AL318" s="635"/>
      <c r="AM318" s="635"/>
      <c r="AN318" s="635"/>
      <c r="AO318" s="635"/>
      <c r="AP318" s="635"/>
      <c r="AQ318" s="635"/>
      <c r="AR318" s="635"/>
      <c r="AS318" s="635"/>
      <c r="AT318" s="635"/>
      <c r="AU318" s="635"/>
      <c r="AV318" s="635"/>
      <c r="AW318" s="635"/>
      <c r="AX318" s="635"/>
      <c r="AY318" s="945"/>
      <c r="AZ318" s="635"/>
      <c r="BA318" s="635"/>
      <c r="BB318" s="635"/>
      <c r="BC318" s="635"/>
      <c r="BD318" s="635"/>
      <c r="BE318" s="635"/>
      <c r="BF318" s="635"/>
      <c r="BG318" s="635"/>
      <c r="BH318" s="635"/>
      <c r="BI318" s="635"/>
      <c r="BJ318" s="635"/>
      <c r="BK318" s="635"/>
      <c r="BL318" s="635"/>
      <c r="BM318" s="635"/>
      <c r="BN318" s="635"/>
      <c r="BO318" s="635"/>
      <c r="BP318" s="635"/>
      <c r="BQ318" s="635"/>
      <c r="BR318" s="635"/>
      <c r="BS318" s="635"/>
      <c r="BT318" s="635"/>
      <c r="BU318" s="635"/>
      <c r="BV318" s="635"/>
      <c r="BW318" s="635"/>
      <c r="BX318" s="635"/>
      <c r="BY318" s="635"/>
      <c r="BZ318" s="635"/>
      <c r="CA318" s="635"/>
      <c r="CB318" s="635"/>
      <c r="CC318" s="635"/>
    </row>
    <row r="319" spans="2:81">
      <c r="B319" s="1632"/>
      <c r="C319" s="343"/>
      <c r="D319" s="741"/>
      <c r="E319" s="631"/>
      <c r="F319" s="344"/>
      <c r="G319" s="1200"/>
      <c r="H319" s="1200"/>
      <c r="I319" s="1258"/>
      <c r="J319" s="1258"/>
      <c r="K319" s="1258"/>
      <c r="L319" s="630"/>
      <c r="M319" s="1633"/>
      <c r="N319" s="2116"/>
      <c r="O319" s="782"/>
      <c r="P319" s="782"/>
      <c r="Q319" s="630"/>
      <c r="R319" s="630"/>
      <c r="S319" s="630"/>
      <c r="T319" s="945"/>
      <c r="U319" s="789"/>
      <c r="V319" s="635"/>
      <c r="W319" s="635"/>
      <c r="X319" s="635"/>
      <c r="Y319" s="635"/>
      <c r="Z319" s="635"/>
      <c r="AA319" s="635"/>
      <c r="AB319" s="635"/>
      <c r="AC319" s="635"/>
      <c r="AD319" s="635"/>
      <c r="AE319" s="635"/>
      <c r="AF319" s="635"/>
      <c r="AG319" s="635"/>
      <c r="AH319" s="635"/>
      <c r="AI319" s="635"/>
      <c r="AJ319" s="635"/>
      <c r="AK319" s="635"/>
      <c r="AL319" s="635"/>
      <c r="AM319" s="635"/>
      <c r="AN319" s="635"/>
      <c r="AO319" s="635"/>
      <c r="AP319" s="635"/>
      <c r="AQ319" s="635"/>
      <c r="AR319" s="635"/>
      <c r="AS319" s="635"/>
      <c r="AT319" s="635"/>
      <c r="AU319" s="635"/>
      <c r="AV319" s="635"/>
      <c r="AW319" s="635"/>
      <c r="AX319" s="635"/>
      <c r="AY319" s="945"/>
      <c r="AZ319" s="635"/>
      <c r="BA319" s="635"/>
      <c r="BB319" s="635"/>
      <c r="BC319" s="635"/>
      <c r="BD319" s="635"/>
      <c r="BE319" s="635"/>
      <c r="BF319" s="635"/>
      <c r="BG319" s="635"/>
      <c r="BH319" s="635"/>
      <c r="BI319" s="635"/>
      <c r="BJ319" s="635"/>
      <c r="BK319" s="635"/>
      <c r="BL319" s="635"/>
      <c r="BM319" s="635"/>
      <c r="BN319" s="635"/>
      <c r="BO319" s="635"/>
      <c r="BP319" s="635"/>
      <c r="BQ319" s="635"/>
      <c r="BR319" s="635"/>
      <c r="BS319" s="635"/>
      <c r="BT319" s="635"/>
      <c r="BU319" s="635"/>
      <c r="BV319" s="635"/>
      <c r="BW319" s="635"/>
      <c r="BX319" s="635"/>
      <c r="BY319" s="635"/>
      <c r="BZ319" s="635"/>
      <c r="CA319" s="635"/>
      <c r="CB319" s="635"/>
      <c r="CC319" s="635"/>
    </row>
    <row r="320" spans="2:81" hidden="1" outlineLevel="1">
      <c r="B320" s="1632"/>
      <c r="C320" s="343"/>
      <c r="D320" s="741"/>
      <c r="E320" s="631"/>
      <c r="F320" s="344"/>
      <c r="G320" s="1200"/>
      <c r="H320" s="1200"/>
      <c r="I320" s="1258"/>
      <c r="J320" s="1258"/>
      <c r="K320" s="1258"/>
      <c r="L320" s="630"/>
      <c r="M320" s="1633"/>
      <c r="N320" s="2116"/>
      <c r="O320" s="782"/>
      <c r="P320" s="782"/>
      <c r="Q320" s="630"/>
      <c r="R320" s="630"/>
      <c r="S320" s="630"/>
      <c r="T320" s="945"/>
      <c r="U320" s="789"/>
      <c r="V320" s="635"/>
      <c r="W320" s="635"/>
      <c r="X320" s="635"/>
      <c r="Y320" s="635"/>
      <c r="Z320" s="635"/>
      <c r="AA320" s="635"/>
      <c r="AB320" s="635"/>
      <c r="AC320" s="635"/>
      <c r="AD320" s="635"/>
      <c r="AE320" s="635"/>
      <c r="AF320" s="635"/>
      <c r="AG320" s="635"/>
      <c r="AH320" s="635"/>
      <c r="AI320" s="635"/>
      <c r="AJ320" s="635"/>
      <c r="AK320" s="635"/>
      <c r="AL320" s="635"/>
      <c r="AM320" s="635"/>
      <c r="AN320" s="635"/>
      <c r="AO320" s="635"/>
      <c r="AP320" s="635"/>
      <c r="AQ320" s="635"/>
      <c r="AR320" s="635"/>
      <c r="AS320" s="635"/>
      <c r="AT320" s="635"/>
      <c r="AU320" s="635"/>
      <c r="AV320" s="635"/>
      <c r="AW320" s="635"/>
      <c r="AX320" s="635"/>
      <c r="AY320" s="945"/>
      <c r="AZ320" s="635"/>
      <c r="BA320" s="635"/>
      <c r="BB320" s="635"/>
      <c r="BC320" s="635"/>
      <c r="BD320" s="635"/>
      <c r="BE320" s="635"/>
      <c r="BF320" s="635"/>
      <c r="BG320" s="635"/>
      <c r="BH320" s="635"/>
      <c r="BI320" s="635"/>
      <c r="BJ320" s="635"/>
      <c r="BK320" s="635"/>
      <c r="BL320" s="635"/>
      <c r="BM320" s="635"/>
      <c r="BN320" s="635"/>
      <c r="BO320" s="635"/>
      <c r="BP320" s="635"/>
      <c r="BQ320" s="635"/>
      <c r="BR320" s="635"/>
      <c r="BS320" s="635"/>
      <c r="BT320" s="635"/>
      <c r="BU320" s="635"/>
      <c r="BV320" s="635"/>
      <c r="BW320" s="635"/>
      <c r="BX320" s="635"/>
      <c r="BY320" s="635"/>
      <c r="BZ320" s="635"/>
      <c r="CA320" s="635"/>
      <c r="CB320" s="635"/>
      <c r="CC320" s="635"/>
    </row>
    <row r="321" spans="2:81" hidden="1" outlineLevel="1">
      <c r="B321" s="1632"/>
      <c r="C321" s="343"/>
      <c r="D321" s="741"/>
      <c r="E321" s="631"/>
      <c r="F321" s="344"/>
      <c r="G321" s="1200"/>
      <c r="H321" s="1200"/>
      <c r="I321" s="1258"/>
      <c r="J321" s="1258"/>
      <c r="K321" s="1258"/>
      <c r="L321" s="630"/>
      <c r="M321" s="1633"/>
      <c r="N321" s="2116"/>
      <c r="O321" s="782"/>
      <c r="P321" s="782"/>
      <c r="Q321" s="630"/>
      <c r="R321" s="630"/>
      <c r="S321" s="630"/>
      <c r="T321" s="945"/>
      <c r="U321" s="789"/>
      <c r="V321" s="635"/>
      <c r="W321" s="635"/>
      <c r="X321" s="635"/>
      <c r="Y321" s="635"/>
      <c r="Z321" s="635"/>
      <c r="AA321" s="635"/>
      <c r="AB321" s="635"/>
      <c r="AC321" s="635"/>
      <c r="AD321" s="635"/>
      <c r="AE321" s="635"/>
      <c r="AF321" s="635"/>
      <c r="AG321" s="635"/>
      <c r="AH321" s="635"/>
      <c r="AI321" s="635"/>
      <c r="AJ321" s="635"/>
      <c r="AK321" s="635"/>
      <c r="AL321" s="635"/>
      <c r="AM321" s="635"/>
      <c r="AN321" s="635"/>
      <c r="AO321" s="635"/>
      <c r="AP321" s="635"/>
      <c r="AQ321" s="635"/>
      <c r="AR321" s="635"/>
      <c r="AS321" s="635"/>
      <c r="AT321" s="635"/>
      <c r="AU321" s="635"/>
      <c r="AV321" s="635"/>
      <c r="AW321" s="635"/>
      <c r="AX321" s="635"/>
      <c r="AY321" s="945"/>
      <c r="AZ321" s="635"/>
      <c r="BA321" s="635"/>
      <c r="BB321" s="635"/>
      <c r="BC321" s="635"/>
      <c r="BD321" s="635"/>
      <c r="BE321" s="635"/>
      <c r="BF321" s="635"/>
      <c r="BG321" s="635"/>
      <c r="BH321" s="635"/>
      <c r="BI321" s="635"/>
      <c r="BJ321" s="635"/>
      <c r="BK321" s="635"/>
      <c r="BL321" s="635"/>
      <c r="BM321" s="635"/>
      <c r="BN321" s="635"/>
      <c r="BO321" s="635"/>
      <c r="BP321" s="635"/>
      <c r="BQ321" s="635"/>
      <c r="BR321" s="635"/>
      <c r="BS321" s="635"/>
      <c r="BT321" s="635"/>
      <c r="BU321" s="635"/>
      <c r="BV321" s="635"/>
      <c r="BW321" s="635"/>
      <c r="BX321" s="635"/>
      <c r="BY321" s="635"/>
      <c r="BZ321" s="635"/>
      <c r="CA321" s="635"/>
      <c r="CB321" s="635"/>
      <c r="CC321" s="635"/>
    </row>
    <row r="322" spans="2:81" hidden="1" outlineLevel="1">
      <c r="B322" s="1632"/>
      <c r="C322" s="343"/>
      <c r="D322" s="741"/>
      <c r="E322" s="631"/>
      <c r="F322" s="344"/>
      <c r="G322" s="1200"/>
      <c r="H322" s="1200"/>
      <c r="I322" s="1258"/>
      <c r="J322" s="1258"/>
      <c r="K322" s="1258"/>
      <c r="L322" s="630"/>
      <c r="M322" s="1633"/>
      <c r="N322" s="2116"/>
      <c r="O322" s="782"/>
      <c r="P322" s="782"/>
      <c r="Q322" s="630"/>
      <c r="R322" s="630"/>
      <c r="S322" s="630"/>
      <c r="T322" s="945"/>
      <c r="U322" s="789"/>
      <c r="V322" s="635"/>
      <c r="W322" s="635"/>
      <c r="X322" s="635"/>
      <c r="Y322" s="635"/>
      <c r="Z322" s="635"/>
      <c r="AA322" s="635"/>
      <c r="AB322" s="635"/>
      <c r="AC322" s="635"/>
      <c r="AD322" s="635"/>
      <c r="AE322" s="635"/>
      <c r="AF322" s="635"/>
      <c r="AG322" s="635"/>
      <c r="AH322" s="635"/>
      <c r="AI322" s="635"/>
      <c r="AJ322" s="635"/>
      <c r="AK322" s="635"/>
      <c r="AL322" s="635"/>
      <c r="AM322" s="635"/>
      <c r="AN322" s="635"/>
      <c r="AO322" s="635"/>
      <c r="AP322" s="635"/>
      <c r="AQ322" s="635"/>
      <c r="AR322" s="635"/>
      <c r="AS322" s="635"/>
      <c r="AT322" s="635"/>
      <c r="AU322" s="635"/>
      <c r="AV322" s="635"/>
      <c r="AW322" s="635"/>
      <c r="AX322" s="635"/>
      <c r="AY322" s="945"/>
      <c r="AZ322" s="635"/>
      <c r="BA322" s="635"/>
      <c r="BB322" s="635"/>
      <c r="BC322" s="635"/>
      <c r="BD322" s="635"/>
      <c r="BE322" s="635"/>
      <c r="BF322" s="635"/>
      <c r="BG322" s="635"/>
      <c r="BH322" s="635"/>
      <c r="BI322" s="635"/>
      <c r="BJ322" s="635"/>
      <c r="BK322" s="635"/>
      <c r="BL322" s="635"/>
      <c r="BM322" s="635"/>
      <c r="BN322" s="635"/>
      <c r="BO322" s="635"/>
      <c r="BP322" s="635"/>
      <c r="BQ322" s="635"/>
      <c r="BR322" s="635"/>
      <c r="BS322" s="635"/>
      <c r="BT322" s="635"/>
      <c r="BU322" s="635"/>
      <c r="BV322" s="635"/>
      <c r="BW322" s="635"/>
      <c r="BX322" s="635"/>
      <c r="BY322" s="635"/>
      <c r="BZ322" s="635"/>
      <c r="CA322" s="635"/>
      <c r="CB322" s="635"/>
      <c r="CC322" s="635"/>
    </row>
    <row r="323" spans="2:81" s="37" customFormat="1" collapsed="1">
      <c r="B323" s="1631" t="s">
        <v>1527</v>
      </c>
      <c r="C323" s="1168"/>
      <c r="D323" s="1354"/>
      <c r="E323" s="790"/>
      <c r="F323" s="1246"/>
      <c r="G323" s="756"/>
      <c r="H323" s="756">
        <f t="shared" ref="H323:P323" si="280">H267*1000-H313</f>
        <v>755.625</v>
      </c>
      <c r="I323" s="756">
        <f t="shared" si="280"/>
        <v>937.91666666666663</v>
      </c>
      <c r="J323" s="756">
        <f t="shared" si="280"/>
        <v>1796.0416666666665</v>
      </c>
      <c r="K323" s="756">
        <f t="shared" si="280"/>
        <v>2687.1527777777778</v>
      </c>
      <c r="L323" s="756">
        <f t="shared" si="280"/>
        <v>3060</v>
      </c>
      <c r="M323" s="756">
        <f t="shared" si="280"/>
        <v>3629.4</v>
      </c>
      <c r="N323" s="1529">
        <f t="shared" si="280"/>
        <v>3925.694</v>
      </c>
      <c r="O323" s="756">
        <f t="shared" si="280"/>
        <v>4221.9509399999997</v>
      </c>
      <c r="P323" s="756">
        <f t="shared" si="280"/>
        <v>4318.1704493999987</v>
      </c>
      <c r="Q323" s="1202"/>
      <c r="R323" s="1202"/>
      <c r="S323" s="1202"/>
      <c r="T323" s="947"/>
      <c r="U323" s="1164"/>
      <c r="V323" s="1248"/>
      <c r="W323" s="1248"/>
      <c r="X323" s="1248"/>
      <c r="Y323" s="1248"/>
      <c r="Z323" s="1248"/>
      <c r="AA323" s="1248"/>
      <c r="AB323" s="1248"/>
      <c r="AC323" s="1248"/>
      <c r="AD323" s="1248"/>
      <c r="AE323" s="1248"/>
      <c r="AF323" s="1248"/>
      <c r="AG323" s="1248"/>
      <c r="AH323" s="1248"/>
      <c r="AI323" s="1248"/>
      <c r="AJ323" s="1248"/>
      <c r="AK323" s="1248"/>
      <c r="AL323" s="1248"/>
      <c r="AM323" s="1248"/>
      <c r="AN323" s="1248"/>
      <c r="AO323" s="1248"/>
      <c r="AP323" s="1248"/>
      <c r="AQ323" s="1248"/>
      <c r="AR323" s="1248"/>
      <c r="AS323" s="1248"/>
      <c r="AT323" s="1248"/>
      <c r="AU323" s="1248"/>
      <c r="AV323" s="1248"/>
      <c r="AW323" s="1248"/>
      <c r="AX323" s="1248"/>
      <c r="AY323" s="947"/>
      <c r="AZ323" s="1248"/>
      <c r="BA323" s="1248"/>
      <c r="BB323" s="1248"/>
      <c r="BC323" s="1248"/>
      <c r="BD323" s="1248"/>
      <c r="BE323" s="1248"/>
      <c r="BF323" s="1248"/>
      <c r="BG323" s="1248"/>
      <c r="BH323" s="1248"/>
      <c r="BI323" s="1248"/>
      <c r="BJ323" s="1248"/>
      <c r="BK323" s="1248"/>
      <c r="BL323" s="1248"/>
      <c r="BM323" s="1248"/>
      <c r="BN323" s="1248"/>
      <c r="BO323" s="1248"/>
      <c r="BP323" s="1248"/>
      <c r="BQ323" s="1248"/>
      <c r="BR323" s="1248"/>
      <c r="BS323" s="1248"/>
      <c r="BT323" s="1248"/>
      <c r="BU323" s="1248"/>
      <c r="BV323" s="1248"/>
      <c r="BW323" s="1248"/>
      <c r="BX323" s="1248"/>
      <c r="BY323" s="1248"/>
      <c r="BZ323" s="1248"/>
      <c r="CA323" s="1248"/>
      <c r="CB323" s="1248"/>
      <c r="CC323" s="1248"/>
    </row>
    <row r="324" spans="2:81">
      <c r="B324" s="680" t="s">
        <v>1056</v>
      </c>
      <c r="C324" s="343"/>
      <c r="D324" s="741"/>
      <c r="E324" s="631"/>
      <c r="F324" s="344"/>
      <c r="G324" s="867"/>
      <c r="H324" s="867"/>
      <c r="I324" s="1634">
        <f t="shared" ref="I324:P324" si="281">I323/H323-1</f>
        <v>0.24124620898814442</v>
      </c>
      <c r="J324" s="1634">
        <f t="shared" si="281"/>
        <v>0.91492669924477998</v>
      </c>
      <c r="K324" s="1634">
        <f t="shared" si="281"/>
        <v>0.49615280516568094</v>
      </c>
      <c r="L324" s="1199">
        <f t="shared" si="281"/>
        <v>0.13875177671533789</v>
      </c>
      <c r="M324" s="1199">
        <f t="shared" si="281"/>
        <v>0.18607843137254898</v>
      </c>
      <c r="N324" s="1579">
        <f t="shared" si="281"/>
        <v>8.1637185209676444E-2</v>
      </c>
      <c r="O324" s="1634">
        <f t="shared" si="281"/>
        <v>7.5466131593547425E-2</v>
      </c>
      <c r="P324" s="1634">
        <f t="shared" si="281"/>
        <v>2.2790295474157896E-2</v>
      </c>
      <c r="Q324" s="630"/>
      <c r="R324" s="630"/>
      <c r="S324" s="630"/>
      <c r="T324" s="945"/>
      <c r="U324" s="789"/>
      <c r="V324" s="635"/>
      <c r="W324" s="635"/>
      <c r="X324" s="635"/>
      <c r="Y324" s="635"/>
      <c r="Z324" s="635"/>
      <c r="AA324" s="635"/>
      <c r="AB324" s="635"/>
      <c r="AC324" s="635"/>
      <c r="AD324" s="635"/>
      <c r="AE324" s="635"/>
      <c r="AF324" s="635"/>
      <c r="AG324" s="635"/>
      <c r="AH324" s="635"/>
      <c r="AI324" s="635"/>
      <c r="AJ324" s="635"/>
      <c r="AK324" s="635"/>
      <c r="AL324" s="635"/>
      <c r="AM324" s="635"/>
      <c r="AN324" s="635"/>
      <c r="AO324" s="635"/>
      <c r="AP324" s="635"/>
      <c r="AQ324" s="635"/>
      <c r="AR324" s="635"/>
      <c r="AS324" s="635"/>
      <c r="AT324" s="635"/>
      <c r="AU324" s="635"/>
      <c r="AV324" s="635"/>
      <c r="AW324" s="635"/>
      <c r="AX324" s="635"/>
      <c r="AY324" s="945"/>
      <c r="AZ324" s="635"/>
      <c r="BA324" s="635"/>
      <c r="BB324" s="635"/>
      <c r="BC324" s="635"/>
      <c r="BD324" s="635"/>
      <c r="BE324" s="635"/>
      <c r="BF324" s="635"/>
      <c r="BG324" s="635"/>
      <c r="BH324" s="635"/>
      <c r="BI324" s="635"/>
      <c r="BJ324" s="635"/>
      <c r="BK324" s="635"/>
      <c r="BL324" s="635"/>
      <c r="BM324" s="635"/>
      <c r="BN324" s="635"/>
      <c r="BO324" s="635"/>
      <c r="BP324" s="635"/>
      <c r="BQ324" s="635"/>
      <c r="BR324" s="635"/>
      <c r="BS324" s="635"/>
      <c r="BT324" s="635"/>
      <c r="BU324" s="635"/>
      <c r="BV324" s="635"/>
      <c r="BW324" s="635"/>
      <c r="BX324" s="635"/>
      <c r="BY324" s="635"/>
      <c r="BZ324" s="635"/>
      <c r="CA324" s="635"/>
      <c r="CB324" s="635"/>
      <c r="CC324" s="635"/>
    </row>
    <row r="325" spans="2:81" s="37" customFormat="1">
      <c r="B325" s="1631" t="s">
        <v>1528</v>
      </c>
      <c r="C325" s="1168"/>
      <c r="D325" s="1354"/>
      <c r="E325" s="790"/>
      <c r="F325" s="1246"/>
      <c r="G325" s="1355"/>
      <c r="H325" s="756">
        <f t="shared" ref="H325:P325" si="282">(H381-H382)/H323*1000</f>
        <v>2212.5583457402818</v>
      </c>
      <c r="I325" s="756">
        <f t="shared" si="282"/>
        <v>2329.0718436250545</v>
      </c>
      <c r="J325" s="756">
        <f t="shared" si="282"/>
        <v>2096.1531607210304</v>
      </c>
      <c r="K325" s="756">
        <f t="shared" si="282"/>
        <v>1912.1884340939139</v>
      </c>
      <c r="L325" s="756">
        <f t="shared" si="282"/>
        <v>2447.5588518660129</v>
      </c>
      <c r="M325" s="756">
        <f t="shared" si="282"/>
        <v>3158.0461509064858</v>
      </c>
      <c r="N325" s="1529">
        <f t="shared" si="282"/>
        <v>4106.478248442424</v>
      </c>
      <c r="O325" s="756">
        <f t="shared" si="282"/>
        <v>4803.1962615869406</v>
      </c>
      <c r="P325" s="756">
        <f t="shared" si="282"/>
        <v>5650.0628953883706</v>
      </c>
      <c r="Q325" s="1202"/>
      <c r="R325" s="1202"/>
      <c r="S325" s="1202"/>
      <c r="T325" s="947"/>
      <c r="U325" s="1164"/>
      <c r="V325" s="1248"/>
      <c r="W325" s="1248"/>
      <c r="X325" s="1248"/>
      <c r="Y325" s="1248"/>
      <c r="Z325" s="1248"/>
      <c r="AA325" s="1248"/>
      <c r="AB325" s="1248"/>
      <c r="AC325" s="1248"/>
      <c r="AD325" s="1248"/>
      <c r="AE325" s="1248"/>
      <c r="AF325" s="1248"/>
      <c r="AG325" s="1248"/>
      <c r="AH325" s="1248"/>
      <c r="AI325" s="1248"/>
      <c r="AJ325" s="1248"/>
      <c r="AK325" s="1248"/>
      <c r="AL325" s="1248"/>
      <c r="AM325" s="1248"/>
      <c r="AN325" s="1248"/>
      <c r="AO325" s="1248"/>
      <c r="AP325" s="1248"/>
      <c r="AQ325" s="1248"/>
      <c r="AR325" s="1248"/>
      <c r="AS325" s="1248"/>
      <c r="AT325" s="1248"/>
      <c r="AU325" s="1248"/>
      <c r="AV325" s="1248"/>
      <c r="AW325" s="1248"/>
      <c r="AX325" s="1248"/>
      <c r="AY325" s="947"/>
      <c r="AZ325" s="1248"/>
      <c r="BA325" s="1248"/>
      <c r="BB325" s="1248"/>
      <c r="BC325" s="1248"/>
      <c r="BD325" s="1248"/>
      <c r="BE325" s="1248"/>
      <c r="BF325" s="1248"/>
      <c r="BG325" s="1248"/>
      <c r="BH325" s="1248"/>
      <c r="BI325" s="1248"/>
      <c r="BJ325" s="1248"/>
      <c r="BK325" s="1248"/>
      <c r="BL325" s="1248"/>
      <c r="BM325" s="1248"/>
      <c r="BN325" s="1248"/>
      <c r="BO325" s="1248"/>
      <c r="BP325" s="1248"/>
      <c r="BQ325" s="1248"/>
      <c r="BR325" s="1248"/>
      <c r="BS325" s="1248"/>
      <c r="BT325" s="1248"/>
      <c r="BU325" s="1248"/>
      <c r="BV325" s="1248"/>
      <c r="BW325" s="1248"/>
      <c r="BX325" s="1248"/>
      <c r="BY325" s="1248"/>
      <c r="BZ325" s="1248"/>
      <c r="CA325" s="1248"/>
      <c r="CB325" s="1248"/>
      <c r="CC325" s="1248"/>
    </row>
    <row r="326" spans="2:81">
      <c r="B326" s="680" t="s">
        <v>1056</v>
      </c>
      <c r="C326" s="343"/>
      <c r="D326" s="741"/>
      <c r="E326" s="631"/>
      <c r="F326" s="344"/>
      <c r="G326" s="1200"/>
      <c r="H326" s="1634"/>
      <c r="I326" s="1634">
        <f t="shared" ref="I326:P326" si="283">I325/H325-1</f>
        <v>5.2660079273882054E-2</v>
      </c>
      <c r="J326" s="1634">
        <f t="shared" si="283"/>
        <v>-0.10000493696300095</v>
      </c>
      <c r="K326" s="1634">
        <f t="shared" si="283"/>
        <v>-8.776301754774285E-2</v>
      </c>
      <c r="L326" s="1199">
        <f t="shared" si="283"/>
        <v>0.27997785585696366</v>
      </c>
      <c r="M326" s="1199">
        <f t="shared" si="283"/>
        <v>0.29028405118790057</v>
      </c>
      <c r="N326" s="1579">
        <f t="shared" si="283"/>
        <v>0.30032243109040713</v>
      </c>
      <c r="O326" s="1634">
        <f t="shared" si="283"/>
        <v>0.16966314466873889</v>
      </c>
      <c r="P326" s="1634">
        <f t="shared" si="283"/>
        <v>0.17631314393171005</v>
      </c>
      <c r="Q326" s="630"/>
      <c r="R326" s="630"/>
      <c r="S326" s="630"/>
      <c r="T326" s="945"/>
      <c r="U326" s="789"/>
      <c r="V326" s="635"/>
      <c r="W326" s="635"/>
      <c r="X326" s="635"/>
      <c r="Y326" s="635"/>
      <c r="Z326" s="635"/>
      <c r="AA326" s="635"/>
      <c r="AB326" s="635"/>
      <c r="AC326" s="635"/>
      <c r="AD326" s="635"/>
      <c r="AE326" s="635"/>
      <c r="AF326" s="635"/>
      <c r="AG326" s="635"/>
      <c r="AH326" s="635"/>
      <c r="AI326" s="635"/>
      <c r="AJ326" s="635"/>
      <c r="AK326" s="635"/>
      <c r="AL326" s="635"/>
      <c r="AM326" s="635"/>
      <c r="AN326" s="635"/>
      <c r="AO326" s="635"/>
      <c r="AP326" s="635"/>
      <c r="AQ326" s="635"/>
      <c r="AR326" s="635"/>
      <c r="AS326" s="635"/>
      <c r="AT326" s="635"/>
      <c r="AU326" s="635"/>
      <c r="AV326" s="635"/>
      <c r="AW326" s="635"/>
      <c r="AX326" s="635"/>
      <c r="AY326" s="945"/>
      <c r="AZ326" s="635"/>
      <c r="BA326" s="635"/>
      <c r="BB326" s="635"/>
      <c r="BC326" s="635"/>
      <c r="BD326" s="635"/>
      <c r="BE326" s="635"/>
      <c r="BF326" s="635"/>
      <c r="BG326" s="635"/>
      <c r="BH326" s="635"/>
      <c r="BI326" s="635"/>
      <c r="BJ326" s="635"/>
      <c r="BK326" s="635"/>
      <c r="BL326" s="635"/>
      <c r="BM326" s="635"/>
      <c r="BN326" s="635"/>
      <c r="BO326" s="635"/>
      <c r="BP326" s="635"/>
      <c r="BQ326" s="635"/>
      <c r="BR326" s="635"/>
      <c r="BS326" s="635"/>
      <c r="BT326" s="635"/>
      <c r="BU326" s="635"/>
      <c r="BV326" s="635"/>
      <c r="BW326" s="635"/>
      <c r="BX326" s="635"/>
      <c r="BY326" s="635"/>
      <c r="BZ326" s="635"/>
      <c r="CA326" s="635"/>
      <c r="CB326" s="635"/>
      <c r="CC326" s="635"/>
    </row>
    <row r="327" spans="2:81">
      <c r="B327" s="1707" t="s">
        <v>1594</v>
      </c>
      <c r="C327" s="343"/>
      <c r="D327" s="741"/>
      <c r="E327" s="631"/>
      <c r="F327" s="344"/>
      <c r="G327" s="1200"/>
      <c r="H327" s="1200"/>
      <c r="I327" s="867">
        <f>I343/I323*1000</f>
        <v>2059.3277075077749</v>
      </c>
      <c r="J327" s="867">
        <f t="shared" ref="J327:P327" si="284">J343/J323*1000</f>
        <v>1951.4003134323536</v>
      </c>
      <c r="K327" s="867">
        <f t="shared" si="284"/>
        <v>1830.5348578162552</v>
      </c>
      <c r="L327" s="867">
        <f t="shared" si="284"/>
        <v>2302.3444878267974</v>
      </c>
      <c r="M327" s="867">
        <f t="shared" si="284"/>
        <v>2716.488303656748</v>
      </c>
      <c r="N327" s="1532">
        <f t="shared" si="284"/>
        <v>3139.5825810527936</v>
      </c>
      <c r="O327" s="867">
        <f t="shared" si="284"/>
        <v>3554.0354544618299</v>
      </c>
      <c r="P327" s="867">
        <f t="shared" si="284"/>
        <v>4074.018137724117</v>
      </c>
      <c r="Q327" s="630"/>
      <c r="R327" s="630"/>
      <c r="S327" s="630"/>
      <c r="T327" s="945"/>
      <c r="U327" s="789"/>
      <c r="V327" s="635"/>
      <c r="W327" s="635"/>
      <c r="X327" s="635"/>
      <c r="Y327" s="635"/>
      <c r="Z327" s="635"/>
      <c r="AA327" s="635"/>
      <c r="AB327" s="635"/>
      <c r="AC327" s="635"/>
      <c r="AD327" s="635"/>
      <c r="AE327" s="635"/>
      <c r="AF327" s="635"/>
      <c r="AG327" s="635"/>
      <c r="AH327" s="635"/>
      <c r="AI327" s="635"/>
      <c r="AJ327" s="635"/>
      <c r="AK327" s="635"/>
      <c r="AL327" s="635"/>
      <c r="AM327" s="635"/>
      <c r="AN327" s="635"/>
      <c r="AO327" s="635"/>
      <c r="AP327" s="635"/>
      <c r="AQ327" s="635"/>
      <c r="AR327" s="635"/>
      <c r="AS327" s="635"/>
      <c r="AT327" s="635"/>
      <c r="AU327" s="635"/>
      <c r="AV327" s="635"/>
      <c r="AW327" s="635"/>
      <c r="AX327" s="635"/>
      <c r="AY327" s="945"/>
      <c r="AZ327" s="635"/>
      <c r="BA327" s="635"/>
      <c r="BB327" s="635"/>
      <c r="BC327" s="635"/>
      <c r="BD327" s="635"/>
      <c r="BE327" s="635"/>
      <c r="BF327" s="635"/>
      <c r="BG327" s="635"/>
      <c r="BH327" s="635"/>
      <c r="BI327" s="635"/>
      <c r="BJ327" s="635"/>
      <c r="BK327" s="635"/>
      <c r="BL327" s="635"/>
      <c r="BM327" s="635"/>
      <c r="BN327" s="635"/>
      <c r="BO327" s="635"/>
      <c r="BP327" s="635"/>
      <c r="BQ327" s="635"/>
      <c r="BR327" s="635"/>
      <c r="BS327" s="635"/>
      <c r="BT327" s="635"/>
      <c r="BU327" s="635"/>
      <c r="BV327" s="635"/>
      <c r="BW327" s="635"/>
      <c r="BX327" s="635"/>
      <c r="BY327" s="635"/>
      <c r="BZ327" s="635"/>
      <c r="CA327" s="635"/>
      <c r="CB327" s="635"/>
      <c r="CC327" s="635"/>
    </row>
    <row r="328" spans="2:81" s="37" customFormat="1">
      <c r="B328" s="1707" t="s">
        <v>1595</v>
      </c>
      <c r="C328" s="1168"/>
      <c r="D328" s="1354"/>
      <c r="E328" s="790"/>
      <c r="F328" s="1246"/>
      <c r="G328" s="1355"/>
      <c r="H328" s="1355"/>
      <c r="I328" s="867">
        <f>I348/I323*1000</f>
        <v>269.74402949800077</v>
      </c>
      <c r="J328" s="867">
        <f t="shared" ref="J328:P328" si="285">J348/J323*1000</f>
        <v>144.75284728867658</v>
      </c>
      <c r="K328" s="867">
        <f t="shared" si="285"/>
        <v>81.277746768316362</v>
      </c>
      <c r="L328" s="867">
        <f t="shared" si="285"/>
        <v>145.21435983986927</v>
      </c>
      <c r="M328" s="867">
        <f t="shared" si="285"/>
        <v>441.55784723596184</v>
      </c>
      <c r="N328" s="1532">
        <f t="shared" si="285"/>
        <v>966.89566738963026</v>
      </c>
      <c r="O328" s="867">
        <f t="shared" si="285"/>
        <v>1249.1608071251101</v>
      </c>
      <c r="P328" s="867">
        <f t="shared" si="285"/>
        <v>1576.0447576642539</v>
      </c>
      <c r="Q328" s="1202"/>
      <c r="R328" s="1202"/>
      <c r="S328" s="1202"/>
      <c r="T328" s="947"/>
      <c r="U328" s="1164"/>
      <c r="V328" s="1248"/>
      <c r="W328" s="1248"/>
      <c r="X328" s="1248"/>
      <c r="Y328" s="1248"/>
      <c r="Z328" s="1248"/>
      <c r="AA328" s="1248"/>
      <c r="AB328" s="1248"/>
      <c r="AC328" s="1248"/>
      <c r="AD328" s="1248"/>
      <c r="AE328" s="1248"/>
      <c r="AF328" s="1248"/>
      <c r="AG328" s="1248"/>
      <c r="AH328" s="1248"/>
      <c r="AI328" s="1248"/>
      <c r="AJ328" s="1248"/>
      <c r="AK328" s="1248"/>
      <c r="AL328" s="1248"/>
      <c r="AM328" s="1248"/>
      <c r="AN328" s="1248"/>
      <c r="AO328" s="1248"/>
      <c r="AP328" s="1248"/>
      <c r="AQ328" s="1248"/>
      <c r="AR328" s="1248"/>
      <c r="AS328" s="1248"/>
      <c r="AT328" s="1248"/>
      <c r="AU328" s="1248"/>
      <c r="AV328" s="1248"/>
      <c r="AW328" s="1248"/>
      <c r="AX328" s="1248"/>
      <c r="AY328" s="947"/>
      <c r="AZ328" s="1248"/>
      <c r="BA328" s="1248"/>
      <c r="BB328" s="1248"/>
      <c r="BC328" s="1248"/>
      <c r="BD328" s="1248"/>
      <c r="BE328" s="1248"/>
      <c r="BF328" s="1248"/>
      <c r="BG328" s="1248"/>
      <c r="BH328" s="1248"/>
      <c r="BI328" s="1248"/>
      <c r="BJ328" s="1248"/>
      <c r="BK328" s="1248"/>
      <c r="BL328" s="1248"/>
      <c r="BM328" s="1248"/>
      <c r="BN328" s="1248"/>
      <c r="BO328" s="1248"/>
      <c r="BP328" s="1248"/>
      <c r="BQ328" s="1248"/>
      <c r="BR328" s="1248"/>
      <c r="BS328" s="1248"/>
      <c r="BT328" s="1248"/>
      <c r="BU328" s="1248"/>
      <c r="BV328" s="1248"/>
      <c r="BW328" s="1248"/>
      <c r="BX328" s="1248"/>
      <c r="BY328" s="1248"/>
      <c r="BZ328" s="1248"/>
      <c r="CA328" s="1248"/>
      <c r="CB328" s="1248"/>
      <c r="CC328" s="1248"/>
    </row>
    <row r="329" spans="2:81" s="37" customFormat="1">
      <c r="B329" s="1631"/>
      <c r="C329" s="1168"/>
      <c r="D329" s="1354"/>
      <c r="E329" s="790"/>
      <c r="F329" s="1246"/>
      <c r="G329" s="1355"/>
      <c r="H329" s="1355"/>
      <c r="I329" s="1356"/>
      <c r="J329" s="1356"/>
      <c r="K329" s="1356"/>
      <c r="L329" s="1356"/>
      <c r="M329" s="1627"/>
      <c r="N329" s="2113"/>
      <c r="O329" s="1618"/>
      <c r="P329" s="1618"/>
      <c r="Q329" s="1202"/>
      <c r="R329" s="1202"/>
      <c r="S329" s="1202"/>
      <c r="T329" s="947"/>
      <c r="U329" s="1164"/>
      <c r="V329" s="1248"/>
      <c r="W329" s="1248"/>
      <c r="X329" s="1248"/>
      <c r="Y329" s="1248"/>
      <c r="Z329" s="1248"/>
      <c r="AA329" s="1248"/>
      <c r="AB329" s="1248"/>
      <c r="AC329" s="1248"/>
      <c r="AD329" s="1248"/>
      <c r="AE329" s="1248"/>
      <c r="AF329" s="1248"/>
      <c r="AG329" s="1248"/>
      <c r="AH329" s="1248"/>
      <c r="AI329" s="1248"/>
      <c r="AJ329" s="1248"/>
      <c r="AK329" s="1248"/>
      <c r="AL329" s="1248"/>
      <c r="AM329" s="1248"/>
      <c r="AN329" s="1248"/>
      <c r="AO329" s="1248"/>
      <c r="AP329" s="1248"/>
      <c r="AQ329" s="1248"/>
      <c r="AR329" s="1248"/>
      <c r="AS329" s="1248"/>
      <c r="AT329" s="1248"/>
      <c r="AU329" s="1248"/>
      <c r="AV329" s="1248"/>
      <c r="AW329" s="1248"/>
      <c r="AX329" s="1248"/>
      <c r="AY329" s="947"/>
      <c r="AZ329" s="1248"/>
      <c r="BA329" s="1248"/>
      <c r="BB329" s="1248"/>
      <c r="BC329" s="1248"/>
      <c r="BD329" s="1248"/>
      <c r="BE329" s="1248"/>
      <c r="BF329" s="1248"/>
      <c r="BG329" s="1248"/>
      <c r="BH329" s="1248"/>
      <c r="BI329" s="1248"/>
      <c r="BJ329" s="1248"/>
      <c r="BK329" s="1248"/>
      <c r="BL329" s="1248"/>
      <c r="BM329" s="1248"/>
      <c r="BN329" s="1248"/>
      <c r="BO329" s="1248"/>
      <c r="BP329" s="1248"/>
      <c r="BQ329" s="1248"/>
      <c r="BR329" s="1248"/>
      <c r="BS329" s="1248"/>
      <c r="BT329" s="1248"/>
      <c r="BU329" s="1248"/>
      <c r="BV329" s="1248"/>
      <c r="BW329" s="1248"/>
      <c r="BX329" s="1248"/>
      <c r="BY329" s="1248"/>
      <c r="BZ329" s="1248"/>
      <c r="CA329" s="1248"/>
      <c r="CB329" s="1248"/>
      <c r="CC329" s="1248"/>
    </row>
    <row r="330" spans="2:81">
      <c r="B330" s="1632" t="s">
        <v>1529</v>
      </c>
      <c r="C330" s="343"/>
      <c r="D330" s="741"/>
      <c r="E330" s="631"/>
      <c r="F330" s="344"/>
      <c r="G330" s="867">
        <f t="shared" ref="G330:L330" si="286">G479</f>
        <v>211</v>
      </c>
      <c r="H330" s="867">
        <f t="shared" si="286"/>
        <v>207</v>
      </c>
      <c r="I330" s="867">
        <f t="shared" si="286"/>
        <v>222</v>
      </c>
      <c r="J330" s="867">
        <f t="shared" si="286"/>
        <v>249</v>
      </c>
      <c r="K330" s="867">
        <f t="shared" si="286"/>
        <v>265</v>
      </c>
      <c r="L330" s="867">
        <f t="shared" si="286"/>
        <v>288</v>
      </c>
      <c r="M330" s="1633"/>
      <c r="N330" s="2116"/>
      <c r="O330" s="782"/>
      <c r="P330" s="782"/>
      <c r="Q330" s="630"/>
      <c r="R330" s="630"/>
      <c r="S330" s="630"/>
      <c r="T330" s="945"/>
      <c r="U330" s="789"/>
      <c r="V330" s="635"/>
      <c r="W330" s="635"/>
      <c r="X330" s="635"/>
      <c r="Y330" s="635"/>
      <c r="Z330" s="635"/>
      <c r="AA330" s="635"/>
      <c r="AB330" s="635"/>
      <c r="AC330" s="635"/>
      <c r="AD330" s="635"/>
      <c r="AE330" s="635"/>
      <c r="AF330" s="635"/>
      <c r="AG330" s="635"/>
      <c r="AH330" s="635"/>
      <c r="AI330" s="635"/>
      <c r="AJ330" s="635"/>
      <c r="AK330" s="635"/>
      <c r="AL330" s="635"/>
      <c r="AM330" s="635"/>
      <c r="AN330" s="635"/>
      <c r="AO330" s="635"/>
      <c r="AP330" s="635"/>
      <c r="AQ330" s="635"/>
      <c r="AR330" s="635"/>
      <c r="AS330" s="635"/>
      <c r="AT330" s="635"/>
      <c r="AU330" s="635"/>
      <c r="AV330" s="635"/>
      <c r="AW330" s="635"/>
      <c r="AX330" s="635"/>
      <c r="AY330" s="945"/>
      <c r="AZ330" s="635"/>
      <c r="BA330" s="635"/>
      <c r="BB330" s="635"/>
      <c r="BC330" s="635"/>
      <c r="BD330" s="635"/>
      <c r="BE330" s="635"/>
      <c r="BF330" s="635"/>
      <c r="BG330" s="635"/>
      <c r="BH330" s="635"/>
      <c r="BI330" s="635"/>
      <c r="BJ330" s="635"/>
      <c r="BK330" s="635"/>
      <c r="BL330" s="635"/>
      <c r="BM330" s="635"/>
      <c r="BN330" s="635"/>
      <c r="BO330" s="635"/>
      <c r="BP330" s="635"/>
      <c r="BQ330" s="635"/>
      <c r="BR330" s="635"/>
      <c r="BS330" s="635"/>
      <c r="BT330" s="635"/>
      <c r="BU330" s="635"/>
      <c r="BV330" s="635"/>
      <c r="BW330" s="635"/>
      <c r="BX330" s="635"/>
      <c r="BY330" s="635"/>
      <c r="BZ330" s="635"/>
      <c r="CA330" s="635"/>
      <c r="CB330" s="635"/>
      <c r="CC330" s="635"/>
    </row>
    <row r="331" spans="2:81">
      <c r="B331" s="680" t="s">
        <v>1056</v>
      </c>
      <c r="C331" s="343"/>
      <c r="D331" s="741"/>
      <c r="E331" s="631"/>
      <c r="F331" s="344"/>
      <c r="G331" s="867"/>
      <c r="H331" s="1634">
        <f>H330/G330-1</f>
        <v>-1.8957345971563955E-2</v>
      </c>
      <c r="I331" s="1634">
        <f>I330/H330-1</f>
        <v>7.2463768115942129E-2</v>
      </c>
      <c r="J331" s="1634">
        <f>J330/I330-1</f>
        <v>0.12162162162162171</v>
      </c>
      <c r="K331" s="1634">
        <f>K330/J330-1</f>
        <v>6.425702811244971E-2</v>
      </c>
      <c r="L331" s="1199">
        <f>L330/K330-1</f>
        <v>8.679245283018866E-2</v>
      </c>
      <c r="M331" s="1633"/>
      <c r="N331" s="2116"/>
      <c r="O331" s="782"/>
      <c r="P331" s="782"/>
      <c r="Q331" s="630"/>
      <c r="R331" s="630"/>
      <c r="S331" s="630"/>
      <c r="T331" s="945"/>
      <c r="U331" s="789"/>
      <c r="V331" s="635"/>
      <c r="W331" s="635"/>
      <c r="X331" s="635"/>
      <c r="Y331" s="635"/>
      <c r="Z331" s="635"/>
      <c r="AA331" s="635"/>
      <c r="AB331" s="635"/>
      <c r="AC331" s="635"/>
      <c r="AD331" s="635"/>
      <c r="AE331" s="635"/>
      <c r="AF331" s="635"/>
      <c r="AG331" s="635"/>
      <c r="AH331" s="635"/>
      <c r="AI331" s="635"/>
      <c r="AJ331" s="635"/>
      <c r="AK331" s="635"/>
      <c r="AL331" s="635"/>
      <c r="AM331" s="635"/>
      <c r="AN331" s="635"/>
      <c r="AO331" s="635"/>
      <c r="AP331" s="635"/>
      <c r="AQ331" s="635"/>
      <c r="AR331" s="635"/>
      <c r="AS331" s="635"/>
      <c r="AT331" s="635"/>
      <c r="AU331" s="635"/>
      <c r="AV331" s="635"/>
      <c r="AW331" s="635"/>
      <c r="AX331" s="635"/>
      <c r="AY331" s="945"/>
      <c r="AZ331" s="635"/>
      <c r="BA331" s="635"/>
      <c r="BB331" s="635"/>
      <c r="BC331" s="635"/>
      <c r="BD331" s="635"/>
      <c r="BE331" s="635"/>
      <c r="BF331" s="635"/>
      <c r="BG331" s="635"/>
      <c r="BH331" s="635"/>
      <c r="BI331" s="635"/>
      <c r="BJ331" s="635"/>
      <c r="BK331" s="635"/>
      <c r="BL331" s="635"/>
      <c r="BM331" s="635"/>
      <c r="BN331" s="635"/>
      <c r="BO331" s="635"/>
      <c r="BP331" s="635"/>
      <c r="BQ331" s="635"/>
      <c r="BR331" s="635"/>
      <c r="BS331" s="635"/>
      <c r="BT331" s="635"/>
      <c r="BU331" s="635"/>
      <c r="BV331" s="635"/>
      <c r="BW331" s="635"/>
      <c r="BX331" s="635"/>
      <c r="BY331" s="635"/>
      <c r="BZ331" s="635"/>
      <c r="CA331" s="635"/>
      <c r="CB331" s="635"/>
      <c r="CC331" s="635"/>
    </row>
    <row r="332" spans="2:81" s="37" customFormat="1">
      <c r="B332" s="1631" t="s">
        <v>1530</v>
      </c>
      <c r="C332" s="1168"/>
      <c r="D332" s="1354"/>
      <c r="E332" s="790"/>
      <c r="F332" s="1246"/>
      <c r="G332" s="1210">
        <f t="shared" ref="G332:L332" si="287">G382/G479</f>
        <v>8.7480227488151652</v>
      </c>
      <c r="H332" s="1210">
        <f t="shared" si="287"/>
        <v>12.173636714975844</v>
      </c>
      <c r="I332" s="1210">
        <f t="shared" si="287"/>
        <v>12.392738288288287</v>
      </c>
      <c r="J332" s="1210">
        <f t="shared" si="287"/>
        <v>12.847666762008032</v>
      </c>
      <c r="K332" s="1210">
        <f t="shared" si="287"/>
        <v>12.656603773584905</v>
      </c>
      <c r="L332" s="1210">
        <f t="shared" si="287"/>
        <v>13.058868520833334</v>
      </c>
      <c r="M332" s="1627"/>
      <c r="N332" s="2113"/>
      <c r="O332" s="1618"/>
      <c r="P332" s="1618"/>
      <c r="Q332" s="1202"/>
      <c r="R332" s="1202"/>
      <c r="S332" s="1202"/>
      <c r="T332" s="947"/>
      <c r="U332" s="1164"/>
      <c r="V332" s="1248"/>
      <c r="W332" s="1248"/>
      <c r="X332" s="1248"/>
      <c r="Y332" s="1248"/>
      <c r="Z332" s="1248"/>
      <c r="AA332" s="1248"/>
      <c r="AB332" s="1248"/>
      <c r="AC332" s="1248"/>
      <c r="AD332" s="1248"/>
      <c r="AE332" s="1248"/>
      <c r="AF332" s="1248"/>
      <c r="AG332" s="1248"/>
      <c r="AH332" s="1248"/>
      <c r="AI332" s="1248"/>
      <c r="AJ332" s="1248"/>
      <c r="AK332" s="1248"/>
      <c r="AL332" s="1248"/>
      <c r="AM332" s="1248"/>
      <c r="AN332" s="1248"/>
      <c r="AO332" s="1248"/>
      <c r="AP332" s="1248"/>
      <c r="AQ332" s="1248"/>
      <c r="AR332" s="1248"/>
      <c r="AS332" s="1248"/>
      <c r="AT332" s="1248"/>
      <c r="AU332" s="1248"/>
      <c r="AV332" s="1248"/>
      <c r="AW332" s="1248"/>
      <c r="AX332" s="1248"/>
      <c r="AY332" s="947"/>
      <c r="AZ332" s="1248"/>
      <c r="BA332" s="1248"/>
      <c r="BB332" s="1248"/>
      <c r="BC332" s="1248"/>
      <c r="BD332" s="1248"/>
      <c r="BE332" s="1248"/>
      <c r="BF332" s="1248"/>
      <c r="BG332" s="1248"/>
      <c r="BH332" s="1248"/>
      <c r="BI332" s="1248"/>
      <c r="BJ332" s="1248"/>
      <c r="BK332" s="1248"/>
      <c r="BL332" s="1248"/>
      <c r="BM332" s="1248"/>
      <c r="BN332" s="1248"/>
      <c r="BO332" s="1248"/>
      <c r="BP332" s="1248"/>
      <c r="BQ332" s="1248"/>
      <c r="BR332" s="1248"/>
      <c r="BS332" s="1248"/>
      <c r="BT332" s="1248"/>
      <c r="BU332" s="1248"/>
      <c r="BV332" s="1248"/>
      <c r="BW332" s="1248"/>
      <c r="BX332" s="1248"/>
      <c r="BY332" s="1248"/>
      <c r="BZ332" s="1248"/>
      <c r="CA332" s="1248"/>
      <c r="CB332" s="1248"/>
      <c r="CC332" s="1248"/>
    </row>
    <row r="333" spans="2:81" s="37" customFormat="1">
      <c r="B333" s="680" t="s">
        <v>1056</v>
      </c>
      <c r="C333" s="1168"/>
      <c r="D333" s="1354"/>
      <c r="E333" s="790"/>
      <c r="F333" s="1246"/>
      <c r="G333" s="1355"/>
      <c r="H333" s="1634">
        <f>H332/G332-1</f>
        <v>0.39158722656781442</v>
      </c>
      <c r="I333" s="1634">
        <f>I332/H332-1</f>
        <v>1.7998037763268249E-2</v>
      </c>
      <c r="J333" s="1634">
        <f>J332/I332-1</f>
        <v>3.6709277896207482E-2</v>
      </c>
      <c r="K333" s="1634">
        <f>K332/J332-1</f>
        <v>-1.4871415328744475E-2</v>
      </c>
      <c r="L333" s="1199">
        <f>L332/K332-1</f>
        <v>3.1782992850576619E-2</v>
      </c>
      <c r="M333" s="1627"/>
      <c r="N333" s="2113"/>
      <c r="O333" s="1618"/>
      <c r="P333" s="1618"/>
      <c r="Q333" s="1202"/>
      <c r="R333" s="1202"/>
      <c r="S333" s="1202"/>
      <c r="T333" s="947"/>
      <c r="U333" s="1164"/>
      <c r="V333" s="1248"/>
      <c r="W333" s="1248"/>
      <c r="X333" s="1248"/>
      <c r="Y333" s="1248"/>
      <c r="Z333" s="1248"/>
      <c r="AA333" s="1248"/>
      <c r="AB333" s="1248"/>
      <c r="AC333" s="1248"/>
      <c r="AD333" s="1248"/>
      <c r="AE333" s="1248"/>
      <c r="AF333" s="1248"/>
      <c r="AG333" s="1248"/>
      <c r="AH333" s="1248"/>
      <c r="AI333" s="1248"/>
      <c r="AJ333" s="1248"/>
      <c r="AK333" s="1248"/>
      <c r="AL333" s="1248"/>
      <c r="AM333" s="1248"/>
      <c r="AN333" s="1248"/>
      <c r="AO333" s="1248"/>
      <c r="AP333" s="1248"/>
      <c r="AQ333" s="1248"/>
      <c r="AR333" s="1248"/>
      <c r="AS333" s="1248"/>
      <c r="AT333" s="1248"/>
      <c r="AU333" s="1248"/>
      <c r="AV333" s="1248"/>
      <c r="AW333" s="1248"/>
      <c r="AX333" s="1248"/>
      <c r="AY333" s="947"/>
      <c r="AZ333" s="1248"/>
      <c r="BA333" s="1248"/>
      <c r="BB333" s="1248"/>
      <c r="BC333" s="1248"/>
      <c r="BD333" s="1248"/>
      <c r="BE333" s="1248"/>
      <c r="BF333" s="1248"/>
      <c r="BG333" s="1248"/>
      <c r="BH333" s="1248"/>
      <c r="BI333" s="1248"/>
      <c r="BJ333" s="1248"/>
      <c r="BK333" s="1248"/>
      <c r="BL333" s="1248"/>
      <c r="BM333" s="1248"/>
      <c r="BN333" s="1248"/>
      <c r="BO333" s="1248"/>
      <c r="BP333" s="1248"/>
      <c r="BQ333" s="1248"/>
      <c r="BR333" s="1248"/>
      <c r="BS333" s="1248"/>
      <c r="BT333" s="1248"/>
      <c r="BU333" s="1248"/>
      <c r="BV333" s="1248"/>
      <c r="BW333" s="1248"/>
      <c r="BX333" s="1248"/>
      <c r="BY333" s="1248"/>
      <c r="BZ333" s="1248"/>
      <c r="CA333" s="1248"/>
      <c r="CB333" s="1248"/>
      <c r="CC333" s="1248"/>
    </row>
    <row r="334" spans="2:81" s="37" customFormat="1">
      <c r="B334" s="829"/>
      <c r="C334" s="1168"/>
      <c r="D334" s="1354"/>
      <c r="E334" s="790"/>
      <c r="F334" s="1246"/>
      <c r="G334" s="1355"/>
      <c r="H334" s="1355"/>
      <c r="I334" s="1356"/>
      <c r="J334" s="1356"/>
      <c r="K334" s="1356"/>
      <c r="L334" s="1356"/>
      <c r="M334" s="1627"/>
      <c r="N334" s="2113"/>
      <c r="O334" s="1618"/>
      <c r="P334" s="1618"/>
      <c r="Q334" s="1202"/>
      <c r="R334" s="1202"/>
      <c r="S334" s="1202"/>
      <c r="T334" s="947"/>
      <c r="U334" s="1164"/>
      <c r="V334" s="1248"/>
      <c r="W334" s="1248"/>
      <c r="X334" s="1248"/>
      <c r="Y334" s="1248"/>
      <c r="Z334" s="1248"/>
      <c r="AA334" s="1248"/>
      <c r="AB334" s="1248"/>
      <c r="AC334" s="1248"/>
      <c r="AD334" s="1248"/>
      <c r="AE334" s="1248"/>
      <c r="AF334" s="1248"/>
      <c r="AG334" s="1248"/>
      <c r="AH334" s="1248"/>
      <c r="AI334" s="1248"/>
      <c r="AJ334" s="1248"/>
      <c r="AK334" s="1248"/>
      <c r="AL334" s="1248"/>
      <c r="AM334" s="1248"/>
      <c r="AN334" s="1248"/>
      <c r="AO334" s="1248"/>
      <c r="AP334" s="1248"/>
      <c r="AQ334" s="1248"/>
      <c r="AR334" s="1248"/>
      <c r="AS334" s="1248"/>
      <c r="AT334" s="1248"/>
      <c r="AU334" s="1248"/>
      <c r="AV334" s="1248"/>
      <c r="AW334" s="1248"/>
      <c r="AX334" s="1248"/>
      <c r="AY334" s="947"/>
      <c r="AZ334" s="1248"/>
      <c r="BA334" s="1248"/>
      <c r="BB334" s="1248"/>
      <c r="BC334" s="1248"/>
      <c r="BD334" s="1248"/>
      <c r="BE334" s="1248"/>
      <c r="BF334" s="1248"/>
      <c r="BG334" s="1248"/>
      <c r="BH334" s="1248"/>
      <c r="BI334" s="1248"/>
      <c r="BJ334" s="1248"/>
      <c r="BK334" s="1248"/>
      <c r="BL334" s="1248"/>
      <c r="BM334" s="1248"/>
      <c r="BN334" s="1248"/>
      <c r="BO334" s="1248"/>
      <c r="BP334" s="1248"/>
      <c r="BQ334" s="1248"/>
      <c r="BR334" s="1248"/>
      <c r="BS334" s="1248"/>
      <c r="BT334" s="1248"/>
      <c r="BU334" s="1248"/>
      <c r="BV334" s="1248"/>
      <c r="BW334" s="1248"/>
      <c r="BX334" s="1248"/>
      <c r="BY334" s="1248"/>
      <c r="BZ334" s="1248"/>
      <c r="CA334" s="1248"/>
      <c r="CB334" s="1248"/>
      <c r="CC334" s="1248"/>
    </row>
    <row r="335" spans="2:81" s="37" customFormat="1">
      <c r="B335" s="1632" t="s">
        <v>1531</v>
      </c>
      <c r="C335" s="1168"/>
      <c r="D335" s="1354"/>
      <c r="E335" s="790"/>
      <c r="F335" s="1246"/>
      <c r="G335" s="867">
        <f t="shared" ref="G335:L335" si="288">G478-G479</f>
        <v>912</v>
      </c>
      <c r="H335" s="867">
        <f t="shared" si="288"/>
        <v>1029</v>
      </c>
      <c r="I335" s="867">
        <f t="shared" si="288"/>
        <v>1584</v>
      </c>
      <c r="J335" s="867">
        <f t="shared" si="288"/>
        <v>2063</v>
      </c>
      <c r="K335" s="867">
        <f t="shared" si="288"/>
        <v>2514</v>
      </c>
      <c r="L335" s="867">
        <f t="shared" si="288"/>
        <v>2693</v>
      </c>
      <c r="M335" s="1627"/>
      <c r="N335" s="2113"/>
      <c r="O335" s="1618"/>
      <c r="P335" s="1618"/>
      <c r="Q335" s="1202"/>
      <c r="R335" s="1202"/>
      <c r="S335" s="1202"/>
      <c r="T335" s="947"/>
      <c r="U335" s="1164"/>
      <c r="V335" s="1248"/>
      <c r="W335" s="1248"/>
      <c r="X335" s="1248"/>
      <c r="Y335" s="1248"/>
      <c r="Z335" s="1248"/>
      <c r="AA335" s="1248"/>
      <c r="AB335" s="1248"/>
      <c r="AC335" s="1248"/>
      <c r="AD335" s="1248"/>
      <c r="AE335" s="1248"/>
      <c r="AF335" s="1248"/>
      <c r="AG335" s="1248"/>
      <c r="AH335" s="1248"/>
      <c r="AI335" s="1248"/>
      <c r="AJ335" s="1248"/>
      <c r="AK335" s="1248"/>
      <c r="AL335" s="1248"/>
      <c r="AM335" s="1248"/>
      <c r="AN335" s="1248"/>
      <c r="AO335" s="1248"/>
      <c r="AP335" s="1248"/>
      <c r="AQ335" s="1248"/>
      <c r="AR335" s="1248"/>
      <c r="AS335" s="1248"/>
      <c r="AT335" s="1248"/>
      <c r="AU335" s="1248"/>
      <c r="AV335" s="1248"/>
      <c r="AW335" s="1248"/>
      <c r="AX335" s="1248"/>
      <c r="AY335" s="947"/>
      <c r="AZ335" s="1248"/>
      <c r="BA335" s="1248"/>
      <c r="BB335" s="1248"/>
      <c r="BC335" s="1248"/>
      <c r="BD335" s="1248"/>
      <c r="BE335" s="1248"/>
      <c r="BF335" s="1248"/>
      <c r="BG335" s="1248"/>
      <c r="BH335" s="1248"/>
      <c r="BI335" s="1248"/>
      <c r="BJ335" s="1248"/>
      <c r="BK335" s="1248"/>
      <c r="BL335" s="1248"/>
      <c r="BM335" s="1248"/>
      <c r="BN335" s="1248"/>
      <c r="BO335" s="1248"/>
      <c r="BP335" s="1248"/>
      <c r="BQ335" s="1248"/>
      <c r="BR335" s="1248"/>
      <c r="BS335" s="1248"/>
      <c r="BT335" s="1248"/>
      <c r="BU335" s="1248"/>
      <c r="BV335" s="1248"/>
      <c r="BW335" s="1248"/>
      <c r="BX335" s="1248"/>
      <c r="BY335" s="1248"/>
      <c r="BZ335" s="1248"/>
      <c r="CA335" s="1248"/>
      <c r="CB335" s="1248"/>
      <c r="CC335" s="1248"/>
    </row>
    <row r="336" spans="2:81" s="37" customFormat="1">
      <c r="B336" s="1631" t="s">
        <v>1532</v>
      </c>
      <c r="C336" s="1168"/>
      <c r="D336" s="1354"/>
      <c r="E336" s="790"/>
      <c r="F336" s="1246"/>
      <c r="G336" s="1210">
        <f t="shared" ref="G336:L336" si="289">(G381-G382)/G335</f>
        <v>1.2887557017543865</v>
      </c>
      <c r="H336" s="1210">
        <f t="shared" si="289"/>
        <v>1.6247467444120509</v>
      </c>
      <c r="I336" s="1210">
        <f t="shared" si="289"/>
        <v>1.3790879419191915</v>
      </c>
      <c r="J336" s="1210">
        <f t="shared" si="289"/>
        <v>1.8249047098254969</v>
      </c>
      <c r="K336" s="1210">
        <f t="shared" si="289"/>
        <v>2.0438911942362767</v>
      </c>
      <c r="L336" s="1210">
        <f t="shared" si="289"/>
        <v>2.7811103181247678</v>
      </c>
      <c r="M336" s="1627"/>
      <c r="N336" s="2113"/>
      <c r="O336" s="1618"/>
      <c r="P336" s="1618"/>
      <c r="Q336" s="1202"/>
      <c r="R336" s="1202"/>
      <c r="S336" s="1202"/>
      <c r="T336" s="947"/>
      <c r="U336" s="1164"/>
      <c r="V336" s="1248"/>
      <c r="W336" s="1248"/>
      <c r="X336" s="1248"/>
      <c r="Y336" s="1248"/>
      <c r="Z336" s="1248"/>
      <c r="AA336" s="1248"/>
      <c r="AB336" s="1248"/>
      <c r="AC336" s="1248"/>
      <c r="AD336" s="1248"/>
      <c r="AE336" s="1248"/>
      <c r="AF336" s="1248"/>
      <c r="AG336" s="1248"/>
      <c r="AH336" s="1248"/>
      <c r="AI336" s="1248"/>
      <c r="AJ336" s="1248"/>
      <c r="AK336" s="1248"/>
      <c r="AL336" s="1248"/>
      <c r="AM336" s="1248"/>
      <c r="AN336" s="1248"/>
      <c r="AO336" s="1248"/>
      <c r="AP336" s="1248"/>
      <c r="AQ336" s="1248"/>
      <c r="AR336" s="1248"/>
      <c r="AS336" s="1248"/>
      <c r="AT336" s="1248"/>
      <c r="AU336" s="1248"/>
      <c r="AV336" s="1248"/>
      <c r="AW336" s="1248"/>
      <c r="AX336" s="1248"/>
      <c r="AY336" s="947"/>
      <c r="AZ336" s="1248"/>
      <c r="BA336" s="1248"/>
      <c r="BB336" s="1248"/>
      <c r="BC336" s="1248"/>
      <c r="BD336" s="1248"/>
      <c r="BE336" s="1248"/>
      <c r="BF336" s="1248"/>
      <c r="BG336" s="1248"/>
      <c r="BH336" s="1248"/>
      <c r="BI336" s="1248"/>
      <c r="BJ336" s="1248"/>
      <c r="BK336" s="1248"/>
      <c r="BL336" s="1248"/>
      <c r="BM336" s="1248"/>
      <c r="BN336" s="1248"/>
      <c r="BO336" s="1248"/>
      <c r="BP336" s="1248"/>
      <c r="BQ336" s="1248"/>
      <c r="BR336" s="1248"/>
      <c r="BS336" s="1248"/>
      <c r="BT336" s="1248"/>
      <c r="BU336" s="1248"/>
      <c r="BV336" s="1248"/>
      <c r="BW336" s="1248"/>
      <c r="BX336" s="1248"/>
      <c r="BY336" s="1248"/>
      <c r="BZ336" s="1248"/>
      <c r="CA336" s="1248"/>
      <c r="CB336" s="1248"/>
      <c r="CC336" s="1248"/>
    </row>
    <row r="337" spans="2:81" s="37" customFormat="1">
      <c r="B337" s="680" t="s">
        <v>1056</v>
      </c>
      <c r="C337" s="1168"/>
      <c r="D337" s="1354"/>
      <c r="E337" s="790"/>
      <c r="F337" s="1246"/>
      <c r="G337" s="1355"/>
      <c r="H337" s="1634">
        <f>H336/G336-1</f>
        <v>0.26070964590129764</v>
      </c>
      <c r="I337" s="1634">
        <f>I336/H336-1</f>
        <v>-0.15119821186763249</v>
      </c>
      <c r="J337" s="1634">
        <f>J336/I336-1</f>
        <v>0.32326928135263788</v>
      </c>
      <c r="K337" s="1634">
        <f>K336/J336-1</f>
        <v>0.11999885979346292</v>
      </c>
      <c r="L337" s="1199">
        <f>L336/K336-1</f>
        <v>0.36069391852532617</v>
      </c>
      <c r="M337" s="1627"/>
      <c r="N337" s="2113"/>
      <c r="O337" s="1618"/>
      <c r="P337" s="1618"/>
      <c r="Q337" s="1202"/>
      <c r="R337" s="1202"/>
      <c r="S337" s="1202"/>
      <c r="T337" s="947"/>
      <c r="U337" s="1164"/>
      <c r="V337" s="1248"/>
      <c r="W337" s="1248"/>
      <c r="X337" s="1248"/>
      <c r="Y337" s="1248"/>
      <c r="Z337" s="1248"/>
      <c r="AA337" s="1248"/>
      <c r="AB337" s="1248"/>
      <c r="AC337" s="1248"/>
      <c r="AD337" s="1248"/>
      <c r="AE337" s="1248"/>
      <c r="AF337" s="1248"/>
      <c r="AG337" s="1248"/>
      <c r="AH337" s="1248"/>
      <c r="AI337" s="1248"/>
      <c r="AJ337" s="1248"/>
      <c r="AK337" s="1248"/>
      <c r="AL337" s="1248"/>
      <c r="AM337" s="1248"/>
      <c r="AN337" s="1248"/>
      <c r="AO337" s="1248"/>
      <c r="AP337" s="1248"/>
      <c r="AQ337" s="1248"/>
      <c r="AR337" s="1248"/>
      <c r="AS337" s="1248"/>
      <c r="AT337" s="1248"/>
      <c r="AU337" s="1248"/>
      <c r="AV337" s="1248"/>
      <c r="AW337" s="1248"/>
      <c r="AX337" s="1248"/>
      <c r="AY337" s="947"/>
      <c r="AZ337" s="1248"/>
      <c r="BA337" s="1248"/>
      <c r="BB337" s="1248"/>
      <c r="BC337" s="1248"/>
      <c r="BD337" s="1248"/>
      <c r="BE337" s="1248"/>
      <c r="BF337" s="1248"/>
      <c r="BG337" s="1248"/>
      <c r="BH337" s="1248"/>
      <c r="BI337" s="1248"/>
      <c r="BJ337" s="1248"/>
      <c r="BK337" s="1248"/>
      <c r="BL337" s="1248"/>
      <c r="BM337" s="1248"/>
      <c r="BN337" s="1248"/>
      <c r="BO337" s="1248"/>
      <c r="BP337" s="1248"/>
      <c r="BQ337" s="1248"/>
      <c r="BR337" s="1248"/>
      <c r="BS337" s="1248"/>
      <c r="BT337" s="1248"/>
      <c r="BU337" s="1248"/>
      <c r="BV337" s="1248"/>
      <c r="BW337" s="1248"/>
      <c r="BX337" s="1248"/>
      <c r="BY337" s="1248"/>
      <c r="BZ337" s="1248"/>
      <c r="CA337" s="1248"/>
      <c r="CB337" s="1248"/>
      <c r="CC337" s="1248"/>
    </row>
    <row r="338" spans="2:81" s="37" customFormat="1">
      <c r="B338" s="1631"/>
      <c r="C338" s="1168"/>
      <c r="D338" s="1354"/>
      <c r="E338" s="790"/>
      <c r="F338" s="1246"/>
      <c r="G338" s="1355"/>
      <c r="H338" s="1355"/>
      <c r="I338" s="1356"/>
      <c r="J338" s="1356"/>
      <c r="K338" s="1356"/>
      <c r="L338" s="1356"/>
      <c r="M338" s="1627"/>
      <c r="N338" s="2113"/>
      <c r="O338" s="1618"/>
      <c r="P338" s="1618"/>
      <c r="Q338" s="1202"/>
      <c r="R338" s="1202"/>
      <c r="S338" s="1202"/>
      <c r="T338" s="947"/>
      <c r="U338" s="1164"/>
      <c r="V338" s="1248"/>
      <c r="W338" s="1248"/>
      <c r="X338" s="1248"/>
      <c r="Y338" s="1248"/>
      <c r="Z338" s="1248"/>
      <c r="AA338" s="1248"/>
      <c r="AB338" s="1248"/>
      <c r="AC338" s="1248"/>
      <c r="AD338" s="1248"/>
      <c r="AE338" s="1248"/>
      <c r="AF338" s="1248"/>
      <c r="AG338" s="1248"/>
      <c r="AH338" s="1248"/>
      <c r="AI338" s="1248"/>
      <c r="AJ338" s="1248"/>
      <c r="AK338" s="1248"/>
      <c r="AL338" s="1248"/>
      <c r="AM338" s="1248"/>
      <c r="AN338" s="1248"/>
      <c r="AO338" s="1248"/>
      <c r="AP338" s="1248"/>
      <c r="AQ338" s="1248"/>
      <c r="AR338" s="1248"/>
      <c r="AS338" s="1248"/>
      <c r="AT338" s="1248"/>
      <c r="AU338" s="1248"/>
      <c r="AV338" s="1248"/>
      <c r="AW338" s="1248"/>
      <c r="AX338" s="1248"/>
      <c r="AY338" s="947"/>
      <c r="AZ338" s="1248"/>
      <c r="BA338" s="1248"/>
      <c r="BB338" s="1248"/>
      <c r="BC338" s="1248"/>
      <c r="BD338" s="1248"/>
      <c r="BE338" s="1248"/>
      <c r="BF338" s="1248"/>
      <c r="BG338" s="1248"/>
      <c r="BH338" s="1248"/>
      <c r="BI338" s="1248"/>
      <c r="BJ338" s="1248"/>
      <c r="BK338" s="1248"/>
      <c r="BL338" s="1248"/>
      <c r="BM338" s="1248"/>
      <c r="BN338" s="1248"/>
      <c r="BO338" s="1248"/>
      <c r="BP338" s="1248"/>
      <c r="BQ338" s="1248"/>
      <c r="BR338" s="1248"/>
      <c r="BS338" s="1248"/>
      <c r="BT338" s="1248"/>
      <c r="BU338" s="1248"/>
      <c r="BV338" s="1248"/>
      <c r="BW338" s="1248"/>
      <c r="BX338" s="1248"/>
      <c r="BY338" s="1248"/>
      <c r="BZ338" s="1248"/>
      <c r="CA338" s="1248"/>
      <c r="CB338" s="1248"/>
      <c r="CC338" s="1248"/>
    </row>
    <row r="339" spans="2:81" s="37" customFormat="1">
      <c r="B339" s="1631"/>
      <c r="C339" s="1168"/>
      <c r="D339" s="1354"/>
      <c r="E339" s="790"/>
      <c r="F339" s="1246"/>
      <c r="G339" s="1355"/>
      <c r="H339" s="1355"/>
      <c r="I339" s="1356"/>
      <c r="J339" s="1356"/>
      <c r="K339" s="1356"/>
      <c r="L339" s="1356"/>
      <c r="M339" s="1627"/>
      <c r="N339" s="2113"/>
      <c r="O339" s="1618"/>
      <c r="P339" s="1618"/>
      <c r="Q339" s="1202"/>
      <c r="R339" s="1202"/>
      <c r="S339" s="1202"/>
      <c r="T339" s="947"/>
      <c r="U339" s="1164"/>
      <c r="V339" s="1248"/>
      <c r="W339" s="1248"/>
      <c r="X339" s="1248"/>
      <c r="Y339" s="1248"/>
      <c r="Z339" s="1248"/>
      <c r="AA339" s="1248"/>
      <c r="AB339" s="1248"/>
      <c r="AC339" s="1248"/>
      <c r="AD339" s="1248"/>
      <c r="AE339" s="1248"/>
      <c r="AF339" s="1248"/>
      <c r="AG339" s="1248"/>
      <c r="AH339" s="1248"/>
      <c r="AI339" s="1248"/>
      <c r="AJ339" s="1248"/>
      <c r="AK339" s="1248"/>
      <c r="AL339" s="1248"/>
      <c r="AM339" s="1248"/>
      <c r="AN339" s="1248"/>
      <c r="AO339" s="1248"/>
      <c r="AP339" s="1248"/>
      <c r="AQ339" s="1248"/>
      <c r="AR339" s="1248"/>
      <c r="AS339" s="1248"/>
      <c r="AT339" s="1248"/>
      <c r="AU339" s="1248"/>
      <c r="AV339" s="1248"/>
      <c r="AW339" s="1248"/>
      <c r="AX339" s="1248"/>
      <c r="AY339" s="947"/>
      <c r="AZ339" s="1248"/>
      <c r="BA339" s="1248"/>
      <c r="BB339" s="1248"/>
      <c r="BC339" s="1248"/>
      <c r="BD339" s="1248"/>
      <c r="BE339" s="1248"/>
      <c r="BF339" s="1248"/>
      <c r="BG339" s="1248"/>
      <c r="BH339" s="1248"/>
      <c r="BI339" s="1248"/>
      <c r="BJ339" s="1248"/>
      <c r="BK339" s="1248"/>
      <c r="BL339" s="1248"/>
      <c r="BM339" s="1248"/>
      <c r="BN339" s="1248"/>
      <c r="BO339" s="1248"/>
      <c r="BP339" s="1248"/>
      <c r="BQ339" s="1248"/>
      <c r="BR339" s="1248"/>
      <c r="BS339" s="1248"/>
      <c r="BT339" s="1248"/>
      <c r="BU339" s="1248"/>
      <c r="BV339" s="1248"/>
      <c r="BW339" s="1248"/>
      <c r="BX339" s="1248"/>
      <c r="BY339" s="1248"/>
      <c r="BZ339" s="1248"/>
      <c r="CA339" s="1248"/>
      <c r="CB339" s="1248"/>
      <c r="CC339" s="1248"/>
    </row>
    <row r="340" spans="2:81" s="37" customFormat="1">
      <c r="B340" s="1631" t="s">
        <v>1570</v>
      </c>
      <c r="C340" s="1168"/>
      <c r="D340" s="1354"/>
      <c r="E340" s="790"/>
      <c r="F340" s="1246"/>
      <c r="G340" s="1355"/>
      <c r="H340" s="1355"/>
      <c r="I340" s="1636">
        <f t="shared" ref="I340:P340" si="290">I342*I382</f>
        <v>2723.6760209999998</v>
      </c>
      <c r="J340" s="1636">
        <f t="shared" si="290"/>
        <v>3087.1016079091</v>
      </c>
      <c r="K340" s="1636">
        <f t="shared" si="290"/>
        <v>3253.38</v>
      </c>
      <c r="L340" s="1636">
        <f t="shared" si="290"/>
        <v>3290.8348672500001</v>
      </c>
      <c r="M340" s="1636">
        <f t="shared" si="290"/>
        <v>3444.3616388481996</v>
      </c>
      <c r="N340" s="2114">
        <f t="shared" si="290"/>
        <v>3611.323117819441</v>
      </c>
      <c r="O340" s="1636">
        <f t="shared" si="290"/>
        <v>3640.582106194151</v>
      </c>
      <c r="P340" s="1636">
        <f t="shared" si="290"/>
        <v>3663.6170620660705</v>
      </c>
      <c r="Q340" s="1202"/>
      <c r="R340" s="1202"/>
      <c r="S340" s="1202"/>
      <c r="T340" s="947"/>
      <c r="U340" s="1164"/>
      <c r="V340" s="1248"/>
      <c r="W340" s="1248"/>
      <c r="X340" s="1248"/>
      <c r="Y340" s="1248"/>
      <c r="Z340" s="1248"/>
      <c r="AA340" s="1248"/>
      <c r="AB340" s="1248"/>
      <c r="AC340" s="1248"/>
      <c r="AD340" s="1248"/>
      <c r="AE340" s="1248"/>
      <c r="AF340" s="1248"/>
      <c r="AG340" s="1248"/>
      <c r="AH340" s="1248"/>
      <c r="AI340" s="1248"/>
      <c r="AJ340" s="1248"/>
      <c r="AK340" s="1248"/>
      <c r="AL340" s="1248"/>
      <c r="AM340" s="1248"/>
      <c r="AN340" s="1248"/>
      <c r="AO340" s="1248"/>
      <c r="AP340" s="1248"/>
      <c r="AQ340" s="1248"/>
      <c r="AR340" s="1248"/>
      <c r="AS340" s="1248"/>
      <c r="AT340" s="1248"/>
      <c r="AU340" s="1248"/>
      <c r="AV340" s="1248"/>
      <c r="AW340" s="1248"/>
      <c r="AX340" s="1248"/>
      <c r="AY340" s="947"/>
      <c r="AZ340" s="1248"/>
      <c r="BA340" s="1248"/>
      <c r="BB340" s="1248"/>
      <c r="BC340" s="1248"/>
      <c r="BD340" s="1248"/>
      <c r="BE340" s="1248"/>
      <c r="BF340" s="1248"/>
      <c r="BG340" s="1248"/>
      <c r="BH340" s="1248"/>
      <c r="BI340" s="1248"/>
      <c r="BJ340" s="1248"/>
      <c r="BK340" s="1248"/>
      <c r="BL340" s="1248"/>
      <c r="BM340" s="1248"/>
      <c r="BN340" s="1248"/>
      <c r="BO340" s="1248"/>
      <c r="BP340" s="1248"/>
      <c r="BQ340" s="1248"/>
      <c r="BR340" s="1248"/>
      <c r="BS340" s="1248"/>
      <c r="BT340" s="1248"/>
      <c r="BU340" s="1248"/>
      <c r="BV340" s="1248"/>
      <c r="BW340" s="1248"/>
      <c r="BX340" s="1248"/>
      <c r="BY340" s="1248"/>
      <c r="BZ340" s="1248"/>
      <c r="CA340" s="1248"/>
      <c r="CB340" s="1248"/>
      <c r="CC340" s="1248"/>
    </row>
    <row r="341" spans="2:81" s="37" customFormat="1">
      <c r="B341" s="1631" t="s">
        <v>216</v>
      </c>
      <c r="C341" s="1168"/>
      <c r="D341" s="1354"/>
      <c r="E341" s="790"/>
      <c r="F341" s="1246"/>
      <c r="G341" s="1355"/>
      <c r="H341" s="1355"/>
      <c r="I341" s="1356"/>
      <c r="J341" s="1199">
        <f t="shared" ref="J341:P341" si="291">J340/I340-1</f>
        <v>0.13343201765078816</v>
      </c>
      <c r="K341" s="1199">
        <f t="shared" si="291"/>
        <v>5.3862299726350926E-2</v>
      </c>
      <c r="L341" s="1199">
        <f t="shared" si="291"/>
        <v>1.151260143297117E-2</v>
      </c>
      <c r="M341" s="1199">
        <f t="shared" si="291"/>
        <v>4.6652833639900804E-2</v>
      </c>
      <c r="N341" s="1579">
        <f t="shared" si="291"/>
        <v>4.8473852770893666E-2</v>
      </c>
      <c r="O341" s="1199">
        <f t="shared" si="291"/>
        <v>8.1020134228191321E-3</v>
      </c>
      <c r="P341" s="1199">
        <f t="shared" si="291"/>
        <v>6.3272727272727369E-3</v>
      </c>
      <c r="Q341" s="1202"/>
      <c r="R341" s="1202"/>
      <c r="S341" s="1202"/>
      <c r="T341" s="947"/>
      <c r="U341" s="1164"/>
      <c r="V341" s="1248"/>
      <c r="W341" s="1248"/>
      <c r="X341" s="1248"/>
      <c r="Y341" s="1248"/>
      <c r="Z341" s="1248"/>
      <c r="AA341" s="1248"/>
      <c r="AB341" s="1248"/>
      <c r="AC341" s="1248"/>
      <c r="AD341" s="1248"/>
      <c r="AE341" s="1248"/>
      <c r="AF341" s="1248"/>
      <c r="AG341" s="1248"/>
      <c r="AH341" s="1248"/>
      <c r="AI341" s="1248"/>
      <c r="AJ341" s="1248"/>
      <c r="AK341" s="1248"/>
      <c r="AL341" s="1248"/>
      <c r="AM341" s="1248"/>
      <c r="AN341" s="1248"/>
      <c r="AO341" s="1248"/>
      <c r="AP341" s="1248"/>
      <c r="AQ341" s="1248"/>
      <c r="AR341" s="1248"/>
      <c r="AS341" s="1248"/>
      <c r="AT341" s="1248"/>
      <c r="AU341" s="1248"/>
      <c r="AV341" s="1248"/>
      <c r="AW341" s="1248"/>
      <c r="AX341" s="1248"/>
      <c r="AY341" s="947"/>
      <c r="AZ341" s="1248"/>
      <c r="BA341" s="1248"/>
      <c r="BB341" s="1248"/>
      <c r="BC341" s="1248"/>
      <c r="BD341" s="1248"/>
      <c r="BE341" s="1248"/>
      <c r="BF341" s="1248"/>
      <c r="BG341" s="1248"/>
      <c r="BH341" s="1248"/>
      <c r="BI341" s="1248"/>
      <c r="BJ341" s="1248"/>
      <c r="BK341" s="1248"/>
      <c r="BL341" s="1248"/>
      <c r="BM341" s="1248"/>
      <c r="BN341" s="1248"/>
      <c r="BO341" s="1248"/>
      <c r="BP341" s="1248"/>
      <c r="BQ341" s="1248"/>
      <c r="BR341" s="1248"/>
      <c r="BS341" s="1248"/>
      <c r="BT341" s="1248"/>
      <c r="BU341" s="1248"/>
      <c r="BV341" s="1248"/>
      <c r="BW341" s="1248"/>
      <c r="BX341" s="1248"/>
      <c r="BY341" s="1248"/>
      <c r="BZ341" s="1248"/>
      <c r="CA341" s="1248"/>
      <c r="CB341" s="1248"/>
      <c r="CC341" s="1248"/>
    </row>
    <row r="342" spans="2:81" s="37" customFormat="1">
      <c r="B342" s="1697" t="s">
        <v>1572</v>
      </c>
      <c r="C342" s="1168"/>
      <c r="D342" s="1354"/>
      <c r="E342" s="790"/>
      <c r="F342" s="1246"/>
      <c r="G342" s="1355"/>
      <c r="H342" s="1355"/>
      <c r="I342" s="1635">
        <v>0.99</v>
      </c>
      <c r="J342" s="1635">
        <v>0.96499999999999997</v>
      </c>
      <c r="K342" s="1635">
        <v>0.97</v>
      </c>
      <c r="L342" s="1635">
        <v>0.875</v>
      </c>
      <c r="M342" s="1635">
        <v>0.79</v>
      </c>
      <c r="N342" s="2115">
        <v>0.745</v>
      </c>
      <c r="O342" s="1635">
        <v>0.71499999999999997</v>
      </c>
      <c r="P342" s="1635">
        <v>0.68500000000000005</v>
      </c>
      <c r="Q342" s="1202"/>
      <c r="R342" s="1202"/>
      <c r="S342" s="1202"/>
      <c r="T342" s="947"/>
      <c r="U342" s="1164"/>
      <c r="V342" s="1248"/>
      <c r="W342" s="1248"/>
      <c r="X342" s="1248"/>
      <c r="Y342" s="1248"/>
      <c r="Z342" s="1248"/>
      <c r="AA342" s="1248"/>
      <c r="AB342" s="1248"/>
      <c r="AC342" s="1248"/>
      <c r="AD342" s="1248"/>
      <c r="AE342" s="1248"/>
      <c r="AF342" s="1248"/>
      <c r="AG342" s="1248"/>
      <c r="AH342" s="1248"/>
      <c r="AI342" s="1248"/>
      <c r="AJ342" s="1248"/>
      <c r="AK342" s="1248"/>
      <c r="AL342" s="1248"/>
      <c r="AM342" s="1248"/>
      <c r="AN342" s="1248"/>
      <c r="AO342" s="1248"/>
      <c r="AP342" s="1248"/>
      <c r="AQ342" s="1248"/>
      <c r="AR342" s="1248"/>
      <c r="AS342" s="1248"/>
      <c r="AT342" s="1248"/>
      <c r="AU342" s="1248"/>
      <c r="AV342" s="1248"/>
      <c r="AW342" s="1248"/>
      <c r="AX342" s="1248"/>
      <c r="AY342" s="947"/>
      <c r="AZ342" s="1248"/>
      <c r="BA342" s="1248"/>
      <c r="BB342" s="1248"/>
      <c r="BC342" s="1248"/>
      <c r="BD342" s="1248"/>
      <c r="BE342" s="1248"/>
      <c r="BF342" s="1248"/>
      <c r="BG342" s="1248"/>
      <c r="BH342" s="1248"/>
      <c r="BI342" s="1248"/>
      <c r="BJ342" s="1248"/>
      <c r="BK342" s="1248"/>
      <c r="BL342" s="1248"/>
      <c r="BM342" s="1248"/>
      <c r="BN342" s="1248"/>
      <c r="BO342" s="1248"/>
      <c r="BP342" s="1248"/>
      <c r="BQ342" s="1248"/>
      <c r="BR342" s="1248"/>
      <c r="BS342" s="1248"/>
      <c r="BT342" s="1248"/>
      <c r="BU342" s="1248"/>
      <c r="BV342" s="1248"/>
      <c r="BW342" s="1248"/>
      <c r="BX342" s="1248"/>
      <c r="BY342" s="1248"/>
      <c r="BZ342" s="1248"/>
      <c r="CA342" s="1248"/>
      <c r="CB342" s="1248"/>
      <c r="CC342" s="1248"/>
    </row>
    <row r="343" spans="2:81" s="37" customFormat="1">
      <c r="B343" s="1631" t="s">
        <v>1573</v>
      </c>
      <c r="C343" s="1168"/>
      <c r="D343" s="1354"/>
      <c r="E343" s="790"/>
      <c r="F343" s="1246"/>
      <c r="G343" s="1355"/>
      <c r="H343" s="1355"/>
      <c r="I343" s="1636">
        <f t="shared" ref="I343:P343" si="292">I11-I340</f>
        <v>1931.4777790000003</v>
      </c>
      <c r="J343" s="1636">
        <f t="shared" si="292"/>
        <v>3504.7962712709</v>
      </c>
      <c r="K343" s="1636">
        <f t="shared" si="292"/>
        <v>4918.9268279999997</v>
      </c>
      <c r="L343" s="1636">
        <f t="shared" si="292"/>
        <v>7045.1741327500004</v>
      </c>
      <c r="M343" s="1636">
        <f t="shared" si="292"/>
        <v>9859.2226492918016</v>
      </c>
      <c r="N343" s="2114">
        <f t="shared" si="292"/>
        <v>12325.040500943465</v>
      </c>
      <c r="O343" s="1636">
        <f t="shared" si="292"/>
        <v>15004.963327758449</v>
      </c>
      <c r="P343" s="1636">
        <f t="shared" si="292"/>
        <v>17592.304732639896</v>
      </c>
      <c r="Q343" s="1202"/>
      <c r="R343" s="1202"/>
      <c r="S343" s="1202"/>
      <c r="T343" s="947"/>
      <c r="U343" s="1164"/>
      <c r="V343" s="1248"/>
      <c r="W343" s="1248"/>
      <c r="X343" s="1248"/>
      <c r="Y343" s="1248"/>
      <c r="Z343" s="1248"/>
      <c r="AA343" s="1248"/>
      <c r="AB343" s="1248"/>
      <c r="AC343" s="1248"/>
      <c r="AD343" s="1248"/>
      <c r="AE343" s="1248"/>
      <c r="AF343" s="1248"/>
      <c r="AG343" s="1248"/>
      <c r="AH343" s="1248"/>
      <c r="AI343" s="1248"/>
      <c r="AJ343" s="1248"/>
      <c r="AK343" s="1248"/>
      <c r="AL343" s="1248"/>
      <c r="AM343" s="1248"/>
      <c r="AN343" s="1248"/>
      <c r="AO343" s="1248"/>
      <c r="AP343" s="1248"/>
      <c r="AQ343" s="1248"/>
      <c r="AR343" s="1248"/>
      <c r="AS343" s="1248"/>
      <c r="AT343" s="1248"/>
      <c r="AU343" s="1248"/>
      <c r="AV343" s="1248"/>
      <c r="AW343" s="1248"/>
      <c r="AX343" s="1248"/>
      <c r="AY343" s="947"/>
      <c r="AZ343" s="1248"/>
      <c r="BA343" s="1248"/>
      <c r="BB343" s="1248"/>
      <c r="BC343" s="1248"/>
      <c r="BD343" s="1248"/>
      <c r="BE343" s="1248"/>
      <c r="BF343" s="1248"/>
      <c r="BG343" s="1248"/>
      <c r="BH343" s="1248"/>
      <c r="BI343" s="1248"/>
      <c r="BJ343" s="1248"/>
      <c r="BK343" s="1248"/>
      <c r="BL343" s="1248"/>
      <c r="BM343" s="1248"/>
      <c r="BN343" s="1248"/>
      <c r="BO343" s="1248"/>
      <c r="BP343" s="1248"/>
      <c r="BQ343" s="1248"/>
      <c r="BR343" s="1248"/>
      <c r="BS343" s="1248"/>
      <c r="BT343" s="1248"/>
      <c r="BU343" s="1248"/>
      <c r="BV343" s="1248"/>
      <c r="BW343" s="1248"/>
      <c r="BX343" s="1248"/>
      <c r="BY343" s="1248"/>
      <c r="BZ343" s="1248"/>
      <c r="CA343" s="1248"/>
      <c r="CB343" s="1248"/>
      <c r="CC343" s="1248"/>
    </row>
    <row r="344" spans="2:81" s="37" customFormat="1">
      <c r="B344" s="1631" t="s">
        <v>216</v>
      </c>
      <c r="C344" s="1168"/>
      <c r="D344" s="1354"/>
      <c r="E344" s="790"/>
      <c r="F344" s="1246"/>
      <c r="G344" s="1355"/>
      <c r="H344" s="1355"/>
      <c r="I344" s="1356"/>
      <c r="J344" s="1199">
        <f t="shared" ref="J344:P344" si="293">J343/I343-1</f>
        <v>0.81456722379973057</v>
      </c>
      <c r="K344" s="1199">
        <f t="shared" si="293"/>
        <v>0.40348438176587975</v>
      </c>
      <c r="L344" s="1199">
        <f t="shared" si="293"/>
        <v>0.43225837242521403</v>
      </c>
      <c r="M344" s="1199">
        <f t="shared" si="293"/>
        <v>0.39942923532017383</v>
      </c>
      <c r="N344" s="1579">
        <f t="shared" si="293"/>
        <v>0.25010266421245553</v>
      </c>
      <c r="O344" s="1199">
        <f t="shared" si="293"/>
        <v>0.2174372430346041</v>
      </c>
      <c r="P344" s="1199">
        <f t="shared" si="293"/>
        <v>0.17243237110050047</v>
      </c>
      <c r="Q344" s="1202"/>
      <c r="R344" s="1202"/>
      <c r="S344" s="1202"/>
      <c r="T344" s="947"/>
      <c r="U344" s="1164"/>
      <c r="V344" s="1248"/>
      <c r="W344" s="1248"/>
      <c r="X344" s="1248"/>
      <c r="Y344" s="1248"/>
      <c r="Z344" s="1248"/>
      <c r="AA344" s="1248"/>
      <c r="AB344" s="1248"/>
      <c r="AC344" s="1248"/>
      <c r="AD344" s="1248"/>
      <c r="AE344" s="1248"/>
      <c r="AF344" s="1248"/>
      <c r="AG344" s="1248"/>
      <c r="AH344" s="1248"/>
      <c r="AI344" s="1248"/>
      <c r="AJ344" s="1248"/>
      <c r="AK344" s="1248"/>
      <c r="AL344" s="1248"/>
      <c r="AM344" s="1248"/>
      <c r="AN344" s="1248"/>
      <c r="AO344" s="1248"/>
      <c r="AP344" s="1248"/>
      <c r="AQ344" s="1248"/>
      <c r="AR344" s="1248"/>
      <c r="AS344" s="1248"/>
      <c r="AT344" s="1248"/>
      <c r="AU344" s="1248"/>
      <c r="AV344" s="1248"/>
      <c r="AW344" s="1248"/>
      <c r="AX344" s="1248"/>
      <c r="AY344" s="947"/>
      <c r="AZ344" s="1248"/>
      <c r="BA344" s="1248"/>
      <c r="BB344" s="1248"/>
      <c r="BC344" s="1248"/>
      <c r="BD344" s="1248"/>
      <c r="BE344" s="1248"/>
      <c r="BF344" s="1248"/>
      <c r="BG344" s="1248"/>
      <c r="BH344" s="1248"/>
      <c r="BI344" s="1248"/>
      <c r="BJ344" s="1248"/>
      <c r="BK344" s="1248"/>
      <c r="BL344" s="1248"/>
      <c r="BM344" s="1248"/>
      <c r="BN344" s="1248"/>
      <c r="BO344" s="1248"/>
      <c r="BP344" s="1248"/>
      <c r="BQ344" s="1248"/>
      <c r="BR344" s="1248"/>
      <c r="BS344" s="1248"/>
      <c r="BT344" s="1248"/>
      <c r="BU344" s="1248"/>
      <c r="BV344" s="1248"/>
      <c r="BW344" s="1248"/>
      <c r="BX344" s="1248"/>
      <c r="BY344" s="1248"/>
      <c r="BZ344" s="1248"/>
      <c r="CA344" s="1248"/>
      <c r="CB344" s="1248"/>
      <c r="CC344" s="1248"/>
    </row>
    <row r="345" spans="2:81" s="37" customFormat="1">
      <c r="B345" s="1631"/>
      <c r="C345" s="1168"/>
      <c r="D345" s="1354"/>
      <c r="E345" s="790"/>
      <c r="F345" s="1246"/>
      <c r="G345" s="1355"/>
      <c r="H345" s="1355"/>
      <c r="I345" s="1356"/>
      <c r="J345" s="1356"/>
      <c r="K345" s="1356"/>
      <c r="L345" s="1356"/>
      <c r="M345" s="1627"/>
      <c r="N345" s="2117"/>
      <c r="O345" s="1627"/>
      <c r="P345" s="1627"/>
      <c r="Q345" s="1202"/>
      <c r="R345" s="1202"/>
      <c r="S345" s="1202"/>
      <c r="T345" s="947"/>
      <c r="U345" s="1164"/>
      <c r="V345" s="1248"/>
      <c r="W345" s="1248"/>
      <c r="X345" s="1248"/>
      <c r="Y345" s="1248"/>
      <c r="Z345" s="1248"/>
      <c r="AA345" s="1248"/>
      <c r="AB345" s="1248"/>
      <c r="AC345" s="1248"/>
      <c r="AD345" s="1248"/>
      <c r="AE345" s="1248"/>
      <c r="AF345" s="1248"/>
      <c r="AG345" s="1248"/>
      <c r="AH345" s="1248"/>
      <c r="AI345" s="1248"/>
      <c r="AJ345" s="1248"/>
      <c r="AK345" s="1248"/>
      <c r="AL345" s="1248"/>
      <c r="AM345" s="1248"/>
      <c r="AN345" s="1248"/>
      <c r="AO345" s="1248"/>
      <c r="AP345" s="1248"/>
      <c r="AQ345" s="1248"/>
      <c r="AR345" s="1248"/>
      <c r="AS345" s="1248"/>
      <c r="AT345" s="1248"/>
      <c r="AU345" s="1248"/>
      <c r="AV345" s="1248"/>
      <c r="AW345" s="1248"/>
      <c r="AX345" s="1248"/>
      <c r="AY345" s="947"/>
      <c r="AZ345" s="1248"/>
      <c r="BA345" s="1248"/>
      <c r="BB345" s="1248"/>
      <c r="BC345" s="1248"/>
      <c r="BD345" s="1248"/>
      <c r="BE345" s="1248"/>
      <c r="BF345" s="1248"/>
      <c r="BG345" s="1248"/>
      <c r="BH345" s="1248"/>
      <c r="BI345" s="1248"/>
      <c r="BJ345" s="1248"/>
      <c r="BK345" s="1248"/>
      <c r="BL345" s="1248"/>
      <c r="BM345" s="1248"/>
      <c r="BN345" s="1248"/>
      <c r="BO345" s="1248"/>
      <c r="BP345" s="1248"/>
      <c r="BQ345" s="1248"/>
      <c r="BR345" s="1248"/>
      <c r="BS345" s="1248"/>
      <c r="BT345" s="1248"/>
      <c r="BU345" s="1248"/>
      <c r="BV345" s="1248"/>
      <c r="BW345" s="1248"/>
      <c r="BX345" s="1248"/>
      <c r="BY345" s="1248"/>
      <c r="BZ345" s="1248"/>
      <c r="CA345" s="1248"/>
      <c r="CB345" s="1248"/>
      <c r="CC345" s="1248"/>
    </row>
    <row r="346" spans="2:81" s="37" customFormat="1">
      <c r="B346" s="1631" t="s">
        <v>1571</v>
      </c>
      <c r="C346" s="1168"/>
      <c r="D346" s="1354"/>
      <c r="E346" s="790"/>
      <c r="F346" s="1246"/>
      <c r="G346" s="1355"/>
      <c r="H346" s="1355"/>
      <c r="I346" s="1636">
        <f t="shared" ref="I346:P346" si="294">I382-I340</f>
        <v>27.511879000000135</v>
      </c>
      <c r="J346" s="1636">
        <f t="shared" si="294"/>
        <v>111.96741583089988</v>
      </c>
      <c r="K346" s="1636">
        <f t="shared" si="294"/>
        <v>100.61999999999989</v>
      </c>
      <c r="L346" s="1636">
        <f t="shared" si="294"/>
        <v>470.11926674999995</v>
      </c>
      <c r="M346" s="1636">
        <f t="shared" si="294"/>
        <v>915.58980273179986</v>
      </c>
      <c r="N346" s="2114">
        <f t="shared" si="294"/>
        <v>1236.0904631462518</v>
      </c>
      <c r="O346" s="1636">
        <f t="shared" si="294"/>
        <v>1451.1411192522141</v>
      </c>
      <c r="P346" s="1636">
        <f t="shared" si="294"/>
        <v>1684.7290139427914</v>
      </c>
      <c r="Q346" s="1202"/>
      <c r="R346" s="1202"/>
      <c r="S346" s="1202"/>
      <c r="T346" s="947"/>
      <c r="U346" s="1164"/>
      <c r="V346" s="1248"/>
      <c r="W346" s="1248"/>
      <c r="X346" s="1248"/>
      <c r="Y346" s="1248"/>
      <c r="Z346" s="1248"/>
      <c r="AA346" s="1248"/>
      <c r="AB346" s="1248"/>
      <c r="AC346" s="1248"/>
      <c r="AD346" s="1248"/>
      <c r="AE346" s="1248"/>
      <c r="AF346" s="1248"/>
      <c r="AG346" s="1248"/>
      <c r="AH346" s="1248"/>
      <c r="AI346" s="1248"/>
      <c r="AJ346" s="1248"/>
      <c r="AK346" s="1248"/>
      <c r="AL346" s="1248"/>
      <c r="AM346" s="1248"/>
      <c r="AN346" s="1248"/>
      <c r="AO346" s="1248"/>
      <c r="AP346" s="1248"/>
      <c r="AQ346" s="1248"/>
      <c r="AR346" s="1248"/>
      <c r="AS346" s="1248"/>
      <c r="AT346" s="1248"/>
      <c r="AU346" s="1248"/>
      <c r="AV346" s="1248"/>
      <c r="AW346" s="1248"/>
      <c r="AX346" s="1248"/>
      <c r="AY346" s="947"/>
      <c r="AZ346" s="1248"/>
      <c r="BA346" s="1248"/>
      <c r="BB346" s="1248"/>
      <c r="BC346" s="1248"/>
      <c r="BD346" s="1248"/>
      <c r="BE346" s="1248"/>
      <c r="BF346" s="1248"/>
      <c r="BG346" s="1248"/>
      <c r="BH346" s="1248"/>
      <c r="BI346" s="1248"/>
      <c r="BJ346" s="1248"/>
      <c r="BK346" s="1248"/>
      <c r="BL346" s="1248"/>
      <c r="BM346" s="1248"/>
      <c r="BN346" s="1248"/>
      <c r="BO346" s="1248"/>
      <c r="BP346" s="1248"/>
      <c r="BQ346" s="1248"/>
      <c r="BR346" s="1248"/>
      <c r="BS346" s="1248"/>
      <c r="BT346" s="1248"/>
      <c r="BU346" s="1248"/>
      <c r="BV346" s="1248"/>
      <c r="BW346" s="1248"/>
      <c r="BX346" s="1248"/>
      <c r="BY346" s="1248"/>
      <c r="BZ346" s="1248"/>
      <c r="CA346" s="1248"/>
      <c r="CB346" s="1248"/>
      <c r="CC346" s="1248"/>
    </row>
    <row r="347" spans="2:81" s="37" customFormat="1">
      <c r="B347" s="1631" t="s">
        <v>216</v>
      </c>
      <c r="C347" s="1168"/>
      <c r="D347" s="1354"/>
      <c r="E347" s="790"/>
      <c r="F347" s="1246"/>
      <c r="G347" s="1355"/>
      <c r="H347" s="1355"/>
      <c r="I347" s="1356"/>
      <c r="J347" s="1199">
        <f>J346/I346-1</f>
        <v>3.0697843949844117</v>
      </c>
      <c r="K347" s="1199">
        <f t="shared" ref="K347:P347" si="295">K346/J346-1</f>
        <v>-0.10134569728783915</v>
      </c>
      <c r="L347" s="1199">
        <f t="shared" si="295"/>
        <v>3.672224873285634</v>
      </c>
      <c r="M347" s="1199">
        <f t="shared" si="295"/>
        <v>0.94756919677298024</v>
      </c>
      <c r="N347" s="1579">
        <f t="shared" si="295"/>
        <v>0.35004830706741163</v>
      </c>
      <c r="O347" s="1199">
        <f t="shared" si="295"/>
        <v>0.17397647058823562</v>
      </c>
      <c r="P347" s="1199">
        <f t="shared" si="295"/>
        <v>0.16096842105263143</v>
      </c>
      <c r="Q347" s="1202"/>
      <c r="R347" s="1202"/>
      <c r="S347" s="1202"/>
      <c r="T347" s="947"/>
      <c r="U347" s="1164"/>
      <c r="V347" s="1248"/>
      <c r="W347" s="1248"/>
      <c r="X347" s="1248"/>
      <c r="Y347" s="1248"/>
      <c r="Z347" s="1248"/>
      <c r="AA347" s="1248"/>
      <c r="AB347" s="1248"/>
      <c r="AC347" s="1248"/>
      <c r="AD347" s="1248"/>
      <c r="AE347" s="1248"/>
      <c r="AF347" s="1248"/>
      <c r="AG347" s="1248"/>
      <c r="AH347" s="1248"/>
      <c r="AI347" s="1248"/>
      <c r="AJ347" s="1248"/>
      <c r="AK347" s="1248"/>
      <c r="AL347" s="1248"/>
      <c r="AM347" s="1248"/>
      <c r="AN347" s="1248"/>
      <c r="AO347" s="1248"/>
      <c r="AP347" s="1248"/>
      <c r="AQ347" s="1248"/>
      <c r="AR347" s="1248"/>
      <c r="AS347" s="1248"/>
      <c r="AT347" s="1248"/>
      <c r="AU347" s="1248"/>
      <c r="AV347" s="1248"/>
      <c r="AW347" s="1248"/>
      <c r="AX347" s="1248"/>
      <c r="AY347" s="947"/>
      <c r="AZ347" s="1248"/>
      <c r="BA347" s="1248"/>
      <c r="BB347" s="1248"/>
      <c r="BC347" s="1248"/>
      <c r="BD347" s="1248"/>
      <c r="BE347" s="1248"/>
      <c r="BF347" s="1248"/>
      <c r="BG347" s="1248"/>
      <c r="BH347" s="1248"/>
      <c r="BI347" s="1248"/>
      <c r="BJ347" s="1248"/>
      <c r="BK347" s="1248"/>
      <c r="BL347" s="1248"/>
      <c r="BM347" s="1248"/>
      <c r="BN347" s="1248"/>
      <c r="BO347" s="1248"/>
      <c r="BP347" s="1248"/>
      <c r="BQ347" s="1248"/>
      <c r="BR347" s="1248"/>
      <c r="BS347" s="1248"/>
      <c r="BT347" s="1248"/>
      <c r="BU347" s="1248"/>
      <c r="BV347" s="1248"/>
      <c r="BW347" s="1248"/>
      <c r="BX347" s="1248"/>
      <c r="BY347" s="1248"/>
      <c r="BZ347" s="1248"/>
      <c r="CA347" s="1248"/>
      <c r="CB347" s="1248"/>
      <c r="CC347" s="1248"/>
    </row>
    <row r="348" spans="2:81" s="37" customFormat="1">
      <c r="B348" s="1631" t="s">
        <v>1574</v>
      </c>
      <c r="C348" s="1168"/>
      <c r="D348" s="1354"/>
      <c r="E348" s="790"/>
      <c r="F348" s="1246"/>
      <c r="G348" s="1355"/>
      <c r="H348" s="1355"/>
      <c r="I348" s="756">
        <f t="shared" ref="I348:P348" si="296">I12-I346</f>
        <v>252.99742099999986</v>
      </c>
      <c r="J348" s="756">
        <f t="shared" si="296"/>
        <v>259.98214509910014</v>
      </c>
      <c r="K348" s="756">
        <f t="shared" si="296"/>
        <v>218.40572300000014</v>
      </c>
      <c r="L348" s="756">
        <f t="shared" si="296"/>
        <v>444.35594111</v>
      </c>
      <c r="M348" s="756">
        <f t="shared" si="296"/>
        <v>1602.5900507582001</v>
      </c>
      <c r="N348" s="1529">
        <f t="shared" si="296"/>
        <v>3795.7365200974673</v>
      </c>
      <c r="O348" s="756">
        <f t="shared" si="296"/>
        <v>5273.8956438530167</v>
      </c>
      <c r="P348" s="756">
        <f t="shared" si="296"/>
        <v>6805.6298994775625</v>
      </c>
      <c r="Q348" s="1202"/>
      <c r="R348" s="1202"/>
      <c r="S348" s="1202"/>
      <c r="T348" s="947"/>
      <c r="U348" s="1164"/>
      <c r="V348" s="1248"/>
      <c r="W348" s="1248"/>
      <c r="X348" s="1248"/>
      <c r="Y348" s="1248"/>
      <c r="Z348" s="1248"/>
      <c r="AA348" s="1248"/>
      <c r="AB348" s="1248"/>
      <c r="AC348" s="1248"/>
      <c r="AD348" s="1248"/>
      <c r="AE348" s="1248"/>
      <c r="AF348" s="1248"/>
      <c r="AG348" s="1248"/>
      <c r="AH348" s="1248"/>
      <c r="AI348" s="1248"/>
      <c r="AJ348" s="1248"/>
      <c r="AK348" s="1248"/>
      <c r="AL348" s="1248"/>
      <c r="AM348" s="1248"/>
      <c r="AN348" s="1248"/>
      <c r="AO348" s="1248"/>
      <c r="AP348" s="1248"/>
      <c r="AQ348" s="1248"/>
      <c r="AR348" s="1248"/>
      <c r="AS348" s="1248"/>
      <c r="AT348" s="1248"/>
      <c r="AU348" s="1248"/>
      <c r="AV348" s="1248"/>
      <c r="AW348" s="1248"/>
      <c r="AX348" s="1248"/>
      <c r="AY348" s="947"/>
      <c r="AZ348" s="1248"/>
      <c r="BA348" s="1248"/>
      <c r="BB348" s="1248"/>
      <c r="BC348" s="1248"/>
      <c r="BD348" s="1248"/>
      <c r="BE348" s="1248"/>
      <c r="BF348" s="1248"/>
      <c r="BG348" s="1248"/>
      <c r="BH348" s="1248"/>
      <c r="BI348" s="1248"/>
      <c r="BJ348" s="1248"/>
      <c r="BK348" s="1248"/>
      <c r="BL348" s="1248"/>
      <c r="BM348" s="1248"/>
      <c r="BN348" s="1248"/>
      <c r="BO348" s="1248"/>
      <c r="BP348" s="1248"/>
      <c r="BQ348" s="1248"/>
      <c r="BR348" s="1248"/>
      <c r="BS348" s="1248"/>
      <c r="BT348" s="1248"/>
      <c r="BU348" s="1248"/>
      <c r="BV348" s="1248"/>
      <c r="BW348" s="1248"/>
      <c r="BX348" s="1248"/>
      <c r="BY348" s="1248"/>
      <c r="BZ348" s="1248"/>
      <c r="CA348" s="1248"/>
      <c r="CB348" s="1248"/>
      <c r="CC348" s="1248"/>
    </row>
    <row r="349" spans="2:81" s="37" customFormat="1">
      <c r="B349" s="1631" t="s">
        <v>216</v>
      </c>
      <c r="C349" s="1168"/>
      <c r="D349" s="1354"/>
      <c r="E349" s="790"/>
      <c r="F349" s="1246"/>
      <c r="G349" s="1355"/>
      <c r="H349" s="1355"/>
      <c r="I349" s="1356"/>
      <c r="J349" s="1199">
        <f t="shared" ref="J349:P349" si="297">J348/I348-1</f>
        <v>2.760788656063129E-2</v>
      </c>
      <c r="K349" s="1199">
        <f t="shared" si="297"/>
        <v>-0.15992029792373574</v>
      </c>
      <c r="L349" s="1199">
        <f t="shared" si="297"/>
        <v>1.0345434863444476</v>
      </c>
      <c r="M349" s="1199">
        <f t="shared" si="297"/>
        <v>2.6065457946954287</v>
      </c>
      <c r="N349" s="1579">
        <f t="shared" si="297"/>
        <v>1.3685012385429882</v>
      </c>
      <c r="O349" s="1199">
        <f t="shared" si="297"/>
        <v>0.38942616694522125</v>
      </c>
      <c r="P349" s="1199">
        <f t="shared" si="297"/>
        <v>0.29043696710416644</v>
      </c>
      <c r="Q349" s="1202"/>
      <c r="R349" s="1202"/>
      <c r="S349" s="1202"/>
      <c r="T349" s="947"/>
      <c r="U349" s="1164"/>
      <c r="V349" s="1248"/>
      <c r="W349" s="1248"/>
      <c r="X349" s="1248"/>
      <c r="Y349" s="1248"/>
      <c r="Z349" s="1248"/>
      <c r="AA349" s="1248"/>
      <c r="AB349" s="1248"/>
      <c r="AC349" s="1248"/>
      <c r="AD349" s="1248"/>
      <c r="AE349" s="1248"/>
      <c r="AF349" s="1248"/>
      <c r="AG349" s="1248"/>
      <c r="AH349" s="1248"/>
      <c r="AI349" s="1248"/>
      <c r="AJ349" s="1248"/>
      <c r="AK349" s="1248"/>
      <c r="AL349" s="1248"/>
      <c r="AM349" s="1248"/>
      <c r="AN349" s="1248"/>
      <c r="AO349" s="1248"/>
      <c r="AP349" s="1248"/>
      <c r="AQ349" s="1248"/>
      <c r="AR349" s="1248"/>
      <c r="AS349" s="1248"/>
      <c r="AT349" s="1248"/>
      <c r="AU349" s="1248"/>
      <c r="AV349" s="1248"/>
      <c r="AW349" s="1248"/>
      <c r="AX349" s="1248"/>
      <c r="AY349" s="947"/>
      <c r="AZ349" s="1248"/>
      <c r="BA349" s="1248"/>
      <c r="BB349" s="1248"/>
      <c r="BC349" s="1248"/>
      <c r="BD349" s="1248"/>
      <c r="BE349" s="1248"/>
      <c r="BF349" s="1248"/>
      <c r="BG349" s="1248"/>
      <c r="BH349" s="1248"/>
      <c r="BI349" s="1248"/>
      <c r="BJ349" s="1248"/>
      <c r="BK349" s="1248"/>
      <c r="BL349" s="1248"/>
      <c r="BM349" s="1248"/>
      <c r="BN349" s="1248"/>
      <c r="BO349" s="1248"/>
      <c r="BP349" s="1248"/>
      <c r="BQ349" s="1248"/>
      <c r="BR349" s="1248"/>
      <c r="BS349" s="1248"/>
      <c r="BT349" s="1248"/>
      <c r="BU349" s="1248"/>
      <c r="BV349" s="1248"/>
      <c r="BW349" s="1248"/>
      <c r="BX349" s="1248"/>
      <c r="BY349" s="1248"/>
      <c r="BZ349" s="1248"/>
      <c r="CA349" s="1248"/>
      <c r="CB349" s="1248"/>
      <c r="CC349" s="1248"/>
    </row>
    <row r="350" spans="2:81" s="37" customFormat="1">
      <c r="B350" s="829"/>
      <c r="C350" s="1168"/>
      <c r="D350" s="1354"/>
      <c r="E350" s="790"/>
      <c r="F350" s="1246"/>
      <c r="G350" s="1355"/>
      <c r="H350" s="1355"/>
      <c r="I350" s="1356"/>
      <c r="J350" s="1356"/>
      <c r="K350" s="1356"/>
      <c r="L350" s="1356"/>
      <c r="M350" s="1627"/>
      <c r="N350" s="2113"/>
      <c r="O350" s="1618"/>
      <c r="P350" s="1618"/>
      <c r="Q350" s="1202"/>
      <c r="R350" s="1202"/>
      <c r="S350" s="1202"/>
      <c r="T350" s="947"/>
      <c r="U350" s="1164"/>
      <c r="V350" s="1248"/>
      <c r="W350" s="1248"/>
      <c r="X350" s="1248"/>
      <c r="Y350" s="1248"/>
      <c r="Z350" s="1248"/>
      <c r="AA350" s="1248"/>
      <c r="AB350" s="1248"/>
      <c r="AC350" s="1248"/>
      <c r="AD350" s="1248"/>
      <c r="AE350" s="1248"/>
      <c r="AF350" s="1248"/>
      <c r="AG350" s="1248"/>
      <c r="AH350" s="1248"/>
      <c r="AI350" s="1248"/>
      <c r="AJ350" s="1248"/>
      <c r="AK350" s="1248"/>
      <c r="AL350" s="1248"/>
      <c r="AM350" s="1248"/>
      <c r="AN350" s="1248"/>
      <c r="AO350" s="1248"/>
      <c r="AP350" s="1248"/>
      <c r="AQ350" s="1248"/>
      <c r="AR350" s="1248"/>
      <c r="AS350" s="1248"/>
      <c r="AT350" s="1248"/>
      <c r="AU350" s="1248"/>
      <c r="AV350" s="1248"/>
      <c r="AW350" s="1248"/>
      <c r="AX350" s="1248"/>
      <c r="AY350" s="947"/>
      <c r="AZ350" s="1248"/>
      <c r="BA350" s="1248"/>
      <c r="BB350" s="1248"/>
      <c r="BC350" s="1248"/>
      <c r="BD350" s="1248"/>
      <c r="BE350" s="1248"/>
      <c r="BF350" s="1248"/>
      <c r="BG350" s="1248"/>
      <c r="BH350" s="1248"/>
      <c r="BI350" s="1248"/>
      <c r="BJ350" s="1248"/>
      <c r="BK350" s="1248"/>
      <c r="BL350" s="1248"/>
      <c r="BM350" s="1248"/>
      <c r="BN350" s="1248"/>
      <c r="BO350" s="1248"/>
      <c r="BP350" s="1248"/>
      <c r="BQ350" s="1248"/>
      <c r="BR350" s="1248"/>
      <c r="BS350" s="1248"/>
      <c r="BT350" s="1248"/>
      <c r="BU350" s="1248"/>
      <c r="BV350" s="1248"/>
      <c r="BW350" s="1248"/>
      <c r="BX350" s="1248"/>
      <c r="BY350" s="1248"/>
      <c r="BZ350" s="1248"/>
      <c r="CA350" s="1248"/>
      <c r="CB350" s="1248"/>
      <c r="CC350" s="1248"/>
    </row>
    <row r="351" spans="2:81" s="37" customFormat="1">
      <c r="B351" s="1631" t="s">
        <v>1513</v>
      </c>
      <c r="C351" s="1168"/>
      <c r="D351" s="1354"/>
      <c r="E351" s="790"/>
      <c r="F351" s="1246"/>
      <c r="G351" s="1355"/>
      <c r="H351" s="1355"/>
      <c r="I351" s="1356"/>
      <c r="J351" s="1356"/>
      <c r="K351" s="1356">
        <v>0</v>
      </c>
      <c r="L351" s="1356">
        <v>1.21</v>
      </c>
      <c r="M351" s="1619">
        <v>2.8</v>
      </c>
      <c r="N351" s="2118">
        <f>N352*N267</f>
        <v>3.44</v>
      </c>
      <c r="O351" s="1356">
        <f>O352*O267</f>
        <v>3.8180000000000001</v>
      </c>
      <c r="P351" s="1356">
        <f>P352*P267</f>
        <v>4.0419999999999998</v>
      </c>
      <c r="Q351" s="1202"/>
      <c r="R351" s="1202"/>
      <c r="S351" s="1202"/>
      <c r="T351" s="947"/>
      <c r="U351" s="1164"/>
      <c r="V351" s="1248"/>
      <c r="W351" s="1248"/>
      <c r="X351" s="1248"/>
      <c r="Y351" s="1248"/>
      <c r="Z351" s="1248"/>
      <c r="AA351" s="1248"/>
      <c r="AB351" s="1248"/>
      <c r="AC351" s="1248"/>
      <c r="AD351" s="1248"/>
      <c r="AE351" s="1248"/>
      <c r="AF351" s="1248"/>
      <c r="AG351" s="1248"/>
      <c r="AH351" s="1248"/>
      <c r="AI351" s="1248"/>
      <c r="AJ351" s="1248"/>
      <c r="AK351" s="1248"/>
      <c r="AL351" s="1248"/>
      <c r="AM351" s="1248"/>
      <c r="AN351" s="1248"/>
      <c r="AO351" s="1248"/>
      <c r="AP351" s="1248"/>
      <c r="AQ351" s="1248"/>
      <c r="AR351" s="1248"/>
      <c r="AS351" s="1248"/>
      <c r="AT351" s="1248"/>
      <c r="AU351" s="1248"/>
      <c r="AV351" s="1248"/>
      <c r="AW351" s="1248"/>
      <c r="AX351" s="1248"/>
      <c r="AY351" s="947"/>
      <c r="AZ351" s="1248"/>
      <c r="BA351" s="1248"/>
      <c r="BB351" s="1248"/>
      <c r="BC351" s="1248"/>
      <c r="BD351" s="1248"/>
      <c r="BE351" s="1248"/>
      <c r="BF351" s="1248"/>
      <c r="BG351" s="1248"/>
      <c r="BH351" s="1248"/>
      <c r="BI351" s="1248"/>
      <c r="BJ351" s="1248"/>
      <c r="BK351" s="1248"/>
      <c r="BL351" s="1248"/>
      <c r="BM351" s="1248"/>
      <c r="BN351" s="1248"/>
      <c r="BO351" s="1248"/>
      <c r="BP351" s="1248"/>
      <c r="BQ351" s="1248"/>
      <c r="BR351" s="1248"/>
      <c r="BS351" s="1248"/>
      <c r="BT351" s="1248"/>
      <c r="BU351" s="1248"/>
      <c r="BV351" s="1248"/>
      <c r="BW351" s="1248"/>
      <c r="BX351" s="1248"/>
      <c r="BY351" s="1248"/>
      <c r="BZ351" s="1248"/>
      <c r="CA351" s="1248"/>
      <c r="CB351" s="1248"/>
      <c r="CC351" s="1248"/>
    </row>
    <row r="352" spans="2:81" s="37" customFormat="1">
      <c r="B352" s="829" t="s">
        <v>1515</v>
      </c>
      <c r="C352" s="1168"/>
      <c r="D352" s="1354"/>
      <c r="E352" s="790"/>
      <c r="F352" s="1246"/>
      <c r="G352" s="1355"/>
      <c r="H352" s="1355"/>
      <c r="I352" s="1356"/>
      <c r="J352" s="1356"/>
      <c r="K352" s="1356"/>
      <c r="L352" s="1179">
        <f>L351/L267</f>
        <v>0.35588235294117648</v>
      </c>
      <c r="M352" s="1179">
        <f>M351/M267</f>
        <v>0.7</v>
      </c>
      <c r="N352" s="2119">
        <v>0.8</v>
      </c>
      <c r="O352" s="1620">
        <f>N352+3%</f>
        <v>0.83000000000000007</v>
      </c>
      <c r="P352" s="1620">
        <f>O352+3%</f>
        <v>0.8600000000000001</v>
      </c>
      <c r="Q352" s="1202"/>
      <c r="R352" s="1202"/>
      <c r="S352" s="1202"/>
      <c r="T352" s="947"/>
      <c r="U352" s="1164"/>
      <c r="V352" s="1248"/>
      <c r="W352" s="1248"/>
      <c r="X352" s="1248"/>
      <c r="Y352" s="1248"/>
      <c r="Z352" s="1248"/>
      <c r="AA352" s="1248"/>
      <c r="AB352" s="1248"/>
      <c r="AC352" s="1248"/>
      <c r="AD352" s="1248"/>
      <c r="AE352" s="1248"/>
      <c r="AF352" s="1248"/>
      <c r="AG352" s="1248"/>
      <c r="AH352" s="1248"/>
      <c r="AI352" s="1248"/>
      <c r="AJ352" s="1248"/>
      <c r="AK352" s="1248"/>
      <c r="AL352" s="1248"/>
      <c r="AM352" s="1248"/>
      <c r="AN352" s="1248"/>
      <c r="AO352" s="1248"/>
      <c r="AP352" s="1248"/>
      <c r="AQ352" s="1248"/>
      <c r="AR352" s="1248"/>
      <c r="AS352" s="1248"/>
      <c r="AT352" s="1248"/>
      <c r="AU352" s="1248"/>
      <c r="AV352" s="1248"/>
      <c r="AW352" s="1248"/>
      <c r="AX352" s="1248"/>
      <c r="AY352" s="947"/>
      <c r="AZ352" s="1248"/>
      <c r="BA352" s="1248"/>
      <c r="BB352" s="1248"/>
      <c r="BC352" s="1248"/>
      <c r="BD352" s="1248"/>
      <c r="BE352" s="1248"/>
      <c r="BF352" s="1248"/>
      <c r="BG352" s="1248"/>
      <c r="BH352" s="1248"/>
      <c r="BI352" s="1248"/>
      <c r="BJ352" s="1248"/>
      <c r="BK352" s="1248"/>
      <c r="BL352" s="1248"/>
      <c r="BM352" s="1248"/>
      <c r="BN352" s="1248"/>
      <c r="BO352" s="1248"/>
      <c r="BP352" s="1248"/>
      <c r="BQ352" s="1248"/>
      <c r="BR352" s="1248"/>
      <c r="BS352" s="1248"/>
      <c r="BT352" s="1248"/>
      <c r="BU352" s="1248"/>
      <c r="BV352" s="1248"/>
      <c r="BW352" s="1248"/>
      <c r="BX352" s="1248"/>
      <c r="BY352" s="1248"/>
      <c r="BZ352" s="1248"/>
      <c r="CA352" s="1248"/>
      <c r="CB352" s="1248"/>
      <c r="CC352" s="1248"/>
    </row>
    <row r="353" spans="2:81" s="37" customFormat="1">
      <c r="B353" s="680" t="s">
        <v>1056</v>
      </c>
      <c r="C353" s="1168"/>
      <c r="D353" s="1354"/>
      <c r="E353" s="790"/>
      <c r="F353" s="1246"/>
      <c r="G353" s="1355"/>
      <c r="H353" s="1355"/>
      <c r="I353" s="1356"/>
      <c r="J353" s="1356"/>
      <c r="K353" s="1356"/>
      <c r="L353" s="1179"/>
      <c r="M353" s="1625">
        <f>M351/L351-1</f>
        <v>1.3140495867768593</v>
      </c>
      <c r="N353" s="2120">
        <f>N351/M351-1</f>
        <v>0.22857142857142865</v>
      </c>
      <c r="O353" s="1625">
        <f>O351/N351-1</f>
        <v>0.10988372093023258</v>
      </c>
      <c r="P353" s="1625">
        <f>P351/O351-1</f>
        <v>5.866946045049759E-2</v>
      </c>
      <c r="Q353" s="1202"/>
      <c r="R353" s="1202"/>
      <c r="S353" s="1202"/>
      <c r="T353" s="947"/>
      <c r="U353" s="1164"/>
      <c r="V353" s="1248"/>
      <c r="W353" s="1248"/>
      <c r="X353" s="1248"/>
      <c r="Y353" s="1248"/>
      <c r="Z353" s="1248"/>
      <c r="AA353" s="1248"/>
      <c r="AB353" s="1248"/>
      <c r="AC353" s="1248"/>
      <c r="AD353" s="1248"/>
      <c r="AE353" s="1248"/>
      <c r="AF353" s="1248"/>
      <c r="AG353" s="1248"/>
      <c r="AH353" s="1248"/>
      <c r="AI353" s="1248"/>
      <c r="AJ353" s="1248"/>
      <c r="AK353" s="1248"/>
      <c r="AL353" s="1248"/>
      <c r="AM353" s="1248"/>
      <c r="AN353" s="1248"/>
      <c r="AO353" s="1248"/>
      <c r="AP353" s="1248"/>
      <c r="AQ353" s="1248"/>
      <c r="AR353" s="1248"/>
      <c r="AS353" s="1248"/>
      <c r="AT353" s="1248"/>
      <c r="AU353" s="1248"/>
      <c r="AV353" s="1248"/>
      <c r="AW353" s="1248"/>
      <c r="AX353" s="1248"/>
      <c r="AY353" s="947"/>
      <c r="AZ353" s="1248"/>
      <c r="BA353" s="1248"/>
      <c r="BB353" s="1248"/>
      <c r="BC353" s="1248"/>
      <c r="BD353" s="1248"/>
      <c r="BE353" s="1248"/>
      <c r="BF353" s="1248"/>
      <c r="BG353" s="1248"/>
      <c r="BH353" s="1248"/>
      <c r="BI353" s="1248"/>
      <c r="BJ353" s="1248"/>
      <c r="BK353" s="1248"/>
      <c r="BL353" s="1248"/>
      <c r="BM353" s="1248"/>
      <c r="BN353" s="1248"/>
      <c r="BO353" s="1248"/>
      <c r="BP353" s="1248"/>
      <c r="BQ353" s="1248"/>
      <c r="BR353" s="1248"/>
      <c r="BS353" s="1248"/>
      <c r="BT353" s="1248"/>
      <c r="BU353" s="1248"/>
      <c r="BV353" s="1248"/>
      <c r="BW353" s="1248"/>
      <c r="BX353" s="1248"/>
      <c r="BY353" s="1248"/>
      <c r="BZ353" s="1248"/>
      <c r="CA353" s="1248"/>
      <c r="CB353" s="1248"/>
      <c r="CC353" s="1248"/>
    </row>
    <row r="354" spans="2:81" s="37" customFormat="1">
      <c r="B354" s="1631" t="s">
        <v>1536</v>
      </c>
      <c r="C354" s="1168"/>
      <c r="D354" s="1354"/>
      <c r="E354" s="790"/>
      <c r="F354" s="1246"/>
      <c r="G354" s="1355"/>
      <c r="H354" s="1355"/>
      <c r="I354" s="1356"/>
      <c r="J354" s="1356"/>
      <c r="K354" s="1356"/>
      <c r="L354" s="749">
        <f>L188/L351</f>
        <v>324.82814564635521</v>
      </c>
      <c r="M354" s="749">
        <f>M188/AVERAGE(L351:M351)</f>
        <v>745.64292732668332</v>
      </c>
      <c r="N354" s="2109">
        <f>N188/AVERAGE(M351:N351)</f>
        <v>1058.9682990804165</v>
      </c>
      <c r="O354" s="749">
        <f>O188/AVERAGE(N351:O351)</f>
        <v>1238.1962762904445</v>
      </c>
      <c r="P354" s="749">
        <f>P188/AVERAGE(O351:P351)</f>
        <v>1446.3534535934859</v>
      </c>
      <c r="Q354" s="1202"/>
      <c r="R354" s="1202"/>
      <c r="S354" s="1202"/>
      <c r="T354" s="947"/>
      <c r="U354" s="1164"/>
      <c r="V354" s="1248"/>
      <c r="W354" s="1248"/>
      <c r="X354" s="1248"/>
      <c r="Y354" s="1248"/>
      <c r="Z354" s="1248"/>
      <c r="AA354" s="1248"/>
      <c r="AB354" s="1248"/>
      <c r="AC354" s="1248"/>
      <c r="AD354" s="1248"/>
      <c r="AE354" s="1248"/>
      <c r="AF354" s="1248"/>
      <c r="AG354" s="1248"/>
      <c r="AH354" s="1248"/>
      <c r="AI354" s="1248"/>
      <c r="AJ354" s="1248"/>
      <c r="AK354" s="1248"/>
      <c r="AL354" s="1248"/>
      <c r="AM354" s="1248"/>
      <c r="AN354" s="1248"/>
      <c r="AO354" s="1248"/>
      <c r="AP354" s="1248"/>
      <c r="AQ354" s="1248"/>
      <c r="AR354" s="1248"/>
      <c r="AS354" s="1248"/>
      <c r="AT354" s="1248"/>
      <c r="AU354" s="1248"/>
      <c r="AV354" s="1248"/>
      <c r="AW354" s="1248"/>
      <c r="AX354" s="1248"/>
      <c r="AY354" s="947"/>
      <c r="AZ354" s="1248"/>
      <c r="BA354" s="1248"/>
      <c r="BB354" s="1248"/>
      <c r="BC354" s="1248"/>
      <c r="BD354" s="1248"/>
      <c r="BE354" s="1248"/>
      <c r="BF354" s="1248"/>
      <c r="BG354" s="1248"/>
      <c r="BH354" s="1248"/>
      <c r="BI354" s="1248"/>
      <c r="BJ354" s="1248"/>
      <c r="BK354" s="1248"/>
      <c r="BL354" s="1248"/>
      <c r="BM354" s="1248"/>
      <c r="BN354" s="1248"/>
      <c r="BO354" s="1248"/>
      <c r="BP354" s="1248"/>
      <c r="BQ354" s="1248"/>
      <c r="BR354" s="1248"/>
      <c r="BS354" s="1248"/>
      <c r="BT354" s="1248"/>
      <c r="BU354" s="1248"/>
      <c r="BV354" s="1248"/>
      <c r="BW354" s="1248"/>
      <c r="BX354" s="1248"/>
      <c r="BY354" s="1248"/>
      <c r="BZ354" s="1248"/>
      <c r="CA354" s="1248"/>
      <c r="CB354" s="1248"/>
      <c r="CC354" s="1248"/>
    </row>
    <row r="355" spans="2:81">
      <c r="B355" s="680" t="s">
        <v>1056</v>
      </c>
      <c r="C355" s="343"/>
      <c r="D355" s="741"/>
      <c r="E355" s="631"/>
      <c r="F355" s="344"/>
      <c r="G355" s="1200"/>
      <c r="H355" s="1200"/>
      <c r="I355" s="1200"/>
      <c r="J355" s="630"/>
      <c r="K355" s="630"/>
      <c r="L355" s="630"/>
      <c r="M355" s="1179">
        <f>M354/L354-1</f>
        <v>1.2954997506234416</v>
      </c>
      <c r="N355" s="2108">
        <f>N354/M354-1</f>
        <v>0.42020833333333307</v>
      </c>
      <c r="O355" s="1179">
        <f>O354/N354-1</f>
        <v>0.16924772664645915</v>
      </c>
      <c r="P355" s="1179">
        <f>P354/O354-1</f>
        <v>0.16811323155216296</v>
      </c>
      <c r="Q355" s="630"/>
      <c r="R355" s="630"/>
      <c r="S355" s="630"/>
      <c r="T355" s="945"/>
      <c r="U355" s="789"/>
      <c r="V355" s="635"/>
      <c r="W355" s="635"/>
      <c r="X355" s="635"/>
      <c r="Y355" s="635"/>
      <c r="Z355" s="635"/>
      <c r="AA355" s="635"/>
      <c r="AB355" s="635"/>
      <c r="AC355" s="635"/>
      <c r="AD355" s="635"/>
      <c r="AE355" s="635"/>
      <c r="AF355" s="635"/>
      <c r="AG355" s="635"/>
      <c r="AH355" s="635"/>
      <c r="AI355" s="635"/>
      <c r="AJ355" s="635"/>
      <c r="AK355" s="635"/>
      <c r="AL355" s="635"/>
      <c r="AM355" s="635"/>
      <c r="AN355" s="635"/>
      <c r="AO355" s="635"/>
      <c r="AP355" s="635"/>
      <c r="AQ355" s="635"/>
      <c r="AR355" s="635"/>
      <c r="AS355" s="635"/>
      <c r="AT355" s="635"/>
      <c r="AU355" s="635"/>
      <c r="AV355" s="635"/>
      <c r="AW355" s="635"/>
      <c r="AX355" s="635"/>
      <c r="AY355" s="945"/>
      <c r="AZ355" s="635"/>
      <c r="BA355" s="635"/>
      <c r="BB355" s="635"/>
      <c r="BC355" s="635"/>
      <c r="BD355" s="635"/>
      <c r="BE355" s="635"/>
      <c r="BF355" s="635"/>
      <c r="BG355" s="635"/>
      <c r="BH355" s="635"/>
      <c r="BI355" s="635"/>
      <c r="BJ355" s="635"/>
      <c r="BK355" s="635"/>
      <c r="BL355" s="635"/>
      <c r="BM355" s="635"/>
      <c r="BN355" s="635"/>
      <c r="BO355" s="635"/>
      <c r="BP355" s="635"/>
      <c r="BQ355" s="635"/>
      <c r="BR355" s="635"/>
      <c r="BS355" s="635"/>
      <c r="BT355" s="635"/>
      <c r="BU355" s="635"/>
      <c r="BV355" s="635"/>
      <c r="BW355" s="635"/>
      <c r="BX355" s="635"/>
      <c r="BY355" s="635"/>
      <c r="BZ355" s="635"/>
      <c r="CA355" s="635"/>
      <c r="CB355" s="635"/>
      <c r="CC355" s="635"/>
    </row>
    <row r="356" spans="2:81">
      <c r="B356" s="764"/>
      <c r="C356" s="343"/>
      <c r="D356" s="741"/>
      <c r="E356" s="631"/>
      <c r="F356" s="1200"/>
      <c r="G356" s="1200"/>
      <c r="H356" s="1200"/>
      <c r="I356" s="1200"/>
      <c r="J356" s="630"/>
      <c r="K356" s="630"/>
      <c r="L356" s="630"/>
      <c r="M356" s="1621"/>
      <c r="N356" s="2121"/>
      <c r="O356" s="1621"/>
      <c r="P356" s="1621"/>
      <c r="Q356" s="630"/>
      <c r="R356" s="630"/>
      <c r="S356" s="630"/>
      <c r="T356" s="945"/>
      <c r="U356" s="789"/>
      <c r="V356" s="635"/>
      <c r="W356" s="635"/>
      <c r="X356" s="635"/>
      <c r="Y356" s="635"/>
      <c r="Z356" s="635"/>
      <c r="AA356" s="635"/>
      <c r="AB356" s="635"/>
      <c r="AC356" s="635"/>
      <c r="AD356" s="635"/>
      <c r="AE356" s="635"/>
      <c r="AF356" s="635"/>
      <c r="AG356" s="635"/>
      <c r="AH356" s="635"/>
      <c r="AI356" s="635"/>
      <c r="AJ356" s="635"/>
      <c r="AK356" s="635"/>
      <c r="AL356" s="635"/>
      <c r="AM356" s="635"/>
      <c r="AN356" s="635"/>
      <c r="AO356" s="635"/>
      <c r="AP356" s="635"/>
      <c r="AQ356" s="635"/>
      <c r="AR356" s="635"/>
      <c r="AS356" s="635"/>
      <c r="AT356" s="635"/>
      <c r="AU356" s="635"/>
      <c r="AV356" s="635"/>
      <c r="AW356" s="635"/>
      <c r="AX356" s="635"/>
      <c r="AY356" s="945"/>
      <c r="AZ356" s="635"/>
      <c r="BA356" s="635"/>
      <c r="BB356" s="635"/>
      <c r="BC356" s="635"/>
      <c r="BD356" s="635"/>
      <c r="BE356" s="635"/>
      <c r="BF356" s="635"/>
      <c r="BG356" s="635"/>
      <c r="BH356" s="635"/>
      <c r="BI356" s="635"/>
      <c r="BJ356" s="635"/>
      <c r="BK356" s="635"/>
      <c r="BL356" s="635"/>
      <c r="BM356" s="635"/>
      <c r="BN356" s="635"/>
      <c r="BO356" s="635"/>
      <c r="BP356" s="635"/>
      <c r="BQ356" s="635"/>
      <c r="BR356" s="635"/>
      <c r="BS356" s="635"/>
      <c r="BT356" s="635"/>
      <c r="BU356" s="635"/>
      <c r="BV356" s="635"/>
      <c r="BW356" s="635"/>
      <c r="BX356" s="635"/>
      <c r="BY356" s="635"/>
      <c r="BZ356" s="635"/>
      <c r="CA356" s="635"/>
      <c r="CB356" s="635"/>
      <c r="CC356" s="635"/>
    </row>
    <row r="357" spans="2:81">
      <c r="B357" s="1637"/>
      <c r="C357" s="343"/>
      <c r="D357" s="741"/>
      <c r="E357" s="631"/>
      <c r="F357" s="1200"/>
      <c r="G357" s="1200"/>
      <c r="H357" s="1200"/>
      <c r="I357" s="1200"/>
      <c r="J357" s="630"/>
      <c r="K357" s="630"/>
      <c r="L357" s="630"/>
      <c r="M357" s="1621"/>
      <c r="N357" s="2121"/>
      <c r="O357" s="1621"/>
      <c r="P357" s="1621"/>
      <c r="Q357" s="630"/>
      <c r="R357" s="630"/>
      <c r="S357" s="630"/>
      <c r="T357" s="945"/>
      <c r="U357" s="789"/>
      <c r="V357" s="635"/>
      <c r="W357" s="635"/>
      <c r="X357" s="635"/>
      <c r="Y357" s="635"/>
      <c r="Z357" s="635"/>
      <c r="AA357" s="635"/>
      <c r="AB357" s="635"/>
      <c r="AC357" s="635"/>
      <c r="AD357" s="635"/>
      <c r="AE357" s="635"/>
      <c r="AF357" s="635"/>
      <c r="AG357" s="635"/>
      <c r="AH357" s="635"/>
      <c r="AI357" s="635"/>
      <c r="AJ357" s="635"/>
      <c r="AK357" s="635"/>
      <c r="AL357" s="635"/>
      <c r="AM357" s="635"/>
      <c r="AN357" s="635"/>
      <c r="AO357" s="635"/>
      <c r="AP357" s="635"/>
      <c r="AQ357" s="635"/>
      <c r="AR357" s="635"/>
      <c r="AS357" s="635"/>
      <c r="AT357" s="635"/>
      <c r="AU357" s="635"/>
      <c r="AV357" s="635"/>
      <c r="AW357" s="635"/>
      <c r="AX357" s="635"/>
      <c r="AY357" s="945"/>
      <c r="AZ357" s="635"/>
      <c r="BA357" s="635"/>
      <c r="BB357" s="635"/>
      <c r="BC357" s="635"/>
      <c r="BD357" s="635"/>
      <c r="BE357" s="635"/>
      <c r="BF357" s="635"/>
      <c r="BG357" s="635"/>
      <c r="BH357" s="635"/>
      <c r="BI357" s="635"/>
      <c r="BJ357" s="635"/>
      <c r="BK357" s="635"/>
      <c r="BL357" s="635"/>
      <c r="BM357" s="635"/>
      <c r="BN357" s="635"/>
      <c r="BO357" s="635"/>
      <c r="BP357" s="635"/>
      <c r="BQ357" s="635"/>
      <c r="BR357" s="635"/>
      <c r="BS357" s="635"/>
      <c r="BT357" s="635"/>
      <c r="BU357" s="635"/>
      <c r="BV357" s="635"/>
      <c r="BW357" s="635"/>
      <c r="BX357" s="635"/>
      <c r="BY357" s="635"/>
      <c r="BZ357" s="635"/>
      <c r="CA357" s="635"/>
      <c r="CB357" s="635"/>
      <c r="CC357" s="635"/>
    </row>
    <row r="358" spans="2:81">
      <c r="B358" s="1631" t="s">
        <v>1762</v>
      </c>
      <c r="C358" s="343"/>
      <c r="D358" s="741"/>
      <c r="E358" s="631"/>
      <c r="F358" s="1200"/>
      <c r="G358" s="1200"/>
      <c r="H358" s="1200"/>
      <c r="I358" s="1200"/>
      <c r="J358" s="630"/>
      <c r="K358" s="630"/>
      <c r="L358" s="630"/>
      <c r="M358" s="1621"/>
      <c r="N358" s="2121"/>
      <c r="O358" s="1621"/>
      <c r="P358" s="1621"/>
      <c r="Q358" s="630"/>
      <c r="R358" s="630"/>
      <c r="S358" s="630"/>
      <c r="T358" s="945"/>
      <c r="U358" s="789"/>
      <c r="V358" s="635"/>
      <c r="W358" s="635"/>
      <c r="X358" s="635"/>
      <c r="Y358" s="635"/>
      <c r="Z358" s="635"/>
      <c r="AA358" s="635"/>
      <c r="AB358" s="635"/>
      <c r="AC358" s="635"/>
      <c r="AD358" s="635"/>
      <c r="AE358" s="635"/>
      <c r="AF358" s="635"/>
      <c r="AG358" s="635"/>
      <c r="AH358" s="635"/>
      <c r="AI358" s="635"/>
      <c r="AJ358" s="635"/>
      <c r="AK358" s="635"/>
      <c r="AL358" s="635"/>
      <c r="AM358" s="635"/>
      <c r="AN358" s="635"/>
      <c r="AO358" s="635"/>
      <c r="AP358" s="635"/>
      <c r="AQ358" s="635"/>
      <c r="AR358" s="635"/>
      <c r="AS358" s="635"/>
      <c r="AT358" s="635"/>
      <c r="AU358" s="635"/>
      <c r="AV358" s="635"/>
      <c r="AW358" s="635"/>
      <c r="AX358" s="635"/>
      <c r="AY358" s="945"/>
      <c r="AZ358" s="635"/>
      <c r="BA358" s="635"/>
      <c r="BB358" s="635"/>
      <c r="BC358" s="635"/>
      <c r="BD358" s="635"/>
      <c r="BE358" s="635"/>
      <c r="BF358" s="635"/>
      <c r="BG358" s="635"/>
      <c r="BH358" s="635"/>
      <c r="BI358" s="635"/>
      <c r="BJ358" s="635"/>
      <c r="BK358" s="635"/>
      <c r="BL358" s="635"/>
      <c r="BM358" s="635"/>
      <c r="BN358" s="635"/>
      <c r="BO358" s="635"/>
      <c r="BP358" s="635"/>
      <c r="BQ358" s="635"/>
      <c r="BR358" s="635"/>
      <c r="BS358" s="635"/>
      <c r="BT358" s="635"/>
      <c r="BU358" s="635"/>
      <c r="BV358" s="635"/>
      <c r="BW358" s="635"/>
      <c r="BX358" s="635"/>
      <c r="BY358" s="635"/>
      <c r="BZ358" s="635"/>
      <c r="CA358" s="635"/>
      <c r="CB358" s="635"/>
      <c r="CC358" s="635"/>
    </row>
    <row r="359" spans="2:81">
      <c r="B359" s="829" t="s">
        <v>1515</v>
      </c>
      <c r="C359" s="343"/>
      <c r="D359" s="741"/>
      <c r="E359" s="631"/>
      <c r="F359" s="1200"/>
      <c r="G359" s="1200"/>
      <c r="H359" s="1200"/>
      <c r="I359" s="1200"/>
      <c r="J359" s="630"/>
      <c r="K359" s="630"/>
      <c r="L359" s="630"/>
      <c r="M359" s="1621"/>
      <c r="N359" s="2118">
        <v>2</v>
      </c>
      <c r="O359" s="1356">
        <f>N359+0.5</f>
        <v>2.5</v>
      </c>
      <c r="P359" s="1356">
        <f>O359+0.3</f>
        <v>2.8</v>
      </c>
      <c r="Q359" s="630"/>
      <c r="R359" s="630"/>
      <c r="S359" s="630"/>
      <c r="T359" s="945"/>
      <c r="U359" s="789"/>
      <c r="V359" s="635"/>
      <c r="W359" s="635"/>
      <c r="X359" s="635"/>
      <c r="Y359" s="635"/>
      <c r="Z359" s="635"/>
      <c r="AA359" s="635"/>
      <c r="AB359" s="635"/>
      <c r="AC359" s="635"/>
      <c r="AD359" s="635"/>
      <c r="AE359" s="635"/>
      <c r="AF359" s="635"/>
      <c r="AG359" s="635"/>
      <c r="AH359" s="635"/>
      <c r="AI359" s="635"/>
      <c r="AJ359" s="635"/>
      <c r="AK359" s="635"/>
      <c r="AL359" s="635"/>
      <c r="AM359" s="635"/>
      <c r="AN359" s="635"/>
      <c r="AO359" s="635"/>
      <c r="AP359" s="635"/>
      <c r="AQ359" s="635"/>
      <c r="AR359" s="635"/>
      <c r="AS359" s="635"/>
      <c r="AT359" s="635"/>
      <c r="AU359" s="635"/>
      <c r="AV359" s="635"/>
      <c r="AW359" s="635"/>
      <c r="AX359" s="635"/>
      <c r="AY359" s="945"/>
      <c r="AZ359" s="635"/>
      <c r="BA359" s="635"/>
      <c r="BB359" s="635"/>
      <c r="BC359" s="635"/>
      <c r="BD359" s="635"/>
      <c r="BE359" s="635"/>
      <c r="BF359" s="635"/>
      <c r="BG359" s="635"/>
      <c r="BH359" s="635"/>
      <c r="BI359" s="635"/>
      <c r="BJ359" s="635"/>
      <c r="BK359" s="635"/>
      <c r="BL359" s="635"/>
      <c r="BM359" s="635"/>
      <c r="BN359" s="635"/>
      <c r="BO359" s="635"/>
      <c r="BP359" s="635"/>
      <c r="BQ359" s="635"/>
      <c r="BR359" s="635"/>
      <c r="BS359" s="635"/>
      <c r="BT359" s="635"/>
      <c r="BU359" s="635"/>
      <c r="BV359" s="635"/>
      <c r="BW359" s="635"/>
      <c r="BX359" s="635"/>
      <c r="BY359" s="635"/>
      <c r="BZ359" s="635"/>
      <c r="CA359" s="635"/>
      <c r="CB359" s="635"/>
      <c r="CC359" s="635"/>
    </row>
    <row r="360" spans="2:81">
      <c r="B360" s="680" t="s">
        <v>1056</v>
      </c>
      <c r="C360" s="343"/>
      <c r="D360" s="741"/>
      <c r="E360" s="631"/>
      <c r="F360" s="1200"/>
      <c r="G360" s="1200"/>
      <c r="H360" s="1200"/>
      <c r="I360" s="1200"/>
      <c r="J360" s="630"/>
      <c r="K360" s="630"/>
      <c r="L360" s="630"/>
      <c r="M360" s="1621"/>
      <c r="N360" s="2122">
        <f>N359/N267</f>
        <v>0.46511627906976744</v>
      </c>
      <c r="O360" s="2069">
        <f>O359/O267</f>
        <v>0.5434782608695653</v>
      </c>
      <c r="P360" s="2069">
        <f>P359/P267</f>
        <v>0.59574468085106391</v>
      </c>
      <c r="Q360" s="630"/>
      <c r="R360" s="630"/>
      <c r="S360" s="630"/>
      <c r="T360" s="945"/>
      <c r="U360" s="789"/>
      <c r="V360" s="635"/>
      <c r="W360" s="635"/>
      <c r="X360" s="635"/>
      <c r="Y360" s="635"/>
      <c r="Z360" s="635"/>
      <c r="AA360" s="635"/>
      <c r="AB360" s="635"/>
      <c r="AC360" s="635"/>
      <c r="AD360" s="635"/>
      <c r="AE360" s="635"/>
      <c r="AF360" s="635"/>
      <c r="AG360" s="635"/>
      <c r="AH360" s="635"/>
      <c r="AI360" s="635"/>
      <c r="AJ360" s="635"/>
      <c r="AK360" s="635"/>
      <c r="AL360" s="635"/>
      <c r="AM360" s="635"/>
      <c r="AN360" s="635"/>
      <c r="AO360" s="635"/>
      <c r="AP360" s="635"/>
      <c r="AQ360" s="635"/>
      <c r="AR360" s="635"/>
      <c r="AS360" s="635"/>
      <c r="AT360" s="635"/>
      <c r="AU360" s="635"/>
      <c r="AV360" s="635"/>
      <c r="AW360" s="635"/>
      <c r="AX360" s="635"/>
      <c r="AY360" s="945"/>
      <c r="AZ360" s="635"/>
      <c r="BA360" s="635"/>
      <c r="BB360" s="635"/>
      <c r="BC360" s="635"/>
      <c r="BD360" s="635"/>
      <c r="BE360" s="635"/>
      <c r="BF360" s="635"/>
      <c r="BG360" s="635"/>
      <c r="BH360" s="635"/>
      <c r="BI360" s="635"/>
      <c r="BJ360" s="635"/>
      <c r="BK360" s="635"/>
      <c r="BL360" s="635"/>
      <c r="BM360" s="635"/>
      <c r="BN360" s="635"/>
      <c r="BO360" s="635"/>
      <c r="BP360" s="635"/>
      <c r="BQ360" s="635"/>
      <c r="BR360" s="635"/>
      <c r="BS360" s="635"/>
      <c r="BT360" s="635"/>
      <c r="BU360" s="635"/>
      <c r="BV360" s="635"/>
      <c r="BW360" s="635"/>
      <c r="BX360" s="635"/>
      <c r="BY360" s="635"/>
      <c r="BZ360" s="635"/>
      <c r="CA360" s="635"/>
      <c r="CB360" s="635"/>
      <c r="CC360" s="635"/>
    </row>
    <row r="361" spans="2:81">
      <c r="B361" s="1631" t="s">
        <v>1763</v>
      </c>
      <c r="C361" s="343"/>
      <c r="D361" s="741"/>
      <c r="E361" s="631"/>
      <c r="F361" s="1200"/>
      <c r="G361" s="1200"/>
      <c r="H361" s="1200"/>
      <c r="I361" s="1200"/>
      <c r="J361" s="630"/>
      <c r="K361" s="630"/>
      <c r="L361" s="630"/>
      <c r="M361" s="1621"/>
      <c r="N361" s="2123">
        <f>(N196+N195)/N359</f>
        <v>525</v>
      </c>
      <c r="O361" s="1622">
        <f>(O196+O195)/O359</f>
        <v>645</v>
      </c>
      <c r="P361" s="1622">
        <f>(P196+P195)/P359</f>
        <v>730.3125</v>
      </c>
      <c r="Q361" s="630"/>
      <c r="R361" s="630"/>
      <c r="S361" s="630"/>
      <c r="T361" s="945"/>
      <c r="U361" s="789"/>
      <c r="V361" s="635"/>
      <c r="W361" s="635"/>
      <c r="X361" s="635"/>
      <c r="Y361" s="635"/>
      <c r="Z361" s="635"/>
      <c r="AA361" s="635"/>
      <c r="AB361" s="635"/>
      <c r="AC361" s="635"/>
      <c r="AD361" s="635"/>
      <c r="AE361" s="635"/>
      <c r="AF361" s="635"/>
      <c r="AG361" s="635"/>
      <c r="AH361" s="635"/>
      <c r="AI361" s="635"/>
      <c r="AJ361" s="635"/>
      <c r="AK361" s="635"/>
      <c r="AL361" s="635"/>
      <c r="AM361" s="635"/>
      <c r="AN361" s="635"/>
      <c r="AO361" s="635"/>
      <c r="AP361" s="635"/>
      <c r="AQ361" s="635"/>
      <c r="AR361" s="635"/>
      <c r="AS361" s="635"/>
      <c r="AT361" s="635"/>
      <c r="AU361" s="635"/>
      <c r="AV361" s="635"/>
      <c r="AW361" s="635"/>
      <c r="AX361" s="635"/>
      <c r="AY361" s="945"/>
      <c r="AZ361" s="635"/>
      <c r="BA361" s="635"/>
      <c r="BB361" s="635"/>
      <c r="BC361" s="635"/>
      <c r="BD361" s="635"/>
      <c r="BE361" s="635"/>
      <c r="BF361" s="635"/>
      <c r="BG361" s="635"/>
      <c r="BH361" s="635"/>
      <c r="BI361" s="635"/>
      <c r="BJ361" s="635"/>
      <c r="BK361" s="635"/>
      <c r="BL361" s="635"/>
      <c r="BM361" s="635"/>
      <c r="BN361" s="635"/>
      <c r="BO361" s="635"/>
      <c r="BP361" s="635"/>
      <c r="BQ361" s="635"/>
      <c r="BR361" s="635"/>
      <c r="BS361" s="635"/>
      <c r="BT361" s="635"/>
      <c r="BU361" s="635"/>
      <c r="BV361" s="635"/>
      <c r="BW361" s="635"/>
      <c r="BX361" s="635"/>
      <c r="BY361" s="635"/>
      <c r="BZ361" s="635"/>
      <c r="CA361" s="635"/>
      <c r="CB361" s="635"/>
      <c r="CC361" s="635"/>
    </row>
    <row r="362" spans="2:81">
      <c r="B362" s="680" t="s">
        <v>1056</v>
      </c>
      <c r="C362" s="343"/>
      <c r="D362" s="741"/>
      <c r="E362" s="631"/>
      <c r="F362" s="1200"/>
      <c r="G362" s="1200"/>
      <c r="H362" s="1200"/>
      <c r="I362" s="1200"/>
      <c r="J362" s="630"/>
      <c r="K362" s="630"/>
      <c r="L362" s="630"/>
      <c r="M362" s="1621"/>
      <c r="N362" s="2121"/>
      <c r="O362" s="1621"/>
      <c r="P362" s="1621"/>
      <c r="Q362" s="630"/>
      <c r="R362" s="630"/>
      <c r="S362" s="630"/>
      <c r="T362" s="945"/>
      <c r="U362" s="789"/>
      <c r="V362" s="635"/>
      <c r="W362" s="635"/>
      <c r="X362" s="635"/>
      <c r="Y362" s="635"/>
      <c r="Z362" s="635"/>
      <c r="AA362" s="635"/>
      <c r="AB362" s="635"/>
      <c r="AC362" s="635"/>
      <c r="AD362" s="635"/>
      <c r="AE362" s="635"/>
      <c r="AF362" s="635"/>
      <c r="AG362" s="635"/>
      <c r="AH362" s="635"/>
      <c r="AI362" s="635"/>
      <c r="AJ362" s="635"/>
      <c r="AK362" s="635"/>
      <c r="AL362" s="635"/>
      <c r="AM362" s="635"/>
      <c r="AN362" s="635"/>
      <c r="AO362" s="635"/>
      <c r="AP362" s="635"/>
      <c r="AQ362" s="635"/>
      <c r="AR362" s="635"/>
      <c r="AS362" s="635"/>
      <c r="AT362" s="635"/>
      <c r="AU362" s="635"/>
      <c r="AV362" s="635"/>
      <c r="AW362" s="635"/>
      <c r="AX362" s="635"/>
      <c r="AY362" s="945"/>
      <c r="AZ362" s="635"/>
      <c r="BA362" s="635"/>
      <c r="BB362" s="635"/>
      <c r="BC362" s="635"/>
      <c r="BD362" s="635"/>
      <c r="BE362" s="635"/>
      <c r="BF362" s="635"/>
      <c r="BG362" s="635"/>
      <c r="BH362" s="635"/>
      <c r="BI362" s="635"/>
      <c r="BJ362" s="635"/>
      <c r="BK362" s="635"/>
      <c r="BL362" s="635"/>
      <c r="BM362" s="635"/>
      <c r="BN362" s="635"/>
      <c r="BO362" s="635"/>
      <c r="BP362" s="635"/>
      <c r="BQ362" s="635"/>
      <c r="BR362" s="635"/>
      <c r="BS362" s="635"/>
      <c r="BT362" s="635"/>
      <c r="BU362" s="635"/>
      <c r="BV362" s="635"/>
      <c r="BW362" s="635"/>
      <c r="BX362" s="635"/>
      <c r="BY362" s="635"/>
      <c r="BZ362" s="635"/>
      <c r="CA362" s="635"/>
      <c r="CB362" s="635"/>
      <c r="CC362" s="635"/>
    </row>
    <row r="363" spans="2:81">
      <c r="B363" s="764"/>
      <c r="C363" s="343"/>
      <c r="D363" s="741"/>
      <c r="E363" s="631"/>
      <c r="F363" s="1200"/>
      <c r="G363" s="1200"/>
      <c r="H363" s="1200"/>
      <c r="I363" s="1200"/>
      <c r="J363" s="630"/>
      <c r="K363" s="630"/>
      <c r="L363" s="630"/>
      <c r="M363" s="1621"/>
      <c r="N363" s="2121"/>
      <c r="O363" s="1621"/>
      <c r="P363" s="1621"/>
      <c r="Q363" s="630"/>
      <c r="R363" s="630"/>
      <c r="S363" s="630"/>
      <c r="T363" s="945"/>
      <c r="U363" s="789"/>
      <c r="V363" s="635"/>
      <c r="W363" s="635"/>
      <c r="X363" s="635"/>
      <c r="Y363" s="635"/>
      <c r="Z363" s="635"/>
      <c r="AA363" s="635"/>
      <c r="AB363" s="635"/>
      <c r="AC363" s="635"/>
      <c r="AD363" s="635"/>
      <c r="AE363" s="635"/>
      <c r="AF363" s="635"/>
      <c r="AG363" s="635"/>
      <c r="AH363" s="635"/>
      <c r="AI363" s="635"/>
      <c r="AJ363" s="635"/>
      <c r="AK363" s="635"/>
      <c r="AL363" s="635"/>
      <c r="AM363" s="635"/>
      <c r="AN363" s="635"/>
      <c r="AO363" s="635"/>
      <c r="AP363" s="635"/>
      <c r="AQ363" s="635"/>
      <c r="AR363" s="635"/>
      <c r="AS363" s="635"/>
      <c r="AT363" s="635"/>
      <c r="AU363" s="635"/>
      <c r="AV363" s="635"/>
      <c r="AW363" s="635"/>
      <c r="AX363" s="635"/>
      <c r="AY363" s="945"/>
      <c r="AZ363" s="635"/>
      <c r="BA363" s="635"/>
      <c r="BB363" s="635"/>
      <c r="BC363" s="635"/>
      <c r="BD363" s="635"/>
      <c r="BE363" s="635"/>
      <c r="BF363" s="635"/>
      <c r="BG363" s="635"/>
      <c r="BH363" s="635"/>
      <c r="BI363" s="635"/>
      <c r="BJ363" s="635"/>
      <c r="BK363" s="635"/>
      <c r="BL363" s="635"/>
      <c r="BM363" s="635"/>
      <c r="BN363" s="635"/>
      <c r="BO363" s="635"/>
      <c r="BP363" s="635"/>
      <c r="BQ363" s="635"/>
      <c r="BR363" s="635"/>
      <c r="BS363" s="635"/>
      <c r="BT363" s="635"/>
      <c r="BU363" s="635"/>
      <c r="BV363" s="635"/>
      <c r="BW363" s="635"/>
      <c r="BX363" s="635"/>
      <c r="BY363" s="635"/>
      <c r="BZ363" s="635"/>
      <c r="CA363" s="635"/>
      <c r="CB363" s="635"/>
      <c r="CC363" s="635"/>
    </row>
    <row r="364" spans="2:81">
      <c r="B364" s="764"/>
      <c r="C364" s="343"/>
      <c r="D364" s="741"/>
      <c r="E364" s="631"/>
      <c r="F364" s="1200"/>
      <c r="G364" s="1200"/>
      <c r="H364" s="1200"/>
      <c r="I364" s="1200"/>
      <c r="J364" s="630"/>
      <c r="K364" s="630"/>
      <c r="L364" s="630"/>
      <c r="M364" s="1621"/>
      <c r="N364" s="2121"/>
      <c r="O364" s="1621"/>
      <c r="P364" s="1621"/>
      <c r="Q364" s="630"/>
      <c r="R364" s="630"/>
      <c r="S364" s="630"/>
      <c r="T364" s="945"/>
      <c r="U364" s="789"/>
      <c r="V364" s="635"/>
      <c r="W364" s="635"/>
      <c r="X364" s="635"/>
      <c r="Y364" s="635"/>
      <c r="Z364" s="635"/>
      <c r="AA364" s="635"/>
      <c r="AB364" s="635"/>
      <c r="AC364" s="635"/>
      <c r="AD364" s="635"/>
      <c r="AE364" s="635"/>
      <c r="AF364" s="635"/>
      <c r="AG364" s="635"/>
      <c r="AH364" s="635"/>
      <c r="AI364" s="635"/>
      <c r="AJ364" s="635"/>
      <c r="AK364" s="635"/>
      <c r="AL364" s="635"/>
      <c r="AM364" s="635"/>
      <c r="AN364" s="635"/>
      <c r="AO364" s="635"/>
      <c r="AP364" s="635"/>
      <c r="AQ364" s="635"/>
      <c r="AR364" s="635"/>
      <c r="AS364" s="635"/>
      <c r="AT364" s="635"/>
      <c r="AU364" s="635"/>
      <c r="AV364" s="635"/>
      <c r="AW364" s="635"/>
      <c r="AX364" s="635"/>
      <c r="AY364" s="945"/>
      <c r="AZ364" s="635"/>
      <c r="BA364" s="635"/>
      <c r="BB364" s="635"/>
      <c r="BC364" s="635"/>
      <c r="BD364" s="635"/>
      <c r="BE364" s="635"/>
      <c r="BF364" s="635"/>
      <c r="BG364" s="635"/>
      <c r="BH364" s="635"/>
      <c r="BI364" s="635"/>
      <c r="BJ364" s="635"/>
      <c r="BK364" s="635"/>
      <c r="BL364" s="635"/>
      <c r="BM364" s="635"/>
      <c r="BN364" s="635"/>
      <c r="BO364" s="635"/>
      <c r="BP364" s="635"/>
      <c r="BQ364" s="635"/>
      <c r="BR364" s="635"/>
      <c r="BS364" s="635"/>
      <c r="BT364" s="635"/>
      <c r="BU364" s="635"/>
      <c r="BV364" s="635"/>
      <c r="BW364" s="635"/>
      <c r="BX364" s="635"/>
      <c r="BY364" s="635"/>
      <c r="BZ364" s="635"/>
      <c r="CA364" s="635"/>
      <c r="CB364" s="635"/>
      <c r="CC364" s="635"/>
    </row>
    <row r="365" spans="2:81">
      <c r="B365" s="764"/>
      <c r="C365" s="343"/>
      <c r="D365" s="741"/>
      <c r="E365" s="631"/>
      <c r="F365" s="1200"/>
      <c r="G365" s="1200"/>
      <c r="H365" s="1200"/>
      <c r="I365" s="1200"/>
      <c r="J365" s="630"/>
      <c r="K365" s="630"/>
      <c r="L365" s="630"/>
      <c r="M365" s="1621"/>
      <c r="N365" s="2121"/>
      <c r="O365" s="1621"/>
      <c r="P365" s="1621"/>
      <c r="Q365" s="630"/>
      <c r="R365" s="630"/>
      <c r="S365" s="630"/>
      <c r="T365" s="945"/>
      <c r="U365" s="789"/>
      <c r="V365" s="635"/>
      <c r="W365" s="635"/>
      <c r="X365" s="635"/>
      <c r="Y365" s="635"/>
      <c r="Z365" s="635"/>
      <c r="AA365" s="635"/>
      <c r="AB365" s="635"/>
      <c r="AC365" s="635"/>
      <c r="AD365" s="635"/>
      <c r="AE365" s="635"/>
      <c r="AF365" s="635"/>
      <c r="AG365" s="635"/>
      <c r="AH365" s="635"/>
      <c r="AI365" s="635"/>
      <c r="AJ365" s="635"/>
      <c r="AK365" s="635"/>
      <c r="AL365" s="635"/>
      <c r="AM365" s="635"/>
      <c r="AN365" s="635"/>
      <c r="AO365" s="635"/>
      <c r="AP365" s="635"/>
      <c r="AQ365" s="635"/>
      <c r="AR365" s="635"/>
      <c r="AS365" s="635"/>
      <c r="AT365" s="635"/>
      <c r="AU365" s="635"/>
      <c r="AV365" s="635"/>
      <c r="AW365" s="635"/>
      <c r="AX365" s="635"/>
      <c r="AY365" s="945"/>
      <c r="AZ365" s="635"/>
      <c r="BA365" s="635"/>
      <c r="BB365" s="635"/>
      <c r="BC365" s="635"/>
      <c r="BD365" s="635"/>
      <c r="BE365" s="635"/>
      <c r="BF365" s="635"/>
      <c r="BG365" s="635"/>
      <c r="BH365" s="635"/>
      <c r="BI365" s="635"/>
      <c r="BJ365" s="635"/>
      <c r="BK365" s="635"/>
      <c r="BL365" s="635"/>
      <c r="BM365" s="635"/>
      <c r="BN365" s="635"/>
      <c r="BO365" s="635"/>
      <c r="BP365" s="635"/>
      <c r="BQ365" s="635"/>
      <c r="BR365" s="635"/>
      <c r="BS365" s="635"/>
      <c r="BT365" s="635"/>
      <c r="BU365" s="635"/>
      <c r="BV365" s="635"/>
      <c r="BW365" s="635"/>
      <c r="BX365" s="635"/>
      <c r="BY365" s="635"/>
      <c r="BZ365" s="635"/>
      <c r="CA365" s="635"/>
      <c r="CB365" s="635"/>
      <c r="CC365" s="635"/>
    </row>
    <row r="366" spans="2:81">
      <c r="B366" s="1623" t="s">
        <v>1517</v>
      </c>
      <c r="C366" s="343"/>
      <c r="D366" s="741"/>
      <c r="E366" s="631"/>
      <c r="F366" s="1200"/>
      <c r="G366" s="1200"/>
      <c r="H366" s="1200"/>
      <c r="I366" s="1200"/>
      <c r="J366" s="630"/>
      <c r="K366" s="630"/>
      <c r="L366" s="1622">
        <f>L367*L267</f>
        <v>0.95267999999999997</v>
      </c>
      <c r="M366" s="1622">
        <f>M367*M267</f>
        <v>1.4</v>
      </c>
      <c r="N366" s="2123">
        <f>M366+0.2</f>
        <v>1.5999999999999999</v>
      </c>
      <c r="O366" s="1621"/>
      <c r="P366" s="1621"/>
      <c r="Q366" s="630"/>
      <c r="R366" s="630"/>
      <c r="S366" s="630"/>
      <c r="T366" s="945"/>
      <c r="U366" s="789"/>
      <c r="V366" s="635"/>
      <c r="W366" s="635"/>
      <c r="X366" s="635"/>
      <c r="Y366" s="635"/>
      <c r="Z366" s="635"/>
      <c r="AA366" s="635"/>
      <c r="AB366" s="635"/>
      <c r="AC366" s="635"/>
      <c r="AD366" s="635"/>
      <c r="AE366" s="635"/>
      <c r="AF366" s="635"/>
      <c r="AG366" s="635"/>
      <c r="AH366" s="635"/>
      <c r="AI366" s="635"/>
      <c r="AJ366" s="635"/>
      <c r="AK366" s="635"/>
      <c r="AL366" s="635"/>
      <c r="AM366" s="635"/>
      <c r="AN366" s="635"/>
      <c r="AO366" s="635"/>
      <c r="AP366" s="635"/>
      <c r="AQ366" s="635"/>
      <c r="AR366" s="635"/>
      <c r="AS366" s="635"/>
      <c r="AT366" s="635"/>
      <c r="AU366" s="635"/>
      <c r="AV366" s="635"/>
      <c r="AW366" s="635"/>
      <c r="AX366" s="635"/>
      <c r="AY366" s="945"/>
      <c r="AZ366" s="635"/>
      <c r="BA366" s="635"/>
      <c r="BB366" s="635"/>
      <c r="BC366" s="635"/>
      <c r="BD366" s="635"/>
      <c r="BE366" s="635"/>
      <c r="BF366" s="635"/>
      <c r="BG366" s="635"/>
      <c r="BH366" s="635"/>
      <c r="BI366" s="635"/>
      <c r="BJ366" s="635"/>
      <c r="BK366" s="635"/>
      <c r="BL366" s="635"/>
      <c r="BM366" s="635"/>
      <c r="BN366" s="635"/>
      <c r="BO366" s="635"/>
      <c r="BP366" s="635"/>
      <c r="BQ366" s="635"/>
      <c r="BR366" s="635"/>
      <c r="BS366" s="635"/>
      <c r="BT366" s="635"/>
      <c r="BU366" s="635"/>
      <c r="BV366" s="635"/>
      <c r="BW366" s="635"/>
      <c r="BX366" s="635"/>
      <c r="BY366" s="635"/>
      <c r="BZ366" s="635"/>
      <c r="CA366" s="635"/>
      <c r="CB366" s="635"/>
      <c r="CC366" s="635"/>
    </row>
    <row r="367" spans="2:81">
      <c r="B367" s="1623" t="s">
        <v>1519</v>
      </c>
      <c r="C367" s="343"/>
      <c r="D367" s="741"/>
      <c r="E367" s="631"/>
      <c r="F367" s="1200"/>
      <c r="G367" s="1200"/>
      <c r="H367" s="1200"/>
      <c r="I367" s="1200"/>
      <c r="J367" s="630"/>
      <c r="K367" s="630"/>
      <c r="L367" s="1626">
        <v>0.2802</v>
      </c>
      <c r="M367" s="1626">
        <v>0.35</v>
      </c>
      <c r="N367" s="1626">
        <f>N366/+N267</f>
        <v>0.37209302325581395</v>
      </c>
      <c r="O367" s="1621"/>
      <c r="P367" s="1621"/>
      <c r="Q367" s="630"/>
      <c r="R367" s="630"/>
      <c r="S367" s="630"/>
      <c r="T367" s="945"/>
      <c r="U367" s="789"/>
      <c r="V367" s="635"/>
      <c r="W367" s="635"/>
      <c r="X367" s="635"/>
      <c r="Y367" s="635"/>
      <c r="Z367" s="635"/>
      <c r="AA367" s="635"/>
      <c r="AB367" s="635"/>
      <c r="AC367" s="635"/>
      <c r="AD367" s="635"/>
      <c r="AE367" s="635"/>
      <c r="AF367" s="635"/>
      <c r="AG367" s="635"/>
      <c r="AH367" s="635"/>
      <c r="AI367" s="635"/>
      <c r="AJ367" s="635"/>
      <c r="AK367" s="635"/>
      <c r="AL367" s="635"/>
      <c r="AM367" s="635"/>
      <c r="AN367" s="635"/>
      <c r="AO367" s="635"/>
      <c r="AP367" s="635"/>
      <c r="AQ367" s="635"/>
      <c r="AR367" s="635"/>
      <c r="AS367" s="635"/>
      <c r="AT367" s="635"/>
      <c r="AU367" s="635"/>
      <c r="AV367" s="635"/>
      <c r="AW367" s="635"/>
      <c r="AX367" s="635"/>
      <c r="AY367" s="945"/>
      <c r="AZ367" s="635"/>
      <c r="BA367" s="635"/>
      <c r="BB367" s="635"/>
      <c r="BC367" s="635"/>
      <c r="BD367" s="635"/>
      <c r="BE367" s="635"/>
      <c r="BF367" s="635"/>
      <c r="BG367" s="635"/>
      <c r="BH367" s="635"/>
      <c r="BI367" s="635"/>
      <c r="BJ367" s="635"/>
      <c r="BK367" s="635"/>
      <c r="BL367" s="635"/>
      <c r="BM367" s="635"/>
      <c r="BN367" s="635"/>
      <c r="BO367" s="635"/>
      <c r="BP367" s="635"/>
      <c r="BQ367" s="635"/>
      <c r="BR367" s="635"/>
      <c r="BS367" s="635"/>
      <c r="BT367" s="635"/>
      <c r="BU367" s="635"/>
      <c r="BV367" s="635"/>
      <c r="BW367" s="635"/>
      <c r="BX367" s="635"/>
      <c r="BY367" s="635"/>
      <c r="BZ367" s="635"/>
      <c r="CA367" s="635"/>
      <c r="CB367" s="635"/>
      <c r="CC367" s="635"/>
    </row>
    <row r="368" spans="2:81">
      <c r="B368" s="764" t="s">
        <v>1518</v>
      </c>
      <c r="C368" s="343"/>
      <c r="D368" s="741"/>
      <c r="E368" s="631"/>
      <c r="F368" s="1200"/>
      <c r="G368" s="1200"/>
      <c r="H368" s="1200"/>
      <c r="I368" s="1200"/>
      <c r="J368" s="630"/>
      <c r="K368" s="630"/>
      <c r="L368" s="1624">
        <v>0.12</v>
      </c>
      <c r="M368" s="1624">
        <v>0.3</v>
      </c>
      <c r="N368" s="2121"/>
      <c r="O368" s="1621"/>
      <c r="P368" s="1621"/>
      <c r="Q368" s="630"/>
      <c r="R368" s="630"/>
      <c r="S368" s="630"/>
      <c r="T368" s="945"/>
      <c r="U368" s="789"/>
      <c r="V368" s="635"/>
      <c r="W368" s="635"/>
      <c r="X368" s="635"/>
      <c r="Y368" s="635"/>
      <c r="Z368" s="635"/>
      <c r="AA368" s="635"/>
      <c r="AB368" s="635"/>
      <c r="AC368" s="635"/>
      <c r="AD368" s="635"/>
      <c r="AE368" s="635"/>
      <c r="AF368" s="635"/>
      <c r="AG368" s="635"/>
      <c r="AH368" s="635"/>
      <c r="AI368" s="635"/>
      <c r="AJ368" s="635"/>
      <c r="AK368" s="635"/>
      <c r="AL368" s="635"/>
      <c r="AM368" s="635"/>
      <c r="AN368" s="635"/>
      <c r="AO368" s="635"/>
      <c r="AP368" s="635"/>
      <c r="AQ368" s="635"/>
      <c r="AR368" s="635"/>
      <c r="AS368" s="635"/>
      <c r="AT368" s="635"/>
      <c r="AU368" s="635"/>
      <c r="AV368" s="635"/>
      <c r="AW368" s="635"/>
      <c r="AX368" s="635"/>
      <c r="AY368" s="945"/>
      <c r="AZ368" s="635"/>
      <c r="BA368" s="635"/>
      <c r="BB368" s="635"/>
      <c r="BC368" s="635"/>
      <c r="BD368" s="635"/>
      <c r="BE368" s="635"/>
      <c r="BF368" s="635"/>
      <c r="BG368" s="635"/>
      <c r="BH368" s="635"/>
      <c r="BI368" s="635"/>
      <c r="BJ368" s="635"/>
      <c r="BK368" s="635"/>
      <c r="BL368" s="635"/>
      <c r="BM368" s="635"/>
      <c r="BN368" s="635"/>
      <c r="BO368" s="635"/>
      <c r="BP368" s="635"/>
      <c r="BQ368" s="635"/>
      <c r="BR368" s="635"/>
      <c r="BS368" s="635"/>
      <c r="BT368" s="635"/>
      <c r="BU368" s="635"/>
      <c r="BV368" s="635"/>
      <c r="BW368" s="635"/>
      <c r="BX368" s="635"/>
      <c r="BY368" s="635"/>
      <c r="BZ368" s="635"/>
      <c r="CA368" s="635"/>
      <c r="CB368" s="635"/>
      <c r="CC368" s="635"/>
    </row>
    <row r="369" spans="2:81">
      <c r="B369" s="764" t="s">
        <v>1520</v>
      </c>
      <c r="C369" s="343"/>
      <c r="D369" s="741"/>
      <c r="E369" s="631"/>
      <c r="F369" s="1200"/>
      <c r="G369" s="1200"/>
      <c r="H369" s="1200"/>
      <c r="I369" s="1200"/>
      <c r="J369" s="630"/>
      <c r="K369" s="630"/>
      <c r="L369" s="1625">
        <f>L368/L267</f>
        <v>3.5294117647058823E-2</v>
      </c>
      <c r="M369" s="1625">
        <f>M368/M267</f>
        <v>7.4999999999999997E-2</v>
      </c>
      <c r="N369" s="2121"/>
      <c r="O369" s="1621"/>
      <c r="P369" s="1621"/>
      <c r="Q369" s="630"/>
      <c r="R369" s="630"/>
      <c r="S369" s="630"/>
      <c r="T369" s="945"/>
      <c r="U369" s="789"/>
      <c r="V369" s="635"/>
      <c r="W369" s="635"/>
      <c r="X369" s="635"/>
      <c r="Y369" s="635"/>
      <c r="Z369" s="635"/>
      <c r="AA369" s="635"/>
      <c r="AB369" s="635"/>
      <c r="AC369" s="635"/>
      <c r="AD369" s="635"/>
      <c r="AE369" s="635"/>
      <c r="AF369" s="635"/>
      <c r="AG369" s="635"/>
      <c r="AH369" s="635"/>
      <c r="AI369" s="635"/>
      <c r="AJ369" s="635"/>
      <c r="AK369" s="635"/>
      <c r="AL369" s="635"/>
      <c r="AM369" s="635"/>
      <c r="AN369" s="635"/>
      <c r="AO369" s="635"/>
      <c r="AP369" s="635"/>
      <c r="AQ369" s="635"/>
      <c r="AR369" s="635"/>
      <c r="AS369" s="635"/>
      <c r="AT369" s="635"/>
      <c r="AU369" s="635"/>
      <c r="AV369" s="635"/>
      <c r="AW369" s="635"/>
      <c r="AX369" s="635"/>
      <c r="AY369" s="945"/>
      <c r="AZ369" s="635"/>
      <c r="BA369" s="635"/>
      <c r="BB369" s="635"/>
      <c r="BC369" s="635"/>
      <c r="BD369" s="635"/>
      <c r="BE369" s="635"/>
      <c r="BF369" s="635"/>
      <c r="BG369" s="635"/>
      <c r="BH369" s="635"/>
      <c r="BI369" s="635"/>
      <c r="BJ369" s="635"/>
      <c r="BK369" s="635"/>
      <c r="BL369" s="635"/>
      <c r="BM369" s="635"/>
      <c r="BN369" s="635"/>
      <c r="BO369" s="635"/>
      <c r="BP369" s="635"/>
      <c r="BQ369" s="635"/>
      <c r="BR369" s="635"/>
      <c r="BS369" s="635"/>
      <c r="BT369" s="635"/>
      <c r="BU369" s="635"/>
      <c r="BV369" s="635"/>
      <c r="BW369" s="635"/>
      <c r="BX369" s="635"/>
      <c r="BY369" s="635"/>
      <c r="BZ369" s="635"/>
      <c r="CA369" s="635"/>
      <c r="CB369" s="635"/>
      <c r="CC369" s="635"/>
    </row>
    <row r="370" spans="2:81">
      <c r="B370" s="764"/>
      <c r="C370" s="343"/>
      <c r="D370" s="741"/>
      <c r="E370" s="631"/>
      <c r="F370" s="1200"/>
      <c r="G370" s="1200"/>
      <c r="H370" s="1200"/>
      <c r="I370" s="1200"/>
      <c r="J370" s="630"/>
      <c r="K370" s="630"/>
      <c r="L370" s="630"/>
      <c r="M370" s="1621"/>
      <c r="N370" s="2121"/>
      <c r="O370" s="1621"/>
      <c r="P370" s="1621"/>
      <c r="Q370" s="630"/>
      <c r="R370" s="630"/>
      <c r="S370" s="630"/>
      <c r="T370" s="945"/>
      <c r="U370" s="789"/>
      <c r="V370" s="635"/>
      <c r="W370" s="635"/>
      <c r="X370" s="635"/>
      <c r="Y370" s="635"/>
      <c r="Z370" s="635"/>
      <c r="AA370" s="635"/>
      <c r="AB370" s="635"/>
      <c r="AC370" s="635"/>
      <c r="AD370" s="635"/>
      <c r="AE370" s="635"/>
      <c r="AF370" s="635"/>
      <c r="AG370" s="635"/>
      <c r="AH370" s="635"/>
      <c r="AI370" s="635"/>
      <c r="AJ370" s="635"/>
      <c r="AK370" s="635"/>
      <c r="AL370" s="635"/>
      <c r="AM370" s="635"/>
      <c r="AN370" s="635"/>
      <c r="AO370" s="635"/>
      <c r="AP370" s="635"/>
      <c r="AQ370" s="635"/>
      <c r="AR370" s="635"/>
      <c r="AS370" s="635"/>
      <c r="AT370" s="635"/>
      <c r="AU370" s="635"/>
      <c r="AV370" s="635"/>
      <c r="AW370" s="635"/>
      <c r="AX370" s="635"/>
      <c r="AY370" s="945"/>
      <c r="AZ370" s="635"/>
      <c r="BA370" s="635"/>
      <c r="BB370" s="635"/>
      <c r="BC370" s="635"/>
      <c r="BD370" s="635"/>
      <c r="BE370" s="635"/>
      <c r="BF370" s="635"/>
      <c r="BG370" s="635"/>
      <c r="BH370" s="635"/>
      <c r="BI370" s="635"/>
      <c r="BJ370" s="635"/>
      <c r="BK370" s="635"/>
      <c r="BL370" s="635"/>
      <c r="BM370" s="635"/>
      <c r="BN370" s="635"/>
      <c r="BO370" s="635"/>
      <c r="BP370" s="635"/>
      <c r="BQ370" s="635"/>
      <c r="BR370" s="635"/>
      <c r="BS370" s="635"/>
      <c r="BT370" s="635"/>
      <c r="BU370" s="635"/>
      <c r="BV370" s="635"/>
      <c r="BW370" s="635"/>
      <c r="BX370" s="635"/>
      <c r="BY370" s="635"/>
      <c r="BZ370" s="635"/>
      <c r="CA370" s="635"/>
      <c r="CB370" s="635"/>
      <c r="CC370" s="635"/>
    </row>
    <row r="371" spans="2:81">
      <c r="B371" s="307" t="s">
        <v>1793</v>
      </c>
      <c r="C371" s="343"/>
      <c r="D371" s="741"/>
      <c r="E371" s="631"/>
      <c r="F371" s="1200"/>
      <c r="G371" s="1200"/>
      <c r="H371" s="1200"/>
      <c r="I371" s="1200"/>
      <c r="J371" s="630"/>
      <c r="K371" s="630"/>
      <c r="L371" s="630">
        <f>L106+L201</f>
        <v>2857.1510000000003</v>
      </c>
      <c r="M371" s="630">
        <f>M106+M201</f>
        <v>4216.4880000000003</v>
      </c>
      <c r="N371" s="630">
        <f t="shared" ref="N371:P371" si="298">N106+N201</f>
        <v>6065.0582800000002</v>
      </c>
      <c r="O371" s="630">
        <f t="shared" si="298"/>
        <v>7516.2598020000005</v>
      </c>
      <c r="P371" s="630">
        <f t="shared" si="298"/>
        <v>8915.1530061600006</v>
      </c>
      <c r="Q371" s="630"/>
      <c r="R371" s="630"/>
      <c r="S371" s="630"/>
      <c r="T371" s="945"/>
      <c r="U371" s="789"/>
      <c r="V371" s="635"/>
      <c r="W371" s="635"/>
      <c r="X371" s="635"/>
      <c r="Y371" s="635"/>
      <c r="Z371" s="635"/>
      <c r="AA371" s="635"/>
      <c r="AB371" s="635"/>
      <c r="AC371" s="635"/>
      <c r="AD371" s="635"/>
      <c r="AE371" s="635"/>
      <c r="AF371" s="635"/>
      <c r="AG371" s="635"/>
      <c r="AH371" s="635"/>
      <c r="AI371" s="635"/>
      <c r="AJ371" s="635"/>
      <c r="AK371" s="635"/>
      <c r="AL371" s="635"/>
      <c r="AM371" s="635"/>
      <c r="AN371" s="635"/>
      <c r="AO371" s="635"/>
      <c r="AP371" s="635"/>
      <c r="AQ371" s="635"/>
      <c r="AR371" s="635"/>
      <c r="AS371" s="635"/>
      <c r="AT371" s="635"/>
      <c r="AU371" s="635"/>
      <c r="AV371" s="635"/>
      <c r="AW371" s="635"/>
      <c r="AX371" s="635"/>
      <c r="AY371" s="945"/>
      <c r="AZ371" s="635"/>
      <c r="BA371" s="635"/>
      <c r="BB371" s="635"/>
      <c r="BC371" s="635"/>
      <c r="BD371" s="635"/>
      <c r="BE371" s="635"/>
      <c r="BF371" s="635"/>
      <c r="BG371" s="635"/>
      <c r="BH371" s="635"/>
      <c r="BI371" s="635"/>
      <c r="BJ371" s="635"/>
      <c r="BK371" s="635"/>
      <c r="BL371" s="635"/>
      <c r="BM371" s="635"/>
      <c r="BN371" s="635"/>
      <c r="BO371" s="635"/>
      <c r="BP371" s="635"/>
      <c r="BQ371" s="635"/>
      <c r="BR371" s="635"/>
      <c r="BS371" s="635"/>
      <c r="BT371" s="635"/>
      <c r="BU371" s="635"/>
      <c r="BV371" s="635"/>
      <c r="BW371" s="635"/>
      <c r="BX371" s="635"/>
      <c r="BY371" s="635"/>
      <c r="BZ371" s="635"/>
      <c r="CA371" s="635"/>
      <c r="CB371" s="635"/>
      <c r="CC371" s="635"/>
    </row>
    <row r="372" spans="2:81">
      <c r="B372" s="764"/>
      <c r="C372" s="343"/>
      <c r="D372" s="741"/>
      <c r="E372" s="631"/>
      <c r="F372" s="1200"/>
      <c r="G372" s="1200"/>
      <c r="H372" s="1200"/>
      <c r="I372" s="1200"/>
      <c r="J372" s="630"/>
      <c r="K372" s="630"/>
      <c r="L372" s="782">
        <f>L371/L373</f>
        <v>0.98794986168741361</v>
      </c>
      <c r="M372" s="782">
        <f>M371/M373</f>
        <v>0.96641943616777448</v>
      </c>
      <c r="N372" s="2121"/>
      <c r="O372" s="1621"/>
      <c r="P372" s="1621"/>
      <c r="Q372" s="630"/>
      <c r="R372" s="630"/>
      <c r="S372" s="630"/>
      <c r="T372" s="945"/>
      <c r="U372" s="789"/>
      <c r="V372" s="635"/>
      <c r="W372" s="635"/>
      <c r="X372" s="635"/>
      <c r="Y372" s="635"/>
      <c r="Z372" s="635"/>
      <c r="AA372" s="635"/>
      <c r="AB372" s="635"/>
      <c r="AC372" s="635"/>
      <c r="AD372" s="635"/>
      <c r="AE372" s="635"/>
      <c r="AF372" s="635"/>
      <c r="AG372" s="635"/>
      <c r="AH372" s="635"/>
      <c r="AI372" s="635"/>
      <c r="AJ372" s="635"/>
      <c r="AK372" s="635"/>
      <c r="AL372" s="635"/>
      <c r="AM372" s="635"/>
      <c r="AN372" s="635"/>
      <c r="AO372" s="635"/>
      <c r="AP372" s="635"/>
      <c r="AQ372" s="635"/>
      <c r="AR372" s="635"/>
      <c r="AS372" s="635"/>
      <c r="AT372" s="635"/>
      <c r="AU372" s="635"/>
      <c r="AV372" s="635"/>
      <c r="AW372" s="635"/>
      <c r="AX372" s="635"/>
      <c r="AY372" s="945"/>
      <c r="AZ372" s="635"/>
      <c r="BA372" s="635"/>
      <c r="BB372" s="635"/>
      <c r="BC372" s="635"/>
      <c r="BD372" s="635"/>
      <c r="BE372" s="635"/>
      <c r="BF372" s="635"/>
      <c r="BG372" s="635"/>
      <c r="BH372" s="635"/>
      <c r="BI372" s="635"/>
      <c r="BJ372" s="635"/>
      <c r="BK372" s="635"/>
      <c r="BL372" s="635"/>
      <c r="BM372" s="635"/>
      <c r="BN372" s="635"/>
      <c r="BO372" s="635"/>
      <c r="BP372" s="635"/>
      <c r="BQ372" s="635"/>
      <c r="BR372" s="635"/>
      <c r="BS372" s="635"/>
      <c r="BT372" s="635"/>
      <c r="BU372" s="635"/>
      <c r="BV372" s="635"/>
      <c r="BW372" s="635"/>
      <c r="BX372" s="635"/>
      <c r="BY372" s="635"/>
      <c r="BZ372" s="635"/>
      <c r="CA372" s="635"/>
      <c r="CB372" s="635"/>
      <c r="CC372" s="635"/>
    </row>
    <row r="373" spans="2:81">
      <c r="B373" s="307" t="s">
        <v>1133</v>
      </c>
      <c r="C373" s="307"/>
      <c r="D373" s="310" t="s">
        <v>1140</v>
      </c>
      <c r="E373" s="631"/>
      <c r="F373" s="1200"/>
      <c r="G373" s="1200"/>
      <c r="H373" s="1200"/>
      <c r="I373" s="1200"/>
      <c r="J373" s="630"/>
      <c r="K373" s="630"/>
      <c r="L373" s="2200">
        <v>2892</v>
      </c>
      <c r="M373" s="2201">
        <v>4363</v>
      </c>
      <c r="N373" s="2121"/>
      <c r="O373" s="1621"/>
      <c r="P373" s="1621"/>
      <c r="Q373" s="630"/>
      <c r="R373" s="630"/>
      <c r="S373" s="630"/>
      <c r="T373" s="945"/>
      <c r="U373" s="789"/>
      <c r="V373" s="635"/>
      <c r="W373" s="635"/>
      <c r="X373" s="635"/>
      <c r="Y373" s="635"/>
      <c r="Z373" s="635"/>
      <c r="AA373" s="635"/>
      <c r="AB373" s="635"/>
      <c r="AC373" s="635"/>
      <c r="AD373" s="635"/>
      <c r="AE373" s="635"/>
      <c r="AF373" s="635"/>
      <c r="AG373" s="635"/>
      <c r="AH373" s="635"/>
      <c r="AI373" s="635"/>
      <c r="AJ373" s="635"/>
      <c r="AK373" s="635"/>
      <c r="AL373" s="635"/>
      <c r="AM373" s="635"/>
      <c r="AN373" s="635"/>
      <c r="AO373" s="635"/>
      <c r="AP373" s="635"/>
      <c r="AQ373" s="635"/>
      <c r="AR373" s="635"/>
      <c r="AS373" s="635"/>
      <c r="AT373" s="635"/>
      <c r="AU373" s="635"/>
      <c r="AV373" s="635"/>
      <c r="AW373" s="635"/>
      <c r="AX373" s="635"/>
      <c r="AY373" s="945"/>
      <c r="AZ373" s="635"/>
      <c r="BA373" s="635"/>
      <c r="BB373" s="635"/>
      <c r="BC373" s="635"/>
      <c r="BD373" s="635"/>
      <c r="BE373" s="635"/>
      <c r="BF373" s="635"/>
      <c r="BG373" s="635"/>
      <c r="BH373" s="635"/>
      <c r="BI373" s="635"/>
      <c r="BJ373" s="635"/>
      <c r="BK373" s="635"/>
      <c r="BL373" s="635"/>
      <c r="BM373" s="635"/>
      <c r="BN373" s="635"/>
      <c r="BO373" s="635"/>
      <c r="BP373" s="635"/>
      <c r="BQ373" s="635"/>
      <c r="BR373" s="635"/>
      <c r="BS373" s="635"/>
      <c r="BT373" s="635"/>
      <c r="BU373" s="635"/>
      <c r="BV373" s="635"/>
      <c r="BW373" s="635"/>
      <c r="BX373" s="635"/>
      <c r="BY373" s="635"/>
      <c r="BZ373" s="635"/>
      <c r="CA373" s="635"/>
      <c r="CB373" s="635"/>
      <c r="CC373" s="635"/>
    </row>
    <row r="374" spans="2:81">
      <c r="B374" s="307" t="s">
        <v>1137</v>
      </c>
      <c r="C374" s="307"/>
      <c r="D374" s="310" t="s">
        <v>1141</v>
      </c>
      <c r="E374" s="631"/>
      <c r="F374" s="1200"/>
      <c r="G374" s="1200"/>
      <c r="H374" s="1200"/>
      <c r="I374" s="1200"/>
      <c r="J374" s="630"/>
      <c r="K374" s="630"/>
      <c r="L374" s="627"/>
      <c r="M374" s="627"/>
      <c r="N374" s="2121"/>
      <c r="O374" s="1621"/>
      <c r="P374" s="1621"/>
      <c r="Q374" s="630"/>
      <c r="R374" s="630"/>
      <c r="S374" s="630"/>
      <c r="T374" s="945"/>
      <c r="U374" s="789"/>
      <c r="V374" s="635"/>
      <c r="W374" s="635"/>
      <c r="X374" s="635"/>
      <c r="Y374" s="635"/>
      <c r="Z374" s="635"/>
      <c r="AA374" s="635"/>
      <c r="AB374" s="635"/>
      <c r="AC374" s="635"/>
      <c r="AD374" s="635"/>
      <c r="AE374" s="635"/>
      <c r="AF374" s="635"/>
      <c r="AG374" s="635"/>
      <c r="AH374" s="635"/>
      <c r="AI374" s="635"/>
      <c r="AJ374" s="635"/>
      <c r="AK374" s="635"/>
      <c r="AL374" s="635"/>
      <c r="AM374" s="635"/>
      <c r="AN374" s="635"/>
      <c r="AO374" s="635"/>
      <c r="AP374" s="635"/>
      <c r="AQ374" s="635"/>
      <c r="AR374" s="635"/>
      <c r="AS374" s="635"/>
      <c r="AT374" s="635"/>
      <c r="AU374" s="635"/>
      <c r="AV374" s="635"/>
      <c r="AW374" s="635"/>
      <c r="AX374" s="635"/>
      <c r="AY374" s="945"/>
      <c r="AZ374" s="635"/>
      <c r="BA374" s="635"/>
      <c r="BB374" s="635"/>
      <c r="BC374" s="635"/>
      <c r="BD374" s="635"/>
      <c r="BE374" s="635"/>
      <c r="BF374" s="635"/>
      <c r="BG374" s="635"/>
      <c r="BH374" s="635"/>
      <c r="BI374" s="635"/>
      <c r="BJ374" s="635"/>
      <c r="BK374" s="635"/>
      <c r="BL374" s="635"/>
      <c r="BM374" s="635"/>
      <c r="BN374" s="635"/>
      <c r="BO374" s="635"/>
      <c r="BP374" s="635"/>
      <c r="BQ374" s="635"/>
      <c r="BR374" s="635"/>
      <c r="BS374" s="635"/>
      <c r="BT374" s="635"/>
      <c r="BU374" s="635"/>
      <c r="BV374" s="635"/>
      <c r="BW374" s="635"/>
      <c r="BX374" s="635"/>
      <c r="BY374" s="635"/>
      <c r="BZ374" s="635"/>
      <c r="CA374" s="635"/>
      <c r="CB374" s="635"/>
      <c r="CC374" s="635"/>
    </row>
    <row r="375" spans="2:81">
      <c r="B375" s="39" t="s">
        <v>1135</v>
      </c>
      <c r="D375" s="789" t="s">
        <v>1142</v>
      </c>
      <c r="E375" s="631"/>
      <c r="F375" s="1200"/>
      <c r="G375" s="1200"/>
      <c r="H375" s="1200"/>
      <c r="I375" s="1200"/>
      <c r="J375" s="630"/>
      <c r="K375" s="630"/>
      <c r="L375" s="2199">
        <v>3352</v>
      </c>
      <c r="M375" s="2199">
        <v>4874</v>
      </c>
      <c r="N375" s="2210">
        <f>M375+1367+862+596.5+585</f>
        <v>8284.5</v>
      </c>
      <c r="O375" s="2210">
        <f>N375+1155.8+1155.8+1493.2</f>
        <v>12089.3</v>
      </c>
      <c r="P375" s="2210">
        <f>O375+1155.8</f>
        <v>13245.099999999999</v>
      </c>
      <c r="Q375" s="630"/>
      <c r="R375" s="630"/>
      <c r="S375" s="630"/>
      <c r="T375" s="945"/>
      <c r="U375" s="789"/>
      <c r="V375" s="635"/>
      <c r="W375" s="635"/>
      <c r="X375" s="635"/>
      <c r="Y375" s="635"/>
      <c r="Z375" s="635"/>
      <c r="AA375" s="635"/>
      <c r="AB375" s="635"/>
      <c r="AC375" s="635"/>
      <c r="AD375" s="635"/>
      <c r="AE375" s="635"/>
      <c r="AF375" s="635"/>
      <c r="AG375" s="635"/>
      <c r="AH375" s="635"/>
      <c r="AI375" s="635"/>
      <c r="AJ375" s="635"/>
      <c r="AK375" s="635"/>
      <c r="AL375" s="635"/>
      <c r="AM375" s="635"/>
      <c r="AN375" s="635"/>
      <c r="AO375" s="635"/>
      <c r="AP375" s="635"/>
      <c r="AQ375" s="635"/>
      <c r="AR375" s="635"/>
      <c r="AS375" s="635"/>
      <c r="AT375" s="635"/>
      <c r="AU375" s="635"/>
      <c r="AV375" s="635"/>
      <c r="AW375" s="635"/>
      <c r="AX375" s="635"/>
      <c r="AY375" s="945"/>
      <c r="AZ375" s="635"/>
      <c r="BA375" s="635"/>
      <c r="BB375" s="635"/>
      <c r="BC375" s="635"/>
      <c r="BD375" s="635"/>
      <c r="BE375" s="635"/>
      <c r="BF375" s="635"/>
      <c r="BG375" s="635"/>
      <c r="BH375" s="635"/>
      <c r="BI375" s="635"/>
      <c r="BJ375" s="635"/>
      <c r="BK375" s="635"/>
      <c r="BL375" s="635"/>
      <c r="BM375" s="635"/>
      <c r="BN375" s="635"/>
      <c r="BO375" s="635"/>
      <c r="BP375" s="635"/>
      <c r="BQ375" s="635"/>
      <c r="BR375" s="635"/>
      <c r="BS375" s="635"/>
      <c r="BT375" s="635"/>
      <c r="BU375" s="635"/>
      <c r="BV375" s="635"/>
      <c r="BW375" s="635"/>
      <c r="BX375" s="635"/>
      <c r="BY375" s="635"/>
      <c r="BZ375" s="635"/>
      <c r="CA375" s="635"/>
      <c r="CB375" s="635"/>
      <c r="CC375" s="635"/>
    </row>
    <row r="376" spans="2:81">
      <c r="B376" s="336" t="s">
        <v>935</v>
      </c>
      <c r="C376" s="336"/>
      <c r="D376" s="337" t="s">
        <v>929</v>
      </c>
      <c r="E376" s="631"/>
      <c r="F376" s="1200"/>
      <c r="G376" s="1200"/>
      <c r="H376" s="1200"/>
      <c r="I376" s="1200"/>
      <c r="J376" s="630"/>
      <c r="K376" s="630"/>
      <c r="L376" s="338">
        <f>+(L373-L374)/L375</f>
        <v>0.86276849642004771</v>
      </c>
      <c r="M376" s="338">
        <f>+(M373-M374)/M375</f>
        <v>0.8951579811243332</v>
      </c>
      <c r="N376" s="2121"/>
      <c r="O376" s="1621"/>
      <c r="P376" s="1621"/>
      <c r="Q376" s="630"/>
      <c r="R376" s="630"/>
      <c r="S376" s="630"/>
      <c r="T376" s="945"/>
      <c r="U376" s="789"/>
      <c r="V376" s="635"/>
      <c r="W376" s="635"/>
      <c r="X376" s="635"/>
      <c r="Y376" s="635"/>
      <c r="Z376" s="635"/>
      <c r="AA376" s="635"/>
      <c r="AB376" s="635"/>
      <c r="AC376" s="635"/>
      <c r="AD376" s="635"/>
      <c r="AE376" s="635"/>
      <c r="AF376" s="635"/>
      <c r="AG376" s="635"/>
      <c r="AH376" s="635"/>
      <c r="AI376" s="635"/>
      <c r="AJ376" s="635"/>
      <c r="AK376" s="635"/>
      <c r="AL376" s="635"/>
      <c r="AM376" s="635"/>
      <c r="AN376" s="635"/>
      <c r="AO376" s="635"/>
      <c r="AP376" s="635"/>
      <c r="AQ376" s="635"/>
      <c r="AR376" s="635"/>
      <c r="AS376" s="635"/>
      <c r="AT376" s="635"/>
      <c r="AU376" s="635"/>
      <c r="AV376" s="635"/>
      <c r="AW376" s="635"/>
      <c r="AX376" s="635"/>
      <c r="AY376" s="945"/>
      <c r="AZ376" s="635"/>
      <c r="BA376" s="635"/>
      <c r="BB376" s="635"/>
      <c r="BC376" s="635"/>
      <c r="BD376" s="635"/>
      <c r="BE376" s="635"/>
      <c r="BF376" s="635"/>
      <c r="BG376" s="635"/>
      <c r="BH376" s="635"/>
      <c r="BI376" s="635"/>
      <c r="BJ376" s="635"/>
      <c r="BK376" s="635"/>
      <c r="BL376" s="635"/>
      <c r="BM376" s="635"/>
      <c r="BN376" s="635"/>
      <c r="BO376" s="635"/>
      <c r="BP376" s="635"/>
      <c r="BQ376" s="635"/>
      <c r="BR376" s="635"/>
      <c r="BS376" s="635"/>
      <c r="BT376" s="635"/>
      <c r="BU376" s="635"/>
      <c r="BV376" s="635"/>
      <c r="BW376" s="635"/>
      <c r="BX376" s="635"/>
      <c r="BY376" s="635"/>
      <c r="BZ376" s="635"/>
      <c r="CA376" s="635"/>
      <c r="CB376" s="635"/>
      <c r="CC376" s="635"/>
    </row>
    <row r="377" spans="2:81">
      <c r="B377" s="764" t="s">
        <v>1792</v>
      </c>
      <c r="C377" s="343"/>
      <c r="D377" s="741"/>
      <c r="E377" s="631"/>
      <c r="F377" s="1200"/>
      <c r="G377" s="1200"/>
      <c r="H377" s="1200"/>
      <c r="I377" s="1200"/>
      <c r="J377" s="630"/>
      <c r="K377" s="630"/>
      <c r="L377" s="1621">
        <f>L371/L375</f>
        <v>0.85237201670644402</v>
      </c>
      <c r="M377" s="1621">
        <f>M371/M375</f>
        <v>0.86509807139926143</v>
      </c>
      <c r="N377" s="1621">
        <f>N371/N375</f>
        <v>0.73209708250347039</v>
      </c>
      <c r="O377" s="1621">
        <f t="shared" ref="O377:P377" si="299">O371/O375</f>
        <v>0.62172828881738407</v>
      </c>
      <c r="P377" s="1621">
        <f t="shared" si="299"/>
        <v>0.6730906528572832</v>
      </c>
      <c r="Q377" s="630"/>
      <c r="R377" s="630"/>
      <c r="S377" s="630"/>
      <c r="T377" s="945"/>
      <c r="U377" s="789"/>
      <c r="V377" s="635"/>
      <c r="W377" s="635"/>
      <c r="X377" s="635"/>
      <c r="Y377" s="635"/>
      <c r="Z377" s="635"/>
      <c r="AA377" s="635"/>
      <c r="AB377" s="635"/>
      <c r="AC377" s="635"/>
      <c r="AD377" s="635"/>
      <c r="AE377" s="635"/>
      <c r="AF377" s="635"/>
      <c r="AG377" s="635"/>
      <c r="AH377" s="635"/>
      <c r="AI377" s="635"/>
      <c r="AJ377" s="635"/>
      <c r="AK377" s="635"/>
      <c r="AL377" s="635"/>
      <c r="AM377" s="635"/>
      <c r="AN377" s="635"/>
      <c r="AO377" s="635"/>
      <c r="AP377" s="635"/>
      <c r="AQ377" s="635"/>
      <c r="AR377" s="635"/>
      <c r="AS377" s="635"/>
      <c r="AT377" s="635"/>
      <c r="AU377" s="635"/>
      <c r="AV377" s="635"/>
      <c r="AW377" s="635"/>
      <c r="AX377" s="635"/>
      <c r="AY377" s="945"/>
      <c r="AZ377" s="635"/>
      <c r="BA377" s="635"/>
      <c r="BB377" s="635"/>
      <c r="BC377" s="635"/>
      <c r="BD377" s="635"/>
      <c r="BE377" s="635"/>
      <c r="BF377" s="635"/>
      <c r="BG377" s="635"/>
      <c r="BH377" s="635"/>
      <c r="BI377" s="635"/>
      <c r="BJ377" s="635"/>
      <c r="BK377" s="635"/>
      <c r="BL377" s="635"/>
      <c r="BM377" s="635"/>
      <c r="BN377" s="635"/>
      <c r="BO377" s="635"/>
      <c r="BP377" s="635"/>
      <c r="BQ377" s="635"/>
      <c r="BR377" s="635"/>
      <c r="BS377" s="635"/>
      <c r="BT377" s="635"/>
      <c r="BU377" s="635"/>
      <c r="BV377" s="635"/>
      <c r="BW377" s="635"/>
      <c r="BX377" s="635"/>
      <c r="BY377" s="635"/>
      <c r="BZ377" s="635"/>
      <c r="CA377" s="635"/>
      <c r="CB377" s="635"/>
      <c r="CC377" s="635"/>
    </row>
    <row r="378" spans="2:81">
      <c r="B378" s="764"/>
      <c r="C378" s="343"/>
      <c r="D378" s="741"/>
      <c r="E378" s="631"/>
      <c r="F378" s="1200"/>
      <c r="G378" s="1200"/>
      <c r="H378" s="1200"/>
      <c r="I378" s="1200"/>
      <c r="J378" s="630"/>
      <c r="K378" s="630"/>
      <c r="L378" s="630"/>
      <c r="M378" s="1621"/>
      <c r="N378" s="2121"/>
      <c r="O378" s="1621"/>
      <c r="P378" s="1621"/>
      <c r="Q378" s="630"/>
      <c r="R378" s="630"/>
      <c r="S378" s="630"/>
      <c r="T378" s="945"/>
      <c r="U378" s="789"/>
      <c r="V378" s="635"/>
      <c r="W378" s="635"/>
      <c r="X378" s="635"/>
      <c r="Y378" s="635"/>
      <c r="Z378" s="635"/>
      <c r="AA378" s="635"/>
      <c r="AB378" s="635"/>
      <c r="AC378" s="635"/>
      <c r="AD378" s="635"/>
      <c r="AE378" s="635"/>
      <c r="AF378" s="635"/>
      <c r="AG378" s="635"/>
      <c r="AH378" s="635"/>
      <c r="AI378" s="635"/>
      <c r="AJ378" s="635"/>
      <c r="AK378" s="635"/>
      <c r="AL378" s="635"/>
      <c r="AM378" s="635"/>
      <c r="AN378" s="635"/>
      <c r="AO378" s="635"/>
      <c r="AP378" s="635"/>
      <c r="AQ378" s="635"/>
      <c r="AR378" s="635"/>
      <c r="AS378" s="635"/>
      <c r="AT378" s="635"/>
      <c r="AU378" s="635"/>
      <c r="AV378" s="635"/>
      <c r="AW378" s="635"/>
      <c r="AX378" s="635"/>
      <c r="AY378" s="945"/>
      <c r="AZ378" s="635"/>
      <c r="BA378" s="635"/>
      <c r="BB378" s="635"/>
      <c r="BC378" s="635"/>
      <c r="BD378" s="635"/>
      <c r="BE378" s="635"/>
      <c r="BF378" s="635"/>
      <c r="BG378" s="635"/>
      <c r="BH378" s="635"/>
      <c r="BI378" s="635"/>
      <c r="BJ378" s="635"/>
      <c r="BK378" s="635"/>
      <c r="BL378" s="635"/>
      <c r="BM378" s="635"/>
      <c r="BN378" s="635"/>
      <c r="BO378" s="635"/>
      <c r="BP378" s="635"/>
      <c r="BQ378" s="635"/>
      <c r="BR378" s="635"/>
      <c r="BS378" s="635"/>
      <c r="BT378" s="635"/>
      <c r="BU378" s="635"/>
      <c r="BV378" s="635"/>
      <c r="BW378" s="635"/>
      <c r="BX378" s="635"/>
      <c r="BY378" s="635"/>
      <c r="BZ378" s="635"/>
      <c r="CA378" s="635"/>
      <c r="CB378" s="635"/>
      <c r="CC378" s="635"/>
    </row>
    <row r="379" spans="2:81">
      <c r="B379" s="764"/>
      <c r="C379" s="343"/>
      <c r="D379" s="741"/>
      <c r="E379" s="631"/>
      <c r="F379" s="1200"/>
      <c r="G379" s="1200"/>
      <c r="H379" s="1200"/>
      <c r="I379" s="1200"/>
      <c r="J379" s="630"/>
      <c r="K379" s="630"/>
      <c r="L379" s="1699">
        <f>SUM(L382:L387)</f>
        <v>9785.0753413499988</v>
      </c>
      <c r="M379" s="1699">
        <f>SUM(M382:M387)</f>
        <v>13369.96791684</v>
      </c>
      <c r="N379" s="2121"/>
      <c r="O379" s="1621"/>
      <c r="P379" s="1621"/>
      <c r="Q379" s="630"/>
      <c r="R379" s="630"/>
      <c r="S379" s="630"/>
      <c r="T379" s="945"/>
      <c r="U379" s="789"/>
      <c r="V379" s="635"/>
      <c r="W379" s="635"/>
      <c r="X379" s="635"/>
      <c r="Y379" s="635"/>
      <c r="Z379" s="635"/>
      <c r="AA379" s="635"/>
      <c r="AB379" s="635"/>
      <c r="AC379" s="635"/>
      <c r="AD379" s="635"/>
      <c r="AE379" s="635"/>
      <c r="AF379" s="635"/>
      <c r="AG379" s="635"/>
      <c r="AH379" s="635"/>
      <c r="AI379" s="635"/>
      <c r="AJ379" s="635"/>
      <c r="AK379" s="635"/>
      <c r="AL379" s="635"/>
      <c r="AM379" s="635"/>
      <c r="AN379" s="635"/>
      <c r="AO379" s="635"/>
      <c r="AP379" s="635"/>
      <c r="AQ379" s="635"/>
      <c r="AR379" s="635"/>
      <c r="AS379" s="635"/>
      <c r="AT379" s="635"/>
      <c r="AU379" s="635"/>
      <c r="AV379" s="635"/>
      <c r="AW379" s="635"/>
      <c r="AX379" s="635"/>
      <c r="AY379" s="945"/>
      <c r="AZ379" s="635"/>
      <c r="BA379" s="635"/>
      <c r="BB379" s="635"/>
      <c r="BC379" s="635"/>
      <c r="BD379" s="635"/>
      <c r="BE379" s="635"/>
      <c r="BF379" s="635"/>
      <c r="BG379" s="635"/>
      <c r="BH379" s="635"/>
      <c r="BI379" s="635"/>
      <c r="BJ379" s="635"/>
      <c r="BK379" s="635"/>
      <c r="BL379" s="635"/>
      <c r="BM379" s="635"/>
      <c r="BN379" s="635"/>
      <c r="BO379" s="635"/>
      <c r="BP379" s="635"/>
      <c r="BQ379" s="635"/>
      <c r="BR379" s="635"/>
      <c r="BS379" s="635"/>
      <c r="BT379" s="635"/>
      <c r="BU379" s="635"/>
      <c r="BV379" s="635"/>
      <c r="BW379" s="635"/>
      <c r="BX379" s="635"/>
      <c r="BY379" s="635"/>
      <c r="BZ379" s="635"/>
      <c r="CA379" s="635"/>
      <c r="CB379" s="635"/>
      <c r="CC379" s="635"/>
    </row>
    <row r="380" spans="2:81" s="412" customFormat="1" ht="22.5">
      <c r="B380" s="906" t="s">
        <v>936</v>
      </c>
      <c r="C380" s="906"/>
      <c r="D380" s="906" t="s">
        <v>926</v>
      </c>
      <c r="E380" s="907"/>
      <c r="F380" s="909">
        <f t="shared" ref="F380:P380" si="300">F8</f>
        <v>2017</v>
      </c>
      <c r="G380" s="909">
        <f t="shared" si="300"/>
        <v>2018</v>
      </c>
      <c r="H380" s="909">
        <f t="shared" si="300"/>
        <v>2019</v>
      </c>
      <c r="I380" s="909">
        <f t="shared" si="300"/>
        <v>2020</v>
      </c>
      <c r="J380" s="909">
        <f t="shared" si="300"/>
        <v>2021</v>
      </c>
      <c r="K380" s="908">
        <f t="shared" si="300"/>
        <v>2022</v>
      </c>
      <c r="L380" s="908">
        <f t="shared" si="300"/>
        <v>2023</v>
      </c>
      <c r="M380" s="908">
        <f t="shared" si="300"/>
        <v>2024</v>
      </c>
      <c r="N380" s="1550" t="str">
        <f t="shared" si="300"/>
        <v>2025E</v>
      </c>
      <c r="O380" s="908" t="str">
        <f t="shared" si="300"/>
        <v>2026E</v>
      </c>
      <c r="P380" s="908" t="str">
        <f t="shared" si="300"/>
        <v>2027E</v>
      </c>
      <c r="Q380" s="908"/>
      <c r="R380" s="908"/>
      <c r="S380" s="908"/>
      <c r="T380" s="908">
        <f>T8</f>
        <v>0</v>
      </c>
      <c r="U380" s="1161" t="str">
        <f>D380</f>
        <v>收入地理分布</v>
      </c>
      <c r="V380" s="936"/>
      <c r="W380" s="936"/>
      <c r="X380" s="936"/>
      <c r="Y380" s="936"/>
      <c r="Z380" s="936"/>
      <c r="AA380" s="936"/>
      <c r="AB380" s="936"/>
      <c r="AC380" s="936"/>
      <c r="AD380" s="936"/>
      <c r="AE380" s="936"/>
      <c r="AF380" s="936"/>
      <c r="AG380" s="936"/>
      <c r="AH380" s="936"/>
      <c r="AI380" s="936"/>
      <c r="AJ380" s="936"/>
      <c r="AK380" s="936"/>
      <c r="AL380" s="936"/>
      <c r="AM380" s="936"/>
      <c r="AN380" s="936"/>
      <c r="AO380" s="936"/>
      <c r="AP380" s="936"/>
      <c r="AQ380" s="936"/>
      <c r="AR380" s="936"/>
      <c r="AS380" s="936"/>
      <c r="AT380" s="936"/>
      <c r="AU380" s="936"/>
      <c r="AV380" s="936"/>
      <c r="AW380" s="936"/>
      <c r="AX380" s="936"/>
      <c r="AY380" s="953"/>
      <c r="AZ380" s="936"/>
      <c r="BA380" s="936"/>
      <c r="BB380" s="936"/>
      <c r="BC380" s="936"/>
      <c r="BD380" s="936"/>
      <c r="BE380" s="936"/>
      <c r="BF380" s="936"/>
      <c r="BG380" s="936"/>
      <c r="BH380" s="936"/>
      <c r="BI380" s="936"/>
      <c r="BJ380" s="936" t="s">
        <v>1209</v>
      </c>
      <c r="BK380" s="936" t="s">
        <v>1232</v>
      </c>
      <c r="BL380" s="936" t="s">
        <v>1229</v>
      </c>
      <c r="BM380" s="936" t="s">
        <v>1276</v>
      </c>
      <c r="BN380" s="936" t="s">
        <v>1273</v>
      </c>
      <c r="BO380" s="936" t="s">
        <v>1277</v>
      </c>
      <c r="BP380" s="936" t="s">
        <v>1278</v>
      </c>
      <c r="BQ380" s="936" t="s">
        <v>1279</v>
      </c>
      <c r="BR380" s="936" t="s">
        <v>1275</v>
      </c>
      <c r="BS380" s="936" t="str">
        <f>BS8</f>
        <v>2Q24</v>
      </c>
      <c r="BT380" s="936" t="s">
        <v>1549</v>
      </c>
      <c r="BU380" s="936" t="s">
        <v>1280</v>
      </c>
      <c r="BV380" s="936"/>
      <c r="BW380" s="936"/>
      <c r="BX380" s="936"/>
      <c r="BY380" s="936"/>
      <c r="BZ380" s="936"/>
      <c r="CA380" s="936"/>
      <c r="CB380" s="936"/>
      <c r="CC380" s="936"/>
    </row>
    <row r="381" spans="2:81" s="37" customFormat="1" ht="11.25" customHeight="1">
      <c r="B381" s="1167" t="s">
        <v>1256</v>
      </c>
      <c r="C381" s="1168" t="s">
        <v>1235</v>
      </c>
      <c r="D381" s="351" t="s">
        <v>1255</v>
      </c>
      <c r="E381" s="313"/>
      <c r="F381" s="400">
        <f>SUM(F382:F389)</f>
        <v>2844.9492000000005</v>
      </c>
      <c r="G381" s="400">
        <f>SUM(G382:G389)</f>
        <v>3021.1780000000003</v>
      </c>
      <c r="H381" s="400">
        <f>SUM(H382:H389)</f>
        <v>4191.8072000000002</v>
      </c>
      <c r="I381" s="400">
        <f>SUM(I382:I389)</f>
        <v>4935.6631999999991</v>
      </c>
      <c r="J381" s="400">
        <f>SUM(J382:J390)</f>
        <v>6963.8474401100002</v>
      </c>
      <c r="K381" s="400">
        <f>SUM(K382:K390)</f>
        <v>8492.34246231</v>
      </c>
      <c r="L381" s="400">
        <f>SUM(L382:L390)</f>
        <v>11250.484220709999</v>
      </c>
      <c r="M381" s="400">
        <f>SUM(M382:M390)</f>
        <v>15821.76414168</v>
      </c>
      <c r="N381" s="1518">
        <f>SUM(N11:N12)</f>
        <v>20968.190602006627</v>
      </c>
      <c r="O381" s="350">
        <f>SUM(O11:O12)</f>
        <v>25370.582197057833</v>
      </c>
      <c r="P381" s="350">
        <f>SUM(P11:P12)</f>
        <v>29746.28070812632</v>
      </c>
      <c r="Q381" s="1202"/>
      <c r="R381" s="1202"/>
      <c r="S381" s="1202"/>
      <c r="T381" s="944"/>
      <c r="U381" s="760" t="s">
        <v>1236</v>
      </c>
      <c r="V381" s="1174">
        <v>2459.2145999999998</v>
      </c>
      <c r="W381" s="1169">
        <f>+I381-V381</f>
        <v>2476.4485999999993</v>
      </c>
      <c r="X381" s="1174">
        <v>3672.4856</v>
      </c>
      <c r="Y381" s="1169">
        <f>+J381-X381</f>
        <v>3291.3618401100002</v>
      </c>
      <c r="Z381" s="1174">
        <v>4284.2615999999998</v>
      </c>
      <c r="AA381" s="868">
        <f>K381-Z381</f>
        <v>4208.0808623100002</v>
      </c>
      <c r="AB381" s="1174">
        <v>5454.9732999999997</v>
      </c>
      <c r="AC381" s="868">
        <f>L381-AB381</f>
        <v>5795.5109207099995</v>
      </c>
      <c r="AD381" s="1771">
        <f>Quarterly!U216+Quarterly!T216</f>
        <v>7861.6412</v>
      </c>
      <c r="AE381" s="868">
        <f>M381-AD381</f>
        <v>7960.1229416799997</v>
      </c>
      <c r="AF381" s="868"/>
      <c r="AG381" s="868"/>
      <c r="AH381" s="868"/>
      <c r="AI381" s="868"/>
      <c r="AJ381" s="868"/>
      <c r="AK381" s="868"/>
      <c r="AL381" s="868"/>
      <c r="AM381" s="868"/>
      <c r="AN381" s="868"/>
      <c r="AO381" s="868"/>
      <c r="AP381" s="868"/>
      <c r="AQ381" s="868"/>
      <c r="AR381" s="868"/>
      <c r="AS381" s="868"/>
      <c r="AT381" s="868"/>
      <c r="AU381" s="868"/>
      <c r="AV381" s="868"/>
      <c r="AW381" s="868"/>
      <c r="AX381" s="868"/>
      <c r="AY381" s="944"/>
      <c r="AZ381" s="37" t="s">
        <v>1237</v>
      </c>
      <c r="BF381" s="1170">
        <v>1706.6868999999999</v>
      </c>
      <c r="BG381" s="1172">
        <f>X381-BF381</f>
        <v>1965.7987000000001</v>
      </c>
      <c r="BH381" s="1176">
        <f>5549.2186-SUM(BF381:BG381)</f>
        <v>1876.7330000000002</v>
      </c>
      <c r="BI381" s="1172">
        <f>Y381-BH381</f>
        <v>1414.6288401100001</v>
      </c>
      <c r="BJ381" s="1170">
        <v>1999.2272</v>
      </c>
      <c r="BK381" s="1172">
        <f>Z381-BJ381</f>
        <v>2285.0343999999996</v>
      </c>
      <c r="BL381" s="1176">
        <f>6633.008-Z381</f>
        <v>2348.7464</v>
      </c>
      <c r="BM381" s="1172">
        <f>Z381-BL381</f>
        <v>1935.5151999999998</v>
      </c>
      <c r="BN381" s="1299">
        <f t="shared" ref="BN381:BU381" si="301">SUM(BN11:BN12)</f>
        <v>2488.7453999999998</v>
      </c>
      <c r="BO381" s="1299">
        <f t="shared" si="301"/>
        <v>2966.2279000000008</v>
      </c>
      <c r="BP381" s="1299">
        <f t="shared" si="301"/>
        <v>3178.7699999999995</v>
      </c>
      <c r="BQ381" s="1299">
        <f t="shared" si="301"/>
        <v>2616.7409078599999</v>
      </c>
      <c r="BR381" s="1299">
        <f t="shared" si="301"/>
        <v>3477.5861999999997</v>
      </c>
      <c r="BS381" s="1299">
        <f t="shared" si="301"/>
        <v>4384.0550000000003</v>
      </c>
      <c r="BT381" s="1299">
        <f t="shared" si="301"/>
        <v>4683.7499999999991</v>
      </c>
      <c r="BU381" s="1299">
        <f t="shared" si="301"/>
        <v>3276.3729416300002</v>
      </c>
      <c r="BV381" s="1299"/>
      <c r="BW381" s="1299"/>
      <c r="BX381" s="1299"/>
      <c r="BY381" s="1299"/>
      <c r="BZ381" s="1299"/>
      <c r="CA381" s="1299"/>
      <c r="CB381" s="1299"/>
      <c r="CC381" s="1299"/>
    </row>
    <row r="382" spans="2:81" ht="11.25" customHeight="1">
      <c r="B382" s="758" t="s">
        <v>1144</v>
      </c>
      <c r="C382" s="343"/>
      <c r="D382" s="310" t="s">
        <v>1143</v>
      </c>
      <c r="E382" s="313"/>
      <c r="F382" s="348">
        <v>1897.8136</v>
      </c>
      <c r="G382" s="348">
        <f>184583.28/100</f>
        <v>1845.8327999999999</v>
      </c>
      <c r="H382" s="348">
        <f>251994.28/100</f>
        <v>2519.9427999999998</v>
      </c>
      <c r="I382" s="348">
        <f>275118.79/100</f>
        <v>2751.1878999999999</v>
      </c>
      <c r="J382" s="348">
        <v>3199.0690237399999</v>
      </c>
      <c r="K382" s="348">
        <v>3354</v>
      </c>
      <c r="L382" s="348">
        <v>3760.9541340000001</v>
      </c>
      <c r="M382" s="1923">
        <f>4359951441.58*(10^(-6))</f>
        <v>4359.9514415799995</v>
      </c>
      <c r="N382" s="1526">
        <f>N313*N315/1000</f>
        <v>4847.4135809656927</v>
      </c>
      <c r="O382" s="512">
        <f>O313*O315/1000</f>
        <v>5091.7232254463652</v>
      </c>
      <c r="P382" s="512">
        <f>P313*P315/1000</f>
        <v>5348.3460760088619</v>
      </c>
      <c r="Q382" s="630"/>
      <c r="R382" s="630"/>
      <c r="S382" s="630"/>
      <c r="U382" s="39" t="s">
        <v>1143</v>
      </c>
      <c r="V382" s="1159">
        <f>118640.05/100</f>
        <v>1186.4005</v>
      </c>
      <c r="W382" s="303">
        <f>+I382-V382</f>
        <v>1564.7873999999999</v>
      </c>
      <c r="X382" s="1159">
        <v>1654.635</v>
      </c>
      <c r="Y382" s="303">
        <f>+J382-X382</f>
        <v>1544.4340237399999</v>
      </c>
      <c r="Z382" s="1159">
        <v>1647.8796</v>
      </c>
      <c r="AA382" s="1298">
        <f>K382-Z382</f>
        <v>1706.1204</v>
      </c>
      <c r="AB382" s="1159">
        <v>1879.337</v>
      </c>
      <c r="AC382" s="303">
        <f>L382-AB382</f>
        <v>1881.6171340000001</v>
      </c>
      <c r="AD382" s="1771">
        <f>Quarterly!U217+Quarterly!T217</f>
        <v>2110.7662999999998</v>
      </c>
      <c r="AE382" s="303">
        <f>M382-AD382</f>
        <v>2249.1851415799997</v>
      </c>
      <c r="AF382" s="303"/>
      <c r="AG382" s="303"/>
      <c r="AH382" s="303"/>
      <c r="AI382" s="303"/>
      <c r="AJ382" s="303"/>
      <c r="AK382" s="303"/>
      <c r="AL382" s="303"/>
      <c r="AM382" s="303"/>
      <c r="AN382" s="303"/>
      <c r="AO382" s="303"/>
      <c r="AP382" s="303"/>
      <c r="AQ382" s="303"/>
      <c r="AR382" s="303"/>
      <c r="AS382" s="303"/>
      <c r="AT382" s="303"/>
      <c r="AU382" s="303"/>
      <c r="AV382" s="303"/>
      <c r="AW382" s="303"/>
      <c r="AX382" s="303"/>
      <c r="AZ382" s="36" t="s">
        <v>1144</v>
      </c>
      <c r="BF382" s="1170">
        <v>733.06989999999996</v>
      </c>
      <c r="BG382" s="1171">
        <f>X382-BF382</f>
        <v>921.56510000000003</v>
      </c>
      <c r="BH382" s="1170">
        <f>2554.9987-SUM(BF382:BG382)</f>
        <v>900.36370000000011</v>
      </c>
      <c r="BI382" s="1171">
        <f>Y382-BH382</f>
        <v>644.07032373999982</v>
      </c>
      <c r="BJ382" s="1170">
        <v>784.86919999999998</v>
      </c>
      <c r="BK382" s="1171">
        <f>Z382-BJ382</f>
        <v>863.0104</v>
      </c>
      <c r="BL382" s="1170">
        <f>2672.1301-BJ382-BK382</f>
        <v>1024.2504999999996</v>
      </c>
      <c r="BM382" s="1171">
        <f>AA382-BL382</f>
        <v>681.86990000000037</v>
      </c>
      <c r="BN382" s="1170">
        <v>841.77459999999996</v>
      </c>
      <c r="BO382" s="1171">
        <f>AB382-BN382</f>
        <v>1037.5624</v>
      </c>
      <c r="BP382" s="382">
        <f>2939.4063-BO382-BN382</f>
        <v>1060.0693000000001</v>
      </c>
      <c r="BQ382" s="1173">
        <f>AC382-BP382</f>
        <v>821.54783399999997</v>
      </c>
      <c r="BR382" s="1170">
        <v>921.29089999999997</v>
      </c>
      <c r="BS382" s="1449">
        <f>Quarterly!U101</f>
        <v>1185.2956999999997</v>
      </c>
      <c r="BT382" s="1449">
        <f>Quarterly!V101</f>
        <v>1311.9308000000001</v>
      </c>
      <c r="BU382" s="1449">
        <f>AE382-BT382</f>
        <v>937.25434157999962</v>
      </c>
      <c r="BV382" s="1449"/>
      <c r="BW382" s="1449"/>
      <c r="BX382" s="1449"/>
      <c r="BY382" s="1449"/>
      <c r="BZ382" s="1449"/>
      <c r="CA382" s="1449"/>
      <c r="CB382" s="1449"/>
      <c r="CC382" s="1449"/>
    </row>
    <row r="383" spans="2:81">
      <c r="B383" s="758" t="s">
        <v>1157</v>
      </c>
      <c r="C383" s="343"/>
      <c r="D383" s="310" t="s">
        <v>1145</v>
      </c>
      <c r="E383" s="313"/>
      <c r="F383" s="348">
        <v>221.6969</v>
      </c>
      <c r="G383" s="348">
        <f>28536.35/100</f>
        <v>285.36349999999999</v>
      </c>
      <c r="H383" s="348">
        <f>46318.8/100</f>
        <v>463.18800000000005</v>
      </c>
      <c r="I383" s="348">
        <f>55830.5/100</f>
        <v>558.30499999999995</v>
      </c>
      <c r="J383" s="348">
        <v>753.13380594</v>
      </c>
      <c r="K383" s="348">
        <v>1054</v>
      </c>
      <c r="L383" s="348">
        <v>1400.1035118499999</v>
      </c>
      <c r="M383" s="1923">
        <f>2074558964.26*(10^(-6))</f>
        <v>2074.5589642599998</v>
      </c>
      <c r="N383" s="1642">
        <f t="shared" ref="N383:P386" si="302">M383*(1+N394)</f>
        <v>2593.1987053249995</v>
      </c>
      <c r="O383" s="1132">
        <f t="shared" si="302"/>
        <v>3111.8384463899993</v>
      </c>
      <c r="P383" s="1132">
        <f t="shared" si="302"/>
        <v>3640.850982276299</v>
      </c>
      <c r="Q383" s="630"/>
      <c r="R383" s="630"/>
      <c r="S383" s="630"/>
      <c r="U383" s="39" t="s">
        <v>1145</v>
      </c>
      <c r="V383" s="1175">
        <v>1028.1894</v>
      </c>
      <c r="W383" s="303"/>
      <c r="X383" s="1159">
        <v>432.5532</v>
      </c>
      <c r="Y383" s="303">
        <f>+J383-X383</f>
        <v>320.58060594</v>
      </c>
      <c r="Z383" s="1159">
        <v>549.97180000000003</v>
      </c>
      <c r="AA383" s="1298">
        <f>K383-Z383</f>
        <v>504.02819999999997</v>
      </c>
      <c r="AB383" s="1159">
        <v>703.83519999999999</v>
      </c>
      <c r="AC383" s="303">
        <f>L383-AB383</f>
        <v>696.26831184999992</v>
      </c>
      <c r="AD383" s="1771">
        <f>Quarterly!U218+Quarterly!T218</f>
        <v>1067.8308</v>
      </c>
      <c r="AE383" s="303">
        <f>M383-AD383</f>
        <v>1006.7281642599999</v>
      </c>
      <c r="AF383" s="303"/>
      <c r="AG383" s="303"/>
      <c r="AH383" s="303"/>
      <c r="AI383" s="303"/>
      <c r="AJ383" s="303"/>
      <c r="AK383" s="303"/>
      <c r="AL383" s="303"/>
      <c r="AM383" s="303"/>
      <c r="AN383" s="303"/>
      <c r="AO383" s="303"/>
      <c r="AP383" s="303"/>
      <c r="AQ383" s="303"/>
      <c r="AR383" s="303"/>
      <c r="AS383" s="303"/>
      <c r="AT383" s="303"/>
      <c r="AU383" s="303"/>
      <c r="AV383" s="303"/>
      <c r="AW383" s="303"/>
      <c r="AX383" s="303"/>
      <c r="AZ383" s="36" t="s">
        <v>1238</v>
      </c>
      <c r="BF383" s="1170">
        <v>824.43520000000001</v>
      </c>
      <c r="BG383" s="1171">
        <f>BG381-BG382-BG390</f>
        <v>869.154</v>
      </c>
      <c r="BH383" s="1170">
        <f>2400.0548-SUM(BF383:BG383)</f>
        <v>706.46559999999999</v>
      </c>
      <c r="BI383" s="1171">
        <f>BI381-BI382-BI390</f>
        <v>708.43171498000027</v>
      </c>
      <c r="BJ383" s="1170">
        <v>1035.5091</v>
      </c>
      <c r="BK383" s="1171">
        <f>BK381-BK382-BK390</f>
        <v>1254.3103999999994</v>
      </c>
      <c r="BL383" s="1170">
        <f>BL381-BL382-BL390</f>
        <v>1100.4478000000004</v>
      </c>
      <c r="BM383" s="1171">
        <f>BM381-BM382-BM390</f>
        <v>1089.0115961999993</v>
      </c>
      <c r="BN383" s="1170">
        <v>1417.1542999999999</v>
      </c>
      <c r="BO383" s="1171">
        <f>BO381-BO382-BO390</f>
        <v>1670.5310000000009</v>
      </c>
      <c r="BP383" s="1173">
        <f>BP381-BP382-BP390</f>
        <v>1791.3267999999994</v>
      </c>
      <c r="BQ383" s="1173">
        <f>BQ381-BQ390-BQ382</f>
        <v>1350.4170138599998</v>
      </c>
      <c r="BR383" s="1170">
        <v>2142.9149000000002</v>
      </c>
      <c r="BS383" s="1449">
        <f>Quarterly!U102</f>
        <v>2552.9596999999999</v>
      </c>
      <c r="BT383" s="1449">
        <f>Quarterly!V102</f>
        <v>2636.6423999999997</v>
      </c>
      <c r="BU383" s="1173">
        <f>BU381-BU390-BU382</f>
        <v>1937.7050691100007</v>
      </c>
      <c r="BV383" s="1173"/>
      <c r="BW383" s="1173"/>
      <c r="BX383" s="1173"/>
      <c r="BY383" s="1173"/>
      <c r="BZ383" s="1173"/>
      <c r="CA383" s="1173"/>
      <c r="CB383" s="1173"/>
      <c r="CC383" s="1173"/>
    </row>
    <row r="384" spans="2:81">
      <c r="B384" s="758" t="s">
        <v>1152</v>
      </c>
      <c r="C384" s="343"/>
      <c r="D384" s="310" t="s">
        <v>1146</v>
      </c>
      <c r="E384" s="309"/>
      <c r="F384" s="348">
        <v>300.31240000000003</v>
      </c>
      <c r="G384" s="348">
        <f>32889.04/100</f>
        <v>328.8904</v>
      </c>
      <c r="H384" s="348">
        <f>41367.14/100</f>
        <v>413.67140000000001</v>
      </c>
      <c r="I384" s="348">
        <f>52073.83/100</f>
        <v>520.73829999999998</v>
      </c>
      <c r="J384" s="348">
        <v>705.65474259999996</v>
      </c>
      <c r="K384" s="348">
        <v>895</v>
      </c>
      <c r="L384" s="348">
        <v>982.83279700000003</v>
      </c>
      <c r="M384" s="1923">
        <f>1153909637.94*(10^(-6))</f>
        <v>1153.90963794</v>
      </c>
      <c r="N384" s="1642">
        <f t="shared" si="302"/>
        <v>1384.691565528</v>
      </c>
      <c r="O384" s="1132">
        <f t="shared" si="302"/>
        <v>1495.4668907702401</v>
      </c>
      <c r="P384" s="1132">
        <f t="shared" si="302"/>
        <v>1615.1042420318595</v>
      </c>
      <c r="Q384" s="630"/>
      <c r="R384" s="630"/>
      <c r="S384" s="630"/>
      <c r="U384" s="39" t="s">
        <v>1146</v>
      </c>
      <c r="V384" s="1159"/>
      <c r="W384" s="303"/>
      <c r="X384" s="1159">
        <v>421.97340000000003</v>
      </c>
      <c r="Y384" s="303">
        <f>+J384-X384</f>
        <v>283.68134259999994</v>
      </c>
      <c r="Z384" s="1159">
        <v>479.84519999999998</v>
      </c>
      <c r="AA384" s="1298">
        <f>K384-Z384</f>
        <v>415.15480000000002</v>
      </c>
      <c r="AB384" s="1159">
        <v>513.31460000000004</v>
      </c>
      <c r="AC384" s="303">
        <f>L384-AB384</f>
        <v>469.51819699999999</v>
      </c>
      <c r="AD384" s="1771">
        <f>Quarterly!U219+Quarterly!T219</f>
        <v>562.08879999999999</v>
      </c>
      <c r="AE384" s="303">
        <f>M384-AD384</f>
        <v>591.82083794000005</v>
      </c>
      <c r="AF384" s="303"/>
      <c r="AG384" s="303"/>
      <c r="AH384" s="303"/>
      <c r="AI384" s="303"/>
      <c r="AJ384" s="303"/>
      <c r="AK384" s="303"/>
      <c r="AL384" s="303"/>
      <c r="AM384" s="303"/>
      <c r="AN384" s="303"/>
      <c r="AO384" s="303"/>
      <c r="AP384" s="303"/>
      <c r="AQ384" s="303"/>
      <c r="AR384" s="303"/>
      <c r="AS384" s="303"/>
      <c r="AT384" s="303"/>
      <c r="AU384" s="303"/>
      <c r="AV384" s="303"/>
      <c r="AW384" s="303"/>
      <c r="AX384" s="303"/>
      <c r="BF384" s="1170"/>
      <c r="BH384" s="1170"/>
      <c r="BJ384" s="1170"/>
      <c r="BL384" s="1170"/>
      <c r="BO384" s="1171"/>
      <c r="BQ384" s="1173"/>
    </row>
    <row r="385" spans="2:81">
      <c r="B385" s="758" t="s">
        <v>1156</v>
      </c>
      <c r="C385" s="343"/>
      <c r="D385" s="310" t="s">
        <v>1147</v>
      </c>
      <c r="E385" s="309"/>
      <c r="F385" s="348">
        <v>213.0797</v>
      </c>
      <c r="G385" s="348">
        <f>26633.82/100</f>
        <v>266.33819999999997</v>
      </c>
      <c r="H385" s="348">
        <f>39410.6/100</f>
        <v>394.10599999999999</v>
      </c>
      <c r="I385" s="348">
        <f>49922.91/100</f>
        <v>499.22910000000002</v>
      </c>
      <c r="J385" s="348">
        <v>771.66290557000002</v>
      </c>
      <c r="K385" s="348">
        <v>1022</v>
      </c>
      <c r="L385" s="348">
        <v>1516.3173220000001</v>
      </c>
      <c r="M385" s="1923">
        <f>2200585324.63*(10^(-6))</f>
        <v>2200.5853246299998</v>
      </c>
      <c r="N385" s="1642">
        <f t="shared" si="302"/>
        <v>2970.7901882504998</v>
      </c>
      <c r="O385" s="1132">
        <f t="shared" si="302"/>
        <v>3772.9035390781346</v>
      </c>
      <c r="P385" s="1132">
        <f t="shared" si="302"/>
        <v>4716.1294238476685</v>
      </c>
      <c r="Q385" s="630"/>
      <c r="R385" s="630"/>
      <c r="S385" s="630"/>
      <c r="U385" s="39" t="s">
        <v>1147</v>
      </c>
      <c r="V385" s="1159"/>
      <c r="W385" s="303"/>
      <c r="X385" s="1159">
        <v>385.77409999999998</v>
      </c>
      <c r="Y385" s="303">
        <f>+J385-X385</f>
        <v>385.88880557000005</v>
      </c>
      <c r="Z385" s="1159">
        <v>564.71529999999996</v>
      </c>
      <c r="AA385" s="1298">
        <f>K385-Z385</f>
        <v>457.28470000000004</v>
      </c>
      <c r="AB385" s="1159">
        <v>754.07180000000005</v>
      </c>
      <c r="AC385" s="303">
        <f>L385-AB385</f>
        <v>762.24552200000005</v>
      </c>
      <c r="AD385" s="1771">
        <f>Quarterly!U220+Quarterly!T220</f>
        <v>1158.2482</v>
      </c>
      <c r="AE385" s="303">
        <f>M385-AD385</f>
        <v>1042.3371246299998</v>
      </c>
      <c r="AF385" s="303"/>
      <c r="AG385" s="303"/>
      <c r="AH385" s="303"/>
      <c r="AI385" s="303"/>
      <c r="AJ385" s="303"/>
      <c r="AK385" s="303"/>
      <c r="AL385" s="303"/>
      <c r="AM385" s="303"/>
      <c r="AN385" s="303"/>
      <c r="AO385" s="303"/>
      <c r="AP385" s="303"/>
      <c r="AQ385" s="303"/>
      <c r="AR385" s="303"/>
      <c r="AS385" s="303"/>
      <c r="AT385" s="303"/>
      <c r="AU385" s="303"/>
      <c r="AV385" s="303"/>
      <c r="AW385" s="303"/>
      <c r="AX385" s="303"/>
      <c r="BF385" s="1170"/>
      <c r="BH385" s="1170"/>
      <c r="BJ385" s="1170"/>
      <c r="BL385" s="1170"/>
      <c r="BO385" s="1171"/>
      <c r="BQ385" s="1173"/>
    </row>
    <row r="386" spans="2:81">
      <c r="B386" s="758" t="s">
        <v>1153</v>
      </c>
      <c r="C386" s="343"/>
      <c r="D386" s="310" t="s">
        <v>1148</v>
      </c>
      <c r="E386" s="309"/>
      <c r="F386" s="348">
        <v>99.4816</v>
      </c>
      <c r="G386" s="348">
        <f>10835.78/100</f>
        <v>108.35780000000001</v>
      </c>
      <c r="H386" s="348">
        <f>19134.93/100</f>
        <v>191.3493</v>
      </c>
      <c r="I386" s="348">
        <f>29420.33/100</f>
        <v>294.20330000000001</v>
      </c>
      <c r="J386" s="348">
        <v>431.73761000000002</v>
      </c>
      <c r="K386" s="348">
        <v>677</v>
      </c>
      <c r="L386" s="348">
        <v>1115.2160455000001</v>
      </c>
      <c r="M386" s="1923">
        <f>1724724946.75*(10^(-6))</f>
        <v>1724.7249467499998</v>
      </c>
      <c r="N386" s="1642">
        <f t="shared" si="302"/>
        <v>2500.8511727874998</v>
      </c>
      <c r="O386" s="1132">
        <f t="shared" si="302"/>
        <v>3226.0980128958749</v>
      </c>
      <c r="P386" s="1132">
        <f t="shared" si="302"/>
        <v>3968.1005558619263</v>
      </c>
      <c r="Q386" s="630"/>
      <c r="R386" s="630"/>
      <c r="S386" s="630"/>
      <c r="U386" s="39" t="s">
        <v>1148</v>
      </c>
      <c r="V386" s="1159"/>
      <c r="W386" s="303"/>
      <c r="X386" s="1159">
        <v>226.56450000000001</v>
      </c>
      <c r="Y386" s="303">
        <f>+J386-X386</f>
        <v>205.17311000000001</v>
      </c>
      <c r="Z386" s="1159">
        <v>328.66269999999997</v>
      </c>
      <c r="AA386" s="1298">
        <f>K386-Z386</f>
        <v>348.33730000000003</v>
      </c>
      <c r="AB386" s="1159">
        <v>524.90989999999999</v>
      </c>
      <c r="AC386" s="303">
        <f>L386-AB386</f>
        <v>590.30614550000007</v>
      </c>
      <c r="AD386" s="1771">
        <f>Quarterly!U221+Quarterly!T221</f>
        <v>917.44730000000004</v>
      </c>
      <c r="AE386" s="303">
        <f>M386-AD386</f>
        <v>807.2776467499998</v>
      </c>
      <c r="AF386" s="303"/>
      <c r="AG386" s="303"/>
      <c r="AH386" s="303"/>
      <c r="AI386" s="303"/>
      <c r="AJ386" s="303"/>
      <c r="AK386" s="303"/>
      <c r="AL386" s="303"/>
      <c r="AM386" s="303"/>
      <c r="AN386" s="303"/>
      <c r="AO386" s="303"/>
      <c r="AP386" s="303"/>
      <c r="AQ386" s="303"/>
      <c r="AR386" s="303"/>
      <c r="AS386" s="303"/>
      <c r="AT386" s="303"/>
      <c r="AU386" s="303"/>
      <c r="AV386" s="303"/>
      <c r="AW386" s="303"/>
      <c r="AX386" s="303"/>
      <c r="BF386" s="1170"/>
      <c r="BH386" s="1170"/>
      <c r="BJ386" s="1170"/>
      <c r="BL386" s="1170"/>
      <c r="BO386" s="1171"/>
      <c r="BQ386" s="1173"/>
    </row>
    <row r="387" spans="2:81">
      <c r="B387" s="758" t="s">
        <v>1154</v>
      </c>
      <c r="C387" s="343"/>
      <c r="D387" s="310" t="s">
        <v>1149</v>
      </c>
      <c r="E387" s="309"/>
      <c r="F387" s="348">
        <v>75.745999999999995</v>
      </c>
      <c r="G387" s="348">
        <f>11635.62/100</f>
        <v>116.3562</v>
      </c>
      <c r="H387" s="348">
        <f>14438.68/100</f>
        <v>144.38679999999999</v>
      </c>
      <c r="I387" s="348">
        <f>21313.61/100</f>
        <v>213.1361</v>
      </c>
      <c r="J387" s="348">
        <v>339.46167019000001</v>
      </c>
      <c r="K387" s="348">
        <v>613</v>
      </c>
      <c r="L387" s="348">
        <v>1009.651531</v>
      </c>
      <c r="M387" s="1923">
        <f>1856237601.68*(10^(-6))</f>
        <v>1856.2376016799999</v>
      </c>
      <c r="N387" s="1642">
        <f t="shared" ref="N387:O389" si="303">M387*(1+N398)</f>
        <v>3155.6039228559998</v>
      </c>
      <c r="O387" s="1132">
        <f t="shared" si="303"/>
        <v>4102.2850997127998</v>
      </c>
      <c r="P387" s="1132">
        <f>O387*(1+P398)</f>
        <v>4922.7421196553596</v>
      </c>
      <c r="Q387" s="630"/>
      <c r="R387" s="630"/>
      <c r="S387" s="630"/>
      <c r="U387" s="39" t="s">
        <v>1149</v>
      </c>
      <c r="V387" s="1159"/>
      <c r="W387" s="303"/>
      <c r="X387" s="1159">
        <v>180.85480000000001</v>
      </c>
      <c r="Y387" s="303">
        <f>+J387-X387</f>
        <v>158.60687019</v>
      </c>
      <c r="Z387" s="1159">
        <v>295.14729999999997</v>
      </c>
      <c r="AA387" s="1298">
        <f>K387-Z387</f>
        <v>317.85270000000003</v>
      </c>
      <c r="AB387" s="1159">
        <v>495.57209999999998</v>
      </c>
      <c r="AC387" s="303">
        <f>L387-AB387</f>
        <v>514.079431</v>
      </c>
      <c r="AD387" s="1771">
        <f>Quarterly!U222+Quarterly!T222</f>
        <v>986.8143</v>
      </c>
      <c r="AE387" s="303">
        <f>M387-AD387</f>
        <v>869.42330167999989</v>
      </c>
      <c r="AF387" s="303"/>
      <c r="AG387" s="303"/>
      <c r="AH387" s="303"/>
      <c r="AI387" s="303"/>
      <c r="AJ387" s="303"/>
      <c r="AK387" s="303"/>
      <c r="AL387" s="303"/>
      <c r="AM387" s="303"/>
      <c r="AN387" s="303"/>
      <c r="AO387" s="303"/>
      <c r="AP387" s="303"/>
      <c r="AQ387" s="303"/>
      <c r="AR387" s="303"/>
      <c r="AS387" s="303"/>
      <c r="AT387" s="303"/>
      <c r="AU387" s="303"/>
      <c r="AV387" s="303"/>
      <c r="AW387" s="303"/>
      <c r="AX387" s="303"/>
      <c r="BF387" s="1170"/>
      <c r="BH387" s="1170"/>
      <c r="BJ387" s="1170"/>
      <c r="BL387" s="1170"/>
      <c r="BO387" s="1171"/>
      <c r="BQ387" s="1173"/>
    </row>
    <row r="388" spans="2:81">
      <c r="B388" s="758" t="s">
        <v>1155</v>
      </c>
      <c r="C388" s="343"/>
      <c r="D388" s="310" t="s">
        <v>1150</v>
      </c>
      <c r="E388" s="309"/>
      <c r="F388" s="348">
        <v>20.269100000000002</v>
      </c>
      <c r="G388" s="348">
        <f>2571.92/100</f>
        <v>25.719200000000001</v>
      </c>
      <c r="H388" s="348">
        <f>2370.51/100</f>
        <v>23.705100000000002</v>
      </c>
      <c r="I388" s="348">
        <f>4216.18/100</f>
        <v>42.161799999999999</v>
      </c>
      <c r="J388" s="348"/>
      <c r="K388" s="1195"/>
      <c r="L388" s="348"/>
      <c r="M388" s="1923">
        <f>0*(10^(-6))</f>
        <v>0</v>
      </c>
      <c r="N388" s="1643"/>
      <c r="O388" s="681"/>
      <c r="P388" s="681"/>
      <c r="Q388" s="630"/>
      <c r="R388" s="630"/>
      <c r="S388" s="630"/>
      <c r="U388" s="39" t="s">
        <v>1150</v>
      </c>
      <c r="V388" s="1159"/>
      <c r="W388" s="303"/>
      <c r="X388" s="1159"/>
      <c r="Y388" s="303"/>
      <c r="Z388" s="1159"/>
      <c r="AA388" s="303"/>
      <c r="AB388" s="1159"/>
      <c r="AC388" s="303"/>
      <c r="AD388" s="1771"/>
      <c r="AE388" s="303"/>
      <c r="AF388" s="303"/>
      <c r="AG388" s="303"/>
      <c r="AH388" s="303"/>
      <c r="AI388" s="303"/>
      <c r="AJ388" s="303"/>
      <c r="AK388" s="303"/>
      <c r="AL388" s="303"/>
      <c r="AM388" s="303"/>
      <c r="AN388" s="303"/>
      <c r="AO388" s="303"/>
      <c r="AP388" s="303"/>
      <c r="AQ388" s="303"/>
      <c r="AR388" s="303"/>
      <c r="AS388" s="303"/>
      <c r="AT388" s="303"/>
      <c r="AU388" s="303"/>
      <c r="AV388" s="303"/>
      <c r="AW388" s="303"/>
      <c r="AX388" s="303"/>
      <c r="BF388" s="1170"/>
      <c r="BH388" s="1170"/>
      <c r="BJ388" s="1170"/>
      <c r="BL388" s="1170"/>
      <c r="BO388" s="1171"/>
      <c r="BQ388" s="1173"/>
    </row>
    <row r="389" spans="2:81">
      <c r="B389" s="758" t="s">
        <v>1057</v>
      </c>
      <c r="C389" s="343"/>
      <c r="D389" s="310" t="s">
        <v>1151</v>
      </c>
      <c r="E389" s="313"/>
      <c r="F389" s="348">
        <v>16.549900000000001</v>
      </c>
      <c r="G389" s="348">
        <f>4431.99/100</f>
        <v>44.319899999999997</v>
      </c>
      <c r="H389" s="348">
        <f>4145.78/100</f>
        <v>41.457799999999999</v>
      </c>
      <c r="I389" s="348">
        <f>5670.17/100</f>
        <v>56.701700000000002</v>
      </c>
      <c r="J389" s="348">
        <v>106.83578068</v>
      </c>
      <c r="K389" s="348">
        <v>142.09815850999999</v>
      </c>
      <c r="L389" s="348">
        <v>205.30791936</v>
      </c>
      <c r="M389" s="1923">
        <f>445417693.9*(10^(-6))</f>
        <v>445.41769389999996</v>
      </c>
      <c r="N389" s="1642">
        <f t="shared" si="303"/>
        <v>623.58477145999996</v>
      </c>
      <c r="O389" s="1132">
        <f t="shared" si="303"/>
        <v>779.48096432499995</v>
      </c>
      <c r="P389" s="1132">
        <f>O389*(1+P400)</f>
        <v>974.35120540624996</v>
      </c>
      <c r="Q389" s="630"/>
      <c r="R389" s="630"/>
      <c r="S389" s="630"/>
      <c r="U389" s="39" t="s">
        <v>1151</v>
      </c>
      <c r="V389" s="1159"/>
      <c r="W389" s="303"/>
      <c r="X389" s="1159">
        <v>45.869199999999999</v>
      </c>
      <c r="Y389" s="303">
        <f>+J389-X389</f>
        <v>60.96658068</v>
      </c>
      <c r="Z389" s="1159">
        <v>71.477199999999996</v>
      </c>
      <c r="AA389" s="1298">
        <f>K389-Z389</f>
        <v>70.620958509999994</v>
      </c>
      <c r="AB389" s="1159">
        <v>95.981700000000004</v>
      </c>
      <c r="AC389" s="303">
        <f>L389-AB389</f>
        <v>109.32621936</v>
      </c>
      <c r="AD389" s="1771">
        <f>Quarterly!U225+Quarterly!T225</f>
        <v>188.65729999999999</v>
      </c>
      <c r="AE389" s="303">
        <f>M389-AD389</f>
        <v>256.76039389999994</v>
      </c>
      <c r="AF389" s="303"/>
      <c r="AG389" s="303"/>
      <c r="AH389" s="303"/>
      <c r="AI389" s="303"/>
      <c r="AJ389" s="303"/>
      <c r="AK389" s="303"/>
      <c r="AL389" s="303"/>
      <c r="AM389" s="303"/>
      <c r="AN389" s="303"/>
      <c r="AO389" s="303"/>
      <c r="AP389" s="303"/>
      <c r="AQ389" s="303"/>
      <c r="AR389" s="303"/>
      <c r="AS389" s="303"/>
      <c r="AT389" s="303"/>
      <c r="AU389" s="303"/>
      <c r="AV389" s="303"/>
      <c r="AW389" s="303"/>
      <c r="AX389" s="303"/>
      <c r="BF389" s="1170"/>
      <c r="BH389" s="1170"/>
      <c r="BJ389" s="1170"/>
      <c r="BL389" s="1170"/>
      <c r="BO389" s="1171"/>
      <c r="BQ389" s="1173"/>
    </row>
    <row r="390" spans="2:81">
      <c r="B390" s="841" t="s">
        <v>1234</v>
      </c>
      <c r="C390" s="302"/>
      <c r="D390" s="789" t="s">
        <v>1738</v>
      </c>
      <c r="E390" s="494"/>
      <c r="F390" s="630"/>
      <c r="G390" s="630"/>
      <c r="H390" s="630"/>
      <c r="I390" s="630">
        <f>J390/(1+43.29%)</f>
        <v>458.01654085421171</v>
      </c>
      <c r="J390" s="630">
        <v>656.29190139000002</v>
      </c>
      <c r="K390" s="630">
        <v>735.24430380000001</v>
      </c>
      <c r="L390" s="630">
        <v>1260.10096</v>
      </c>
      <c r="M390" s="1923">
        <f>(2006378530.94)*(10^(-6))</f>
        <v>2006.37853094</v>
      </c>
      <c r="N390" s="1519">
        <f>N381-SUM(N382:N389)</f>
        <v>2892.0566948339401</v>
      </c>
      <c r="O390" s="349">
        <f>O381-SUM(O382:O389)</f>
        <v>3790.7860184394158</v>
      </c>
      <c r="P390" s="349">
        <f>P381-SUM(P382:P389)</f>
        <v>4560.6561030380981</v>
      </c>
      <c r="Q390" s="630"/>
      <c r="R390" s="630"/>
      <c r="S390" s="630"/>
      <c r="U390" s="39" t="s">
        <v>1166</v>
      </c>
      <c r="V390" s="1159">
        <v>244.62479999999999</v>
      </c>
      <c r="W390" s="303"/>
      <c r="X390" s="1159">
        <v>324.26139999999998</v>
      </c>
      <c r="Y390" s="303">
        <f>+J390-X390</f>
        <v>332.03050139000004</v>
      </c>
      <c r="Z390" s="1159">
        <v>346.5625</v>
      </c>
      <c r="AA390" s="1298">
        <f>K390-Z390</f>
        <v>388.68180380000001</v>
      </c>
      <c r="AB390" s="1159">
        <v>487.95100000000002</v>
      </c>
      <c r="AC390" s="303">
        <f>L390-AB390</f>
        <v>772.14995999999996</v>
      </c>
      <c r="AD390" s="1771">
        <f>Quarterly!U226+Quarterly!T226</f>
        <v>869.78820000000007</v>
      </c>
      <c r="AE390" s="303">
        <f>M390-AD390</f>
        <v>1136.5903309400001</v>
      </c>
      <c r="AF390" s="303"/>
      <c r="AG390" s="303"/>
      <c r="AH390" s="303"/>
      <c r="AI390" s="303"/>
      <c r="AJ390" s="303"/>
      <c r="AK390" s="303"/>
      <c r="AL390" s="303"/>
      <c r="AM390" s="303"/>
      <c r="AN390" s="303"/>
      <c r="AO390" s="303"/>
      <c r="AP390" s="303"/>
      <c r="AQ390" s="303"/>
      <c r="AR390" s="303"/>
      <c r="AS390" s="303"/>
      <c r="AT390" s="303"/>
      <c r="AU390" s="303"/>
      <c r="AV390" s="303"/>
      <c r="AW390" s="303"/>
      <c r="AX390" s="303"/>
      <c r="AZ390" s="36" t="s">
        <v>1234</v>
      </c>
      <c r="BF390" s="1170">
        <v>149.18180000000001</v>
      </c>
      <c r="BG390" s="1171">
        <f>X390-BF390</f>
        <v>175.07959999999997</v>
      </c>
      <c r="BH390" s="1170">
        <f>594.1651-SUM(BF390:BG390)</f>
        <v>269.90370000000007</v>
      </c>
      <c r="BI390" s="1171">
        <f>Y390-BH390</f>
        <v>62.126801389999969</v>
      </c>
      <c r="BJ390" s="1170">
        <v>178.84889999999999</v>
      </c>
      <c r="BK390" s="1171">
        <f>Z390-BJ390</f>
        <v>167.71360000000001</v>
      </c>
      <c r="BL390" s="1170">
        <f>570.6106-BK390-BJ390</f>
        <v>224.04809999999995</v>
      </c>
      <c r="BM390" s="1173">
        <f>AA390-BL390</f>
        <v>164.63370380000006</v>
      </c>
      <c r="BN390" s="1213">
        <v>229.81649999999999</v>
      </c>
      <c r="BO390" s="1171">
        <f>AB390-BN390</f>
        <v>258.1345</v>
      </c>
      <c r="BP390" s="382">
        <f>815.3249-BN390-BO390</f>
        <v>327.37389999999994</v>
      </c>
      <c r="BQ390" s="1173">
        <f>AC390-BP390</f>
        <v>444.77606000000003</v>
      </c>
      <c r="BR390" s="1213">
        <f>Quarterly!T224</f>
        <v>413.38040000000001</v>
      </c>
      <c r="BS390" s="1213">
        <f>Quarterly!U224</f>
        <v>645.06510000000003</v>
      </c>
      <c r="BT390" s="1213">
        <f>Quarterly!V224</f>
        <v>735.17679999999996</v>
      </c>
      <c r="BU390" s="382">
        <f>AE390-BT390</f>
        <v>401.4135309400001</v>
      </c>
      <c r="BV390" s="382"/>
      <c r="BW390" s="382"/>
      <c r="BX390" s="382"/>
      <c r="BY390" s="382"/>
      <c r="BZ390" s="382"/>
      <c r="CA390" s="382"/>
      <c r="CB390" s="382"/>
      <c r="CC390" s="382"/>
    </row>
    <row r="391" spans="2:81">
      <c r="B391" s="841"/>
      <c r="C391" s="302"/>
      <c r="D391" s="789"/>
      <c r="E391" s="494"/>
      <c r="F391" s="782">
        <f t="shared" ref="F391:L391" si="304">F382/F381</f>
        <v>0.66708171801450777</v>
      </c>
      <c r="G391" s="782">
        <f t="shared" si="304"/>
        <v>0.61096459725312435</v>
      </c>
      <c r="H391" s="782">
        <f t="shared" si="304"/>
        <v>0.601159041856696</v>
      </c>
      <c r="I391" s="782">
        <f t="shared" si="304"/>
        <v>0.55740997481351651</v>
      </c>
      <c r="J391" s="782">
        <f t="shared" si="304"/>
        <v>0.45938241054997431</v>
      </c>
      <c r="K391" s="782">
        <f t="shared" si="304"/>
        <v>0.39494403515701831</v>
      </c>
      <c r="L391" s="782">
        <f t="shared" si="304"/>
        <v>0.33429264556247273</v>
      </c>
      <c r="M391" s="782">
        <f>M382/M381</f>
        <v>0.27556670688159096</v>
      </c>
      <c r="N391" s="1552"/>
      <c r="O391" s="494"/>
      <c r="P391" s="494"/>
      <c r="Q391" s="494"/>
      <c r="R391" s="494"/>
      <c r="S391" s="494"/>
      <c r="U391" s="35"/>
      <c r="V391" s="35"/>
      <c r="W391" s="35"/>
      <c r="X391" s="35"/>
      <c r="Y391" s="35"/>
      <c r="Z391" s="35"/>
      <c r="AA391" s="35"/>
      <c r="AB391" s="35"/>
      <c r="AC391" s="35"/>
      <c r="AD391" s="1772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35"/>
      <c r="AW391" s="35"/>
      <c r="AX391" s="35"/>
    </row>
    <row r="392" spans="2:81">
      <c r="B392" s="789" t="s">
        <v>1056</v>
      </c>
      <c r="C392" s="789"/>
      <c r="D392" s="789" t="s">
        <v>1092</v>
      </c>
      <c r="E392" s="35"/>
      <c r="F392" s="630"/>
      <c r="G392" s="630"/>
      <c r="H392" s="483"/>
      <c r="U392" s="789" t="s">
        <v>1056</v>
      </c>
    </row>
    <row r="393" spans="2:81">
      <c r="B393" s="758" t="str">
        <f t="shared" ref="B393:B400" si="305">+B382</f>
        <v>Guangdong</v>
      </c>
      <c r="C393" s="343"/>
      <c r="D393" s="310" t="str">
        <f t="shared" ref="D393:D400" si="306">+D382</f>
        <v>广东</v>
      </c>
      <c r="E393" s="632"/>
      <c r="F393" s="632"/>
      <c r="G393" s="632">
        <f t="shared" ref="G393:M397" si="307">+G382/F382-1</f>
        <v>-2.7389834280879821E-2</v>
      </c>
      <c r="H393" s="632">
        <f t="shared" si="307"/>
        <v>0.36520642606415921</v>
      </c>
      <c r="I393" s="632">
        <f t="shared" si="307"/>
        <v>9.1766011514229584E-2</v>
      </c>
      <c r="J393" s="632">
        <f t="shared" si="307"/>
        <v>0.16279554142412445</v>
      </c>
      <c r="K393" s="632">
        <f t="shared" si="307"/>
        <v>4.8430019830854265E-2</v>
      </c>
      <c r="L393" s="632">
        <f t="shared" si="307"/>
        <v>0.12133396958855092</v>
      </c>
      <c r="M393" s="632">
        <f t="shared" si="307"/>
        <v>0.15926737903153576</v>
      </c>
      <c r="N393" s="1553">
        <f>+N382/M382-1</f>
        <v>0.11180448817316235</v>
      </c>
      <c r="O393" s="632">
        <f>+O382/N382-1</f>
        <v>5.0400000000000222E-2</v>
      </c>
      <c r="P393" s="632">
        <f>+P382/O382-1</f>
        <v>5.04E-2</v>
      </c>
      <c r="Q393" s="635"/>
      <c r="R393" s="635"/>
      <c r="S393" s="635"/>
      <c r="T393" s="945"/>
      <c r="U393" s="789" t="s">
        <v>1143</v>
      </c>
      <c r="V393" s="635"/>
      <c r="W393" s="635"/>
      <c r="X393" s="635">
        <f>+X382/V382-1</f>
        <v>0.39466815801240807</v>
      </c>
      <c r="Y393" s="635">
        <f t="shared" ref="Y393:AE400" si="308">+Y382/W382-1</f>
        <v>-1.3007119216322915E-2</v>
      </c>
      <c r="Z393" s="635">
        <f t="shared" si="308"/>
        <v>-4.0827131059115729E-3</v>
      </c>
      <c r="AA393" s="635">
        <f t="shared" si="308"/>
        <v>0.10468972696448398</v>
      </c>
      <c r="AB393" s="635">
        <f t="shared" si="308"/>
        <v>0.14045771305136623</v>
      </c>
      <c r="AC393" s="635">
        <f t="shared" si="308"/>
        <v>0.10286304178767214</v>
      </c>
      <c r="AD393" s="635">
        <f t="shared" si="308"/>
        <v>0.12314411944212234</v>
      </c>
      <c r="AE393" s="635">
        <f t="shared" si="308"/>
        <v>0.19534686464010464</v>
      </c>
      <c r="AF393" s="635"/>
      <c r="AG393" s="635"/>
      <c r="AH393" s="635"/>
      <c r="AI393" s="635"/>
      <c r="AJ393" s="635"/>
      <c r="AK393" s="635"/>
      <c r="AL393" s="635"/>
      <c r="AM393" s="635"/>
      <c r="AN393" s="635"/>
      <c r="AO393" s="635"/>
      <c r="AP393" s="635"/>
      <c r="AQ393" s="635"/>
      <c r="AR393" s="635"/>
      <c r="AS393" s="635"/>
      <c r="AT393" s="635"/>
      <c r="AU393" s="635"/>
      <c r="AV393" s="635"/>
      <c r="AW393" s="635"/>
      <c r="AX393" s="635"/>
      <c r="AY393" s="945"/>
    </row>
    <row r="394" spans="2:81">
      <c r="B394" s="758" t="str">
        <f t="shared" si="305"/>
        <v>Central China</v>
      </c>
      <c r="C394" s="343"/>
      <c r="D394" s="310" t="str">
        <f t="shared" si="306"/>
        <v>华中</v>
      </c>
      <c r="E394" s="632"/>
      <c r="F394" s="632"/>
      <c r="G394" s="632">
        <f t="shared" si="307"/>
        <v>0.28717857579424866</v>
      </c>
      <c r="H394" s="632">
        <f t="shared" si="307"/>
        <v>0.6231508234234584</v>
      </c>
      <c r="I394" s="632">
        <f t="shared" si="307"/>
        <v>0.20535290206136581</v>
      </c>
      <c r="J394" s="632">
        <f t="shared" si="307"/>
        <v>0.34896482377911719</v>
      </c>
      <c r="K394" s="632">
        <f t="shared" si="307"/>
        <v>0.39948571115392095</v>
      </c>
      <c r="L394" s="632">
        <f t="shared" si="307"/>
        <v>0.32837145336812146</v>
      </c>
      <c r="M394" s="632">
        <f t="shared" si="307"/>
        <v>0.48171827775706455</v>
      </c>
      <c r="N394" s="1640">
        <v>0.25</v>
      </c>
      <c r="O394" s="1641">
        <v>0.2</v>
      </c>
      <c r="P394" s="1641">
        <v>0.17</v>
      </c>
      <c r="Q394" s="635"/>
      <c r="R394" s="635"/>
      <c r="S394" s="635"/>
      <c r="T394" s="945"/>
      <c r="U394" s="789" t="s">
        <v>1145</v>
      </c>
      <c r="V394" s="635"/>
      <c r="W394" s="635"/>
      <c r="X394" s="635"/>
      <c r="Y394" s="635"/>
      <c r="Z394" s="635">
        <f t="shared" si="308"/>
        <v>0.2714547019881024</v>
      </c>
      <c r="AA394" s="635">
        <f t="shared" si="308"/>
        <v>0.5722354710825337</v>
      </c>
      <c r="AB394" s="635">
        <f t="shared" si="308"/>
        <v>0.27976598072846626</v>
      </c>
      <c r="AC394" s="635">
        <f t="shared" si="308"/>
        <v>0.38140745269808307</v>
      </c>
      <c r="AD394" s="635">
        <f t="shared" si="308"/>
        <v>0.51716026706251683</v>
      </c>
      <c r="AE394" s="635">
        <f t="shared" si="308"/>
        <v>0.44589111284570948</v>
      </c>
      <c r="AF394" s="635"/>
      <c r="AG394" s="635"/>
      <c r="AH394" s="635"/>
      <c r="AI394" s="635"/>
      <c r="AJ394" s="635"/>
      <c r="AK394" s="635"/>
      <c r="AL394" s="635"/>
      <c r="AM394" s="635"/>
      <c r="AN394" s="635"/>
      <c r="AO394" s="635"/>
      <c r="AP394" s="635"/>
      <c r="AQ394" s="635"/>
      <c r="AR394" s="635"/>
      <c r="AS394" s="635"/>
      <c r="AT394" s="635"/>
      <c r="AU394" s="635"/>
      <c r="AV394" s="635"/>
      <c r="AW394" s="635"/>
      <c r="AX394" s="635"/>
      <c r="AY394" s="945"/>
    </row>
    <row r="395" spans="2:81">
      <c r="B395" s="758" t="str">
        <f t="shared" si="305"/>
        <v>Guangxi</v>
      </c>
      <c r="C395" s="343"/>
      <c r="D395" s="310" t="str">
        <f t="shared" si="306"/>
        <v>广西</v>
      </c>
      <c r="E395" s="632"/>
      <c r="F395" s="632"/>
      <c r="G395" s="632">
        <f t="shared" si="307"/>
        <v>9.5160905776784377E-2</v>
      </c>
      <c r="H395" s="632">
        <f t="shared" si="307"/>
        <v>0.25777888317810427</v>
      </c>
      <c r="I395" s="632">
        <f t="shared" si="307"/>
        <v>0.25882113194192291</v>
      </c>
      <c r="J395" s="632">
        <f t="shared" si="307"/>
        <v>0.35510436355459163</v>
      </c>
      <c r="K395" s="632">
        <f t="shared" si="307"/>
        <v>0.26832563571011137</v>
      </c>
      <c r="L395" s="632">
        <f t="shared" si="307"/>
        <v>9.8137203351955415E-2</v>
      </c>
      <c r="M395" s="632">
        <f t="shared" si="307"/>
        <v>0.17406505100582237</v>
      </c>
      <c r="N395" s="1640">
        <v>0.2</v>
      </c>
      <c r="O395" s="1641">
        <v>0.08</v>
      </c>
      <c r="P395" s="1641">
        <v>0.08</v>
      </c>
      <c r="Q395" s="635"/>
      <c r="R395" s="635"/>
      <c r="S395" s="635"/>
      <c r="T395" s="945"/>
      <c r="U395" s="789" t="s">
        <v>1146</v>
      </c>
      <c r="V395" s="635"/>
      <c r="W395" s="635"/>
      <c r="X395" s="635"/>
      <c r="Y395" s="635"/>
      <c r="Z395" s="635">
        <f t="shared" si="308"/>
        <v>0.13714561154802629</v>
      </c>
      <c r="AA395" s="635">
        <f t="shared" si="308"/>
        <v>0.46345472069124405</v>
      </c>
      <c r="AB395" s="635">
        <f t="shared" si="308"/>
        <v>6.975041117427061E-2</v>
      </c>
      <c r="AC395" s="635">
        <f t="shared" si="308"/>
        <v>0.13094729243164238</v>
      </c>
      <c r="AD395" s="635">
        <f t="shared" si="308"/>
        <v>9.5018142869889077E-2</v>
      </c>
      <c r="AE395" s="635">
        <f t="shared" si="308"/>
        <v>0.26048541189980767</v>
      </c>
      <c r="AF395" s="635"/>
      <c r="AG395" s="635"/>
      <c r="AH395" s="635"/>
      <c r="AI395" s="635"/>
      <c r="AJ395" s="635"/>
      <c r="AK395" s="635"/>
      <c r="AL395" s="635"/>
      <c r="AM395" s="635"/>
      <c r="AN395" s="635"/>
      <c r="AO395" s="635"/>
      <c r="AP395" s="635"/>
      <c r="AQ395" s="635"/>
      <c r="AR395" s="635"/>
      <c r="AS395" s="635"/>
      <c r="AT395" s="635"/>
      <c r="AU395" s="635"/>
      <c r="AV395" s="635"/>
      <c r="AW395" s="635"/>
      <c r="AX395" s="635"/>
      <c r="AY395" s="945"/>
    </row>
    <row r="396" spans="2:81">
      <c r="B396" s="758" t="str">
        <f t="shared" si="305"/>
        <v>East China</v>
      </c>
      <c r="C396" s="343"/>
      <c r="D396" s="310" t="str">
        <f t="shared" si="306"/>
        <v>华东</v>
      </c>
      <c r="E396" s="632"/>
      <c r="F396" s="632"/>
      <c r="G396" s="632">
        <f t="shared" si="307"/>
        <v>0.24994638156520765</v>
      </c>
      <c r="H396" s="632">
        <f t="shared" si="307"/>
        <v>0.4797201452889599</v>
      </c>
      <c r="I396" s="632">
        <f t="shared" si="307"/>
        <v>0.26673813644045019</v>
      </c>
      <c r="J396" s="632">
        <f t="shared" si="307"/>
        <v>0.54570898525346379</v>
      </c>
      <c r="K396" s="632">
        <f t="shared" si="307"/>
        <v>0.32441250269129474</v>
      </c>
      <c r="L396" s="632">
        <f t="shared" si="307"/>
        <v>0.48367644031311174</v>
      </c>
      <c r="M396" s="632">
        <f t="shared" si="307"/>
        <v>0.45126966018396497</v>
      </c>
      <c r="N396" s="1640">
        <v>0.35</v>
      </c>
      <c r="O396" s="1641">
        <v>0.27</v>
      </c>
      <c r="P396" s="1641">
        <v>0.25</v>
      </c>
      <c r="Q396" s="635"/>
      <c r="R396" s="635"/>
      <c r="S396" s="635"/>
      <c r="T396" s="945"/>
      <c r="U396" s="789" t="s">
        <v>1147</v>
      </c>
      <c r="V396" s="635"/>
      <c r="W396" s="635"/>
      <c r="X396" s="635"/>
      <c r="Y396" s="635"/>
      <c r="Z396" s="635">
        <f t="shared" si="308"/>
        <v>0.46384969856711478</v>
      </c>
      <c r="AA396" s="635">
        <f t="shared" si="308"/>
        <v>0.18501675456622912</v>
      </c>
      <c r="AB396" s="635">
        <f t="shared" si="308"/>
        <v>0.33531321003698689</v>
      </c>
      <c r="AC396" s="635">
        <f t="shared" si="308"/>
        <v>0.66689487315014029</v>
      </c>
      <c r="AD396" s="635">
        <f t="shared" si="308"/>
        <v>0.53599193074187346</v>
      </c>
      <c r="AE396" s="635">
        <f t="shared" si="308"/>
        <v>0.36745588468015922</v>
      </c>
      <c r="AF396" s="635"/>
      <c r="AG396" s="635"/>
      <c r="AH396" s="635"/>
      <c r="AI396" s="635"/>
      <c r="AJ396" s="635"/>
      <c r="AK396" s="635"/>
      <c r="AL396" s="635"/>
      <c r="AM396" s="635"/>
      <c r="AN396" s="635"/>
      <c r="AO396" s="635"/>
      <c r="AP396" s="635"/>
      <c r="AQ396" s="635"/>
      <c r="AR396" s="635"/>
      <c r="AS396" s="635"/>
      <c r="AT396" s="635"/>
      <c r="AU396" s="635"/>
      <c r="AV396" s="635"/>
      <c r="AW396" s="635"/>
      <c r="AX396" s="635"/>
      <c r="AY396" s="945"/>
    </row>
    <row r="397" spans="2:81">
      <c r="B397" s="758" t="str">
        <f t="shared" si="305"/>
        <v>Southwest</v>
      </c>
      <c r="C397" s="343"/>
      <c r="D397" s="310" t="str">
        <f t="shared" si="306"/>
        <v>西南</v>
      </c>
      <c r="E397" s="632"/>
      <c r="F397" s="632"/>
      <c r="G397" s="632">
        <f t="shared" si="307"/>
        <v>8.9224540015440112E-2</v>
      </c>
      <c r="H397" s="632">
        <f t="shared" si="307"/>
        <v>0.76590240850220259</v>
      </c>
      <c r="I397" s="632">
        <f t="shared" si="307"/>
        <v>0.53751960420027678</v>
      </c>
      <c r="J397" s="632">
        <f t="shared" si="307"/>
        <v>0.46748051432461835</v>
      </c>
      <c r="K397" s="632">
        <f t="shared" si="307"/>
        <v>0.56808205798887879</v>
      </c>
      <c r="L397" s="632">
        <f t="shared" si="307"/>
        <v>0.64729105686853772</v>
      </c>
      <c r="M397" s="632">
        <f t="shared" si="307"/>
        <v>0.54653885559611926</v>
      </c>
      <c r="N397" s="1640">
        <v>0.45</v>
      </c>
      <c r="O397" s="1641">
        <v>0.28999999999999998</v>
      </c>
      <c r="P397" s="1641">
        <v>0.23</v>
      </c>
      <c r="Q397" s="635"/>
      <c r="R397" s="635"/>
      <c r="S397" s="635"/>
      <c r="T397" s="945"/>
      <c r="U397" s="789" t="s">
        <v>1148</v>
      </c>
      <c r="V397" s="635"/>
      <c r="W397" s="635"/>
      <c r="X397" s="635"/>
      <c r="Y397" s="635"/>
      <c r="Z397" s="635">
        <f t="shared" si="308"/>
        <v>0.45063635300322846</v>
      </c>
      <c r="AA397" s="635">
        <f t="shared" si="308"/>
        <v>0.69777267596128945</v>
      </c>
      <c r="AB397" s="635">
        <f t="shared" si="308"/>
        <v>0.5971082206773084</v>
      </c>
      <c r="AC397" s="635">
        <f t="shared" si="308"/>
        <v>0.69463949310050932</v>
      </c>
      <c r="AD397" s="635">
        <f t="shared" si="308"/>
        <v>0.7478186256346091</v>
      </c>
      <c r="AE397" s="635">
        <f t="shared" si="308"/>
        <v>0.36755758499891766</v>
      </c>
      <c r="AF397" s="635"/>
      <c r="AG397" s="635"/>
      <c r="AH397" s="635"/>
      <c r="AI397" s="635"/>
      <c r="AJ397" s="635"/>
      <c r="AK397" s="635"/>
      <c r="AL397" s="635"/>
      <c r="AM397" s="635"/>
      <c r="AN397" s="635"/>
      <c r="AO397" s="635"/>
      <c r="AP397" s="635"/>
      <c r="AQ397" s="635"/>
      <c r="AR397" s="635"/>
      <c r="AS397" s="635"/>
      <c r="AT397" s="635"/>
      <c r="AU397" s="635"/>
      <c r="AV397" s="635"/>
      <c r="AW397" s="635"/>
      <c r="AX397" s="635"/>
      <c r="AY397" s="945"/>
    </row>
    <row r="398" spans="2:81" ht="11.25" customHeight="1">
      <c r="B398" s="758" t="str">
        <f t="shared" si="305"/>
        <v>North China</v>
      </c>
      <c r="C398" s="343"/>
      <c r="D398" s="310" t="str">
        <f t="shared" si="306"/>
        <v>华北</v>
      </c>
      <c r="E398" s="632"/>
      <c r="F398" s="632"/>
      <c r="G398" s="632">
        <f t="shared" ref="G398:M398" si="309">+G387/F387-1</f>
        <v>0.53613656166662271</v>
      </c>
      <c r="H398" s="632">
        <f t="shared" si="309"/>
        <v>0.24090336398060441</v>
      </c>
      <c r="I398" s="632">
        <f t="shared" si="309"/>
        <v>0.47614671147223997</v>
      </c>
      <c r="J398" s="632">
        <f t="shared" si="309"/>
        <v>0.59269907908608643</v>
      </c>
      <c r="K398" s="632">
        <f t="shared" si="309"/>
        <v>0.80580034163178982</v>
      </c>
      <c r="L398" s="632">
        <f t="shared" si="309"/>
        <v>0.64706611908645995</v>
      </c>
      <c r="M398" s="632">
        <f t="shared" si="309"/>
        <v>0.83849332634746432</v>
      </c>
      <c r="N398" s="1640">
        <v>0.7</v>
      </c>
      <c r="O398" s="1641">
        <v>0.3</v>
      </c>
      <c r="P398" s="1641">
        <v>0.2</v>
      </c>
      <c r="Q398" s="635"/>
      <c r="R398" s="635"/>
      <c r="S398" s="635"/>
      <c r="T398" s="945"/>
      <c r="U398" s="789" t="s">
        <v>1149</v>
      </c>
      <c r="V398" s="635"/>
      <c r="W398" s="635"/>
      <c r="X398" s="635"/>
      <c r="Y398" s="635"/>
      <c r="Z398" s="635">
        <f t="shared" si="308"/>
        <v>0.63195723862457598</v>
      </c>
      <c r="AA398" s="635">
        <f t="shared" si="308"/>
        <v>1.0040285746716684</v>
      </c>
      <c r="AB398" s="635">
        <f t="shared" si="308"/>
        <v>0.67906702856505885</v>
      </c>
      <c r="AC398" s="635">
        <f t="shared" si="308"/>
        <v>0.61735115353747183</v>
      </c>
      <c r="AD398" s="635">
        <f t="shared" si="308"/>
        <v>0.99126282532854471</v>
      </c>
      <c r="AE398" s="635">
        <f t="shared" si="308"/>
        <v>0.69122366944107494</v>
      </c>
      <c r="AF398" s="635"/>
      <c r="AG398" s="635"/>
      <c r="AH398" s="635"/>
      <c r="AI398" s="635"/>
      <c r="AJ398" s="635"/>
      <c r="AK398" s="635"/>
      <c r="AL398" s="635"/>
      <c r="AM398" s="635"/>
      <c r="AN398" s="635"/>
      <c r="AO398" s="635"/>
      <c r="AP398" s="635"/>
      <c r="AQ398" s="635"/>
      <c r="AR398" s="635"/>
      <c r="AS398" s="635"/>
      <c r="AT398" s="635"/>
      <c r="AU398" s="635"/>
      <c r="AV398" s="635"/>
      <c r="AW398" s="635"/>
      <c r="AX398" s="635"/>
      <c r="AY398" s="945"/>
    </row>
    <row r="399" spans="2:81" ht="11.25" customHeight="1">
      <c r="B399" s="758" t="str">
        <f t="shared" si="305"/>
        <v>North</v>
      </c>
      <c r="C399" s="343"/>
      <c r="D399" s="310" t="str">
        <f t="shared" si="306"/>
        <v>北方</v>
      </c>
      <c r="E399" s="631"/>
      <c r="F399" s="631"/>
      <c r="G399" s="632">
        <f t="shared" ref="G399:I400" si="310">+G388/F388-1</f>
        <v>0.26888712374994439</v>
      </c>
      <c r="H399" s="632">
        <f t="shared" si="310"/>
        <v>-7.8311144981181302E-2</v>
      </c>
      <c r="I399" s="632">
        <f t="shared" si="310"/>
        <v>0.77859616706953338</v>
      </c>
      <c r="J399" s="632"/>
      <c r="K399" s="632"/>
      <c r="L399" s="632"/>
      <c r="M399" s="632"/>
      <c r="N399" s="1553"/>
      <c r="O399" s="632"/>
      <c r="P399" s="632"/>
      <c r="Q399" s="635"/>
      <c r="R399" s="635"/>
      <c r="S399" s="635"/>
      <c r="T399" s="945"/>
      <c r="U399" s="789" t="s">
        <v>1150</v>
      </c>
      <c r="V399" s="635"/>
      <c r="W399" s="635"/>
      <c r="X399" s="635"/>
      <c r="Y399" s="635"/>
      <c r="Z399" s="635"/>
      <c r="AA399" s="635"/>
      <c r="AB399" s="635"/>
      <c r="AC399" s="635"/>
      <c r="AD399" s="635"/>
      <c r="AE399" s="635"/>
      <c r="AF399" s="635"/>
      <c r="AG399" s="635"/>
      <c r="AH399" s="635"/>
      <c r="AI399" s="635"/>
      <c r="AJ399" s="635"/>
      <c r="AK399" s="635"/>
      <c r="AL399" s="635"/>
      <c r="AM399" s="635"/>
      <c r="AN399" s="635"/>
      <c r="AO399" s="635"/>
      <c r="AP399" s="635"/>
      <c r="AQ399" s="635"/>
      <c r="AR399" s="635"/>
      <c r="AS399" s="635"/>
      <c r="AT399" s="635"/>
      <c r="AU399" s="635"/>
      <c r="AV399" s="635"/>
      <c r="AW399" s="635"/>
      <c r="AX399" s="635"/>
      <c r="AY399" s="945"/>
    </row>
    <row r="400" spans="2:81" ht="11.25" customHeight="1">
      <c r="B400" s="758" t="str">
        <f t="shared" si="305"/>
        <v>Online</v>
      </c>
      <c r="C400" s="343"/>
      <c r="D400" s="310" t="str">
        <f t="shared" si="306"/>
        <v>线上</v>
      </c>
      <c r="E400" s="631"/>
      <c r="F400" s="631"/>
      <c r="G400" s="632">
        <f t="shared" si="310"/>
        <v>1.677955758040834</v>
      </c>
      <c r="H400" s="632">
        <f t="shared" si="310"/>
        <v>-6.4578214301025061E-2</v>
      </c>
      <c r="I400" s="632">
        <f t="shared" si="310"/>
        <v>0.36769679047127446</v>
      </c>
      <c r="J400" s="632">
        <f>+J389/I389-1</f>
        <v>0.88417244421243102</v>
      </c>
      <c r="K400" s="632">
        <f>+K389/J389-1</f>
        <v>0.33006149817559405</v>
      </c>
      <c r="L400" s="632">
        <f>+L389/K389-1</f>
        <v>0.44483166786114059</v>
      </c>
      <c r="M400" s="632">
        <f>+M389/L389-1</f>
        <v>1.1695105346568546</v>
      </c>
      <c r="N400" s="1640">
        <v>0.4</v>
      </c>
      <c r="O400" s="1641">
        <v>0.25</v>
      </c>
      <c r="P400" s="1641">
        <v>0.25</v>
      </c>
      <c r="Q400" s="635"/>
      <c r="R400" s="635"/>
      <c r="S400" s="635"/>
      <c r="T400" s="945"/>
      <c r="U400" s="789" t="s">
        <v>1151</v>
      </c>
      <c r="V400" s="635"/>
      <c r="W400" s="635"/>
      <c r="X400" s="635"/>
      <c r="Y400" s="635"/>
      <c r="Z400" s="635">
        <f t="shared" si="308"/>
        <v>0.5582831180835941</v>
      </c>
      <c r="AA400" s="635">
        <f t="shared" si="308"/>
        <v>0.15835524515756716</v>
      </c>
      <c r="AB400" s="635">
        <f t="shared" si="308"/>
        <v>0.34282960160722586</v>
      </c>
      <c r="AC400" s="635">
        <f t="shared" si="308"/>
        <v>0.54807045481433536</v>
      </c>
      <c r="AD400" s="635">
        <f t="shared" si="308"/>
        <v>0.96555489223466551</v>
      </c>
      <c r="AE400" s="635">
        <f t="shared" si="308"/>
        <v>1.3485710509618407</v>
      </c>
      <c r="AF400" s="635"/>
      <c r="AG400" s="635"/>
      <c r="AH400" s="635"/>
      <c r="AI400" s="635"/>
      <c r="AJ400" s="635"/>
      <c r="AK400" s="635"/>
      <c r="AL400" s="635"/>
      <c r="AM400" s="635"/>
      <c r="AN400" s="635"/>
      <c r="AO400" s="635"/>
      <c r="AP400" s="635"/>
      <c r="AQ400" s="635"/>
      <c r="AR400" s="635"/>
      <c r="AS400" s="635"/>
      <c r="AT400" s="635"/>
      <c r="AU400" s="635"/>
      <c r="AV400" s="635"/>
      <c r="AW400" s="635"/>
      <c r="AX400" s="635"/>
      <c r="AY400" s="945"/>
    </row>
    <row r="401" spans="2:64" ht="11.25" customHeight="1">
      <c r="B401" s="1981" t="s">
        <v>1737</v>
      </c>
      <c r="C401" s="302"/>
      <c r="D401" s="789"/>
      <c r="E401" s="631"/>
      <c r="F401" s="631"/>
      <c r="G401" s="632"/>
      <c r="H401" s="632"/>
      <c r="I401" s="632"/>
      <c r="J401" s="632"/>
      <c r="K401" s="632"/>
      <c r="L401" s="632"/>
      <c r="M401" s="632"/>
      <c r="N401" s="1640"/>
      <c r="O401" s="1641"/>
      <c r="P401" s="1641"/>
      <c r="Q401" s="635"/>
      <c r="R401" s="635"/>
      <c r="S401" s="635"/>
      <c r="T401" s="945"/>
      <c r="U401" s="789"/>
      <c r="V401" s="635"/>
      <c r="W401" s="635"/>
      <c r="X401" s="635"/>
      <c r="Y401" s="635"/>
      <c r="Z401" s="635"/>
      <c r="AA401" s="635"/>
      <c r="AB401" s="635"/>
      <c r="AC401" s="635"/>
      <c r="AD401" s="635"/>
      <c r="AE401" s="635"/>
      <c r="AF401" s="635"/>
      <c r="AG401" s="635"/>
      <c r="AH401" s="635"/>
      <c r="AI401" s="635"/>
      <c r="AJ401" s="635"/>
      <c r="AK401" s="635"/>
      <c r="AL401" s="635"/>
      <c r="AM401" s="635"/>
      <c r="AN401" s="635"/>
      <c r="AO401" s="635"/>
      <c r="AP401" s="635"/>
      <c r="AQ401" s="635"/>
      <c r="AR401" s="635"/>
      <c r="AS401" s="635"/>
      <c r="AT401" s="635"/>
      <c r="AU401" s="635"/>
      <c r="AV401" s="635"/>
      <c r="AW401" s="635"/>
      <c r="AX401" s="635"/>
      <c r="AY401" s="945"/>
    </row>
    <row r="402" spans="2:64" ht="11.25" customHeight="1">
      <c r="B402" s="841" t="s">
        <v>1234</v>
      </c>
      <c r="C402" s="302"/>
      <c r="D402" s="789" t="s">
        <v>1738</v>
      </c>
      <c r="E402" s="631"/>
      <c r="F402" s="631"/>
      <c r="G402" s="631"/>
      <c r="H402" s="632"/>
      <c r="I402" s="632"/>
      <c r="J402" s="632"/>
      <c r="K402" s="632">
        <f t="shared" ref="K402:P402" si="311">+K390/J390-1</f>
        <v>0.12030074154927406</v>
      </c>
      <c r="L402" s="632">
        <f t="shared" si="311"/>
        <v>0.71385341373929312</v>
      </c>
      <c r="M402" s="632">
        <f t="shared" si="311"/>
        <v>0.59223633234911599</v>
      </c>
      <c r="N402" s="1553">
        <f t="shared" si="311"/>
        <v>0.44143124053415517</v>
      </c>
      <c r="O402" s="632">
        <f t="shared" si="311"/>
        <v>0.31075785105142284</v>
      </c>
      <c r="P402" s="632">
        <f t="shared" si="311"/>
        <v>0.20308982908922446</v>
      </c>
      <c r="Q402" s="635"/>
      <c r="R402" s="635"/>
      <c r="S402" s="635"/>
      <c r="T402" s="945"/>
      <c r="U402" s="789"/>
      <c r="V402" s="635"/>
      <c r="W402" s="635"/>
      <c r="X402" s="635"/>
      <c r="Y402" s="635"/>
      <c r="Z402" s="635">
        <f t="shared" ref="Z402:AE402" si="312">+Z390/X390-1</f>
        <v>6.877506850954207E-2</v>
      </c>
      <c r="AA402" s="635">
        <f t="shared" si="312"/>
        <v>0.17062077782865459</v>
      </c>
      <c r="AB402" s="635">
        <f t="shared" si="312"/>
        <v>0.40797403065825066</v>
      </c>
      <c r="AC402" s="635">
        <f t="shared" si="312"/>
        <v>0.98658633476270796</v>
      </c>
      <c r="AD402" s="635">
        <f t="shared" si="312"/>
        <v>0.78253185258355873</v>
      </c>
      <c r="AE402" s="635">
        <f t="shared" si="312"/>
        <v>0.47198133758887995</v>
      </c>
      <c r="AF402" s="635"/>
      <c r="AG402" s="635"/>
      <c r="AH402" s="635"/>
      <c r="AI402" s="635"/>
      <c r="AJ402" s="635"/>
      <c r="AK402" s="635"/>
      <c r="AL402" s="635"/>
      <c r="AM402" s="635"/>
      <c r="AN402" s="635"/>
      <c r="AO402" s="635"/>
      <c r="AP402" s="635"/>
      <c r="AQ402" s="635"/>
      <c r="AR402" s="635"/>
      <c r="AS402" s="635"/>
      <c r="AT402" s="635"/>
      <c r="AU402" s="635"/>
      <c r="AV402" s="635"/>
      <c r="AW402" s="635"/>
      <c r="AX402" s="635"/>
      <c r="AY402" s="945"/>
    </row>
    <row r="403" spans="2:64" ht="11.25" customHeight="1">
      <c r="B403" s="841"/>
      <c r="C403" s="302"/>
      <c r="D403" s="789"/>
      <c r="E403" s="631"/>
      <c r="F403" s="631"/>
      <c r="G403" s="631"/>
      <c r="H403" s="632"/>
      <c r="I403" s="632"/>
      <c r="J403" s="632"/>
      <c r="K403" s="632"/>
      <c r="L403" s="632"/>
      <c r="M403" s="2089"/>
      <c r="N403" s="1553"/>
      <c r="O403" s="632"/>
      <c r="P403" s="632"/>
      <c r="Q403" s="635"/>
      <c r="R403" s="635"/>
      <c r="S403" s="635"/>
      <c r="T403" s="945"/>
      <c r="U403" s="789"/>
      <c r="V403" s="635"/>
      <c r="W403" s="635"/>
      <c r="X403" s="635"/>
      <c r="Y403" s="635"/>
      <c r="Z403" s="635"/>
      <c r="AA403" s="635"/>
      <c r="AB403" s="635"/>
      <c r="AC403" s="635"/>
      <c r="AD403" s="635"/>
      <c r="AE403" s="635"/>
      <c r="AF403" s="635"/>
      <c r="AG403" s="635"/>
      <c r="AH403" s="635"/>
      <c r="AI403" s="635"/>
      <c r="AJ403" s="635"/>
      <c r="AK403" s="635"/>
      <c r="AL403" s="635"/>
      <c r="AM403" s="635"/>
      <c r="AN403" s="635"/>
      <c r="AO403" s="635"/>
      <c r="AP403" s="635"/>
      <c r="AQ403" s="635"/>
      <c r="AR403" s="635"/>
      <c r="AS403" s="635"/>
      <c r="AT403" s="635"/>
      <c r="AU403" s="635"/>
      <c r="AV403" s="635"/>
      <c r="AW403" s="635"/>
      <c r="AX403" s="635"/>
      <c r="AY403" s="945"/>
    </row>
    <row r="404" spans="2:64">
      <c r="B404" s="741"/>
      <c r="C404" s="343"/>
      <c r="D404" s="741"/>
      <c r="E404" s="631"/>
      <c r="F404" s="631"/>
      <c r="G404" s="631"/>
      <c r="H404" s="631"/>
      <c r="I404" s="631"/>
      <c r="J404" s="631"/>
      <c r="K404" s="631"/>
      <c r="L404" s="631"/>
      <c r="M404" s="631"/>
      <c r="N404" s="1554"/>
      <c r="O404" s="631"/>
      <c r="P404" s="631"/>
      <c r="Q404" s="635"/>
      <c r="R404" s="635"/>
      <c r="S404" s="635"/>
      <c r="T404" s="945"/>
      <c r="U404" s="789"/>
      <c r="V404" s="635"/>
      <c r="W404" s="635"/>
      <c r="X404" s="635"/>
      <c r="Y404" s="635"/>
      <c r="Z404" s="635"/>
      <c r="AA404" s="635"/>
      <c r="AB404" s="635"/>
      <c r="AC404" s="635"/>
      <c r="AD404" s="635"/>
      <c r="AE404" s="635"/>
      <c r="AF404" s="635"/>
      <c r="AG404" s="635"/>
      <c r="AH404" s="635"/>
      <c r="AI404" s="635"/>
      <c r="AJ404" s="635"/>
      <c r="AK404" s="635"/>
      <c r="AL404" s="635"/>
      <c r="AM404" s="635"/>
      <c r="AN404" s="635"/>
      <c r="AO404" s="635"/>
      <c r="AP404" s="635"/>
      <c r="AQ404" s="635"/>
      <c r="AR404" s="635"/>
      <c r="AS404" s="635"/>
      <c r="AT404" s="635"/>
      <c r="AU404" s="635"/>
      <c r="AV404" s="635"/>
      <c r="AW404" s="635"/>
      <c r="AX404" s="635"/>
      <c r="AY404" s="945"/>
    </row>
    <row r="405" spans="2:64" s="37" customFormat="1" ht="11.25" customHeight="1">
      <c r="B405" s="1167" t="s">
        <v>1257</v>
      </c>
      <c r="C405" s="1168"/>
      <c r="D405" s="351"/>
      <c r="E405" s="313"/>
      <c r="F405" s="400"/>
      <c r="G405" s="400"/>
      <c r="H405" s="400"/>
      <c r="I405" s="400">
        <f>SUM(I406:I414)</f>
        <v>1219.8219999999999</v>
      </c>
      <c r="J405" s="400">
        <f>SUM(J406:J414)</f>
        <v>1692.9289999999999</v>
      </c>
      <c r="K405" s="400">
        <f>SUM(K406:K414)</f>
        <v>2055.5620000000004</v>
      </c>
      <c r="L405" s="400">
        <f>SUM(L406:L414)</f>
        <v>2857.1509999999998</v>
      </c>
      <c r="M405" s="400">
        <f>SUM(M406:M414)</f>
        <v>4216.4880000000003</v>
      </c>
      <c r="N405" s="1555"/>
      <c r="O405" s="400"/>
      <c r="P405" s="400"/>
      <c r="Q405" s="1202"/>
      <c r="R405" s="1202"/>
      <c r="S405" s="1202"/>
      <c r="T405" s="944"/>
      <c r="U405" s="760"/>
      <c r="V405" s="1174"/>
      <c r="W405" s="1169"/>
      <c r="X405" s="1174"/>
      <c r="Y405" s="1169"/>
      <c r="Z405" s="1174"/>
      <c r="AA405" s="868"/>
      <c r="AB405" s="868"/>
      <c r="AC405" s="868"/>
      <c r="AD405" s="868"/>
      <c r="AE405" s="868"/>
      <c r="AF405" s="868"/>
      <c r="AG405" s="868"/>
      <c r="AH405" s="868"/>
      <c r="AI405" s="868"/>
      <c r="AJ405" s="868"/>
      <c r="AK405" s="868"/>
      <c r="AL405" s="868"/>
      <c r="AM405" s="868"/>
      <c r="AN405" s="868"/>
      <c r="AO405" s="868"/>
      <c r="AP405" s="868"/>
      <c r="AQ405" s="868"/>
      <c r="AR405" s="868"/>
      <c r="AS405" s="868"/>
      <c r="AT405" s="868"/>
      <c r="AU405" s="868"/>
      <c r="AV405" s="868"/>
      <c r="AW405" s="868"/>
      <c r="AX405" s="868"/>
      <c r="AY405" s="944"/>
      <c r="BF405" s="1170"/>
      <c r="BG405" s="1172"/>
      <c r="BH405" s="1176"/>
      <c r="BI405" s="1172"/>
      <c r="BJ405" s="1170"/>
      <c r="BK405" s="1172"/>
      <c r="BL405" s="1176"/>
    </row>
    <row r="406" spans="2:64" ht="11.25" customHeight="1">
      <c r="B406" s="758" t="s">
        <v>1144</v>
      </c>
      <c r="C406" s="343"/>
      <c r="D406" s="310" t="s">
        <v>1143</v>
      </c>
      <c r="E406" s="313"/>
      <c r="F406" s="348"/>
      <c r="G406" s="348"/>
      <c r="H406" s="348"/>
      <c r="I406" s="348">
        <v>635.73900000000003</v>
      </c>
      <c r="J406" s="348">
        <v>812.97799999999995</v>
      </c>
      <c r="K406" s="348">
        <v>862.88099999999997</v>
      </c>
      <c r="L406" s="348">
        <v>994.99099999999999</v>
      </c>
      <c r="M406" s="1923">
        <f>1228867*(0.001)</f>
        <v>1228.867</v>
      </c>
      <c r="N406" s="2124"/>
      <c r="O406" s="348"/>
      <c r="P406" s="348"/>
      <c r="Q406" s="630"/>
      <c r="R406" s="630"/>
      <c r="S406" s="630"/>
      <c r="V406" s="1159"/>
      <c r="W406" s="303"/>
      <c r="X406" s="1159"/>
      <c r="Y406" s="303"/>
      <c r="Z406" s="1159"/>
      <c r="AA406" s="303"/>
      <c r="AB406" s="303"/>
      <c r="AC406" s="303"/>
      <c r="AD406" s="303"/>
      <c r="AE406" s="303"/>
      <c r="AF406" s="303"/>
      <c r="AG406" s="303"/>
      <c r="AH406" s="303"/>
      <c r="AI406" s="303"/>
      <c r="AJ406" s="303"/>
      <c r="AK406" s="303"/>
      <c r="AL406" s="303"/>
      <c r="AM406" s="303"/>
      <c r="AN406" s="303"/>
      <c r="AO406" s="303"/>
      <c r="AP406" s="303"/>
      <c r="AQ406" s="303"/>
      <c r="AR406" s="303"/>
      <c r="AS406" s="303"/>
      <c r="AT406" s="303"/>
      <c r="AU406" s="303"/>
      <c r="AV406" s="303"/>
      <c r="AW406" s="303"/>
      <c r="AX406" s="303"/>
      <c r="BF406" s="1170"/>
      <c r="BG406" s="1171"/>
      <c r="BH406" s="1170"/>
      <c r="BI406" s="1171"/>
      <c r="BJ406" s="1170"/>
      <c r="BK406" s="1171"/>
      <c r="BL406" s="1170"/>
    </row>
    <row r="407" spans="2:64" ht="11.25" customHeight="1">
      <c r="B407" s="758" t="s">
        <v>1157</v>
      </c>
      <c r="C407" s="343"/>
      <c r="D407" s="310" t="s">
        <v>1145</v>
      </c>
      <c r="E407" s="313"/>
      <c r="F407" s="348"/>
      <c r="G407" s="348"/>
      <c r="H407" s="348"/>
      <c r="I407" s="348">
        <v>125.73399999999999</v>
      </c>
      <c r="J407" s="348">
        <v>177.065</v>
      </c>
      <c r="K407" s="348">
        <v>242.94300000000001</v>
      </c>
      <c r="L407" s="348">
        <v>350.101</v>
      </c>
      <c r="M407" s="1923">
        <f>540046*(0.001)</f>
        <v>540.04600000000005</v>
      </c>
      <c r="N407" s="1551"/>
      <c r="O407" s="348"/>
      <c r="P407" s="348"/>
      <c r="Q407" s="630"/>
      <c r="R407" s="630"/>
      <c r="S407" s="630"/>
      <c r="V407" s="1159"/>
      <c r="W407" s="303"/>
      <c r="X407" s="1159"/>
      <c r="Y407" s="303"/>
      <c r="Z407" s="1159"/>
      <c r="AA407" s="303"/>
      <c r="AB407" s="303"/>
      <c r="AC407" s="303"/>
      <c r="AD407" s="303"/>
      <c r="AE407" s="303"/>
      <c r="AF407" s="303"/>
      <c r="AG407" s="303"/>
      <c r="AH407" s="303"/>
      <c r="AI407" s="303"/>
      <c r="AJ407" s="303"/>
      <c r="AK407" s="303"/>
      <c r="AL407" s="303"/>
      <c r="AM407" s="303"/>
      <c r="AN407" s="303"/>
      <c r="AO407" s="303"/>
      <c r="AP407" s="303"/>
      <c r="AQ407" s="303"/>
      <c r="AR407" s="303"/>
      <c r="AS407" s="303"/>
      <c r="AT407" s="303"/>
      <c r="AU407" s="303"/>
      <c r="AV407" s="303"/>
      <c r="AW407" s="303"/>
      <c r="AX407" s="303"/>
      <c r="BF407" s="1170"/>
      <c r="BG407" s="1171"/>
      <c r="BH407" s="1170"/>
      <c r="BI407" s="1171"/>
      <c r="BJ407" s="1170"/>
      <c r="BK407" s="1171"/>
      <c r="BL407" s="1170"/>
    </row>
    <row r="408" spans="2:64" ht="11.25" customHeight="1">
      <c r="B408" s="758" t="s">
        <v>1152</v>
      </c>
      <c r="C408" s="343"/>
      <c r="D408" s="310" t="s">
        <v>1146</v>
      </c>
      <c r="E408" s="313"/>
      <c r="F408" s="348"/>
      <c r="G408" s="348"/>
      <c r="H408" s="348"/>
      <c r="I408" s="348">
        <v>119.90900000000001</v>
      </c>
      <c r="J408" s="348">
        <v>163.11099999999999</v>
      </c>
      <c r="K408" s="348">
        <v>200.16200000000001</v>
      </c>
      <c r="L408" s="348">
        <v>229.85499999999999</v>
      </c>
      <c r="M408" s="1923">
        <f>272730*(0.001)</f>
        <v>272.73</v>
      </c>
      <c r="N408" s="1551"/>
      <c r="O408" s="348"/>
      <c r="P408" s="348"/>
      <c r="Q408" s="630"/>
      <c r="R408" s="630"/>
      <c r="S408" s="630"/>
      <c r="V408" s="1159"/>
      <c r="W408" s="303"/>
      <c r="X408" s="1159"/>
      <c r="Y408" s="303"/>
      <c r="Z408" s="1159"/>
      <c r="AA408" s="303"/>
      <c r="AB408" s="303"/>
      <c r="AC408" s="303"/>
      <c r="AD408" s="303"/>
      <c r="AE408" s="303"/>
      <c r="AF408" s="303"/>
      <c r="AG408" s="303"/>
      <c r="AH408" s="303"/>
      <c r="AI408" s="303"/>
      <c r="AJ408" s="303"/>
      <c r="AK408" s="303"/>
      <c r="AL408" s="303"/>
      <c r="AM408" s="303"/>
      <c r="AN408" s="303"/>
      <c r="AO408" s="303"/>
      <c r="AP408" s="303"/>
      <c r="AQ408" s="303"/>
      <c r="AR408" s="303"/>
      <c r="AS408" s="303"/>
      <c r="AT408" s="303"/>
      <c r="AU408" s="303"/>
      <c r="AV408" s="303"/>
      <c r="AW408" s="303"/>
      <c r="AX408" s="303"/>
      <c r="BF408" s="1170"/>
      <c r="BG408" s="1171"/>
      <c r="BH408" s="1170"/>
      <c r="BI408" s="1171"/>
      <c r="BJ408" s="1170"/>
      <c r="BK408" s="1171"/>
      <c r="BL408" s="1170"/>
    </row>
    <row r="409" spans="2:64" ht="11.25" customHeight="1">
      <c r="B409" s="758" t="s">
        <v>1156</v>
      </c>
      <c r="C409" s="343"/>
      <c r="D409" s="310" t="s">
        <v>1147</v>
      </c>
      <c r="E409" s="313"/>
      <c r="F409" s="348"/>
      <c r="G409" s="348"/>
      <c r="H409" s="348"/>
      <c r="I409" s="348">
        <v>109.84699999999999</v>
      </c>
      <c r="J409" s="348">
        <v>188.376</v>
      </c>
      <c r="K409" s="348">
        <v>239.31700000000001</v>
      </c>
      <c r="L409" s="348">
        <v>375.68799999999999</v>
      </c>
      <c r="M409" s="1923">
        <f>571445*(0.001)</f>
        <v>571.44500000000005</v>
      </c>
      <c r="N409" s="1551"/>
      <c r="O409" s="348"/>
      <c r="P409" s="348"/>
      <c r="Q409" s="630"/>
      <c r="R409" s="630"/>
      <c r="S409" s="630"/>
      <c r="V409" s="1159"/>
      <c r="W409" s="303"/>
      <c r="X409" s="1159"/>
      <c r="Y409" s="303"/>
      <c r="Z409" s="1159"/>
      <c r="AA409" s="303"/>
      <c r="AB409" s="303"/>
      <c r="AC409" s="303"/>
      <c r="AD409" s="303"/>
      <c r="AE409" s="303"/>
      <c r="AF409" s="303"/>
      <c r="AG409" s="303"/>
      <c r="AH409" s="303"/>
      <c r="AI409" s="303"/>
      <c r="AJ409" s="303"/>
      <c r="AK409" s="303"/>
      <c r="AL409" s="303"/>
      <c r="AM409" s="303"/>
      <c r="AN409" s="303"/>
      <c r="AO409" s="303"/>
      <c r="AP409" s="303"/>
      <c r="AQ409" s="303"/>
      <c r="AR409" s="303"/>
      <c r="AS409" s="303"/>
      <c r="AT409" s="303"/>
      <c r="AU409" s="303"/>
      <c r="AV409" s="303"/>
      <c r="AW409" s="303"/>
      <c r="AX409" s="303"/>
      <c r="BF409" s="1170"/>
      <c r="BG409" s="1171"/>
      <c r="BH409" s="1170"/>
      <c r="BI409" s="1171"/>
      <c r="BJ409" s="1170"/>
      <c r="BK409" s="1171"/>
      <c r="BL409" s="1170"/>
    </row>
    <row r="410" spans="2:64" ht="11.25" customHeight="1">
      <c r="B410" s="758" t="s">
        <v>1153</v>
      </c>
      <c r="C410" s="343"/>
      <c r="D410" s="310" t="s">
        <v>1148</v>
      </c>
      <c r="E410" s="313"/>
      <c r="F410" s="348"/>
      <c r="G410" s="348"/>
      <c r="H410" s="348"/>
      <c r="I410" s="348">
        <v>61.167000000000002</v>
      </c>
      <c r="J410" s="348">
        <v>101.011</v>
      </c>
      <c r="K410" s="348">
        <v>161.97399999999999</v>
      </c>
      <c r="L410" s="348">
        <v>283.714</v>
      </c>
      <c r="M410" s="1923">
        <f>457356*(0.001)</f>
        <v>457.35599999999999</v>
      </c>
      <c r="N410" s="1551"/>
      <c r="O410" s="348"/>
      <c r="P410" s="348"/>
      <c r="Q410" s="630"/>
      <c r="R410" s="630"/>
      <c r="S410" s="630"/>
      <c r="V410" s="1159"/>
      <c r="W410" s="303"/>
      <c r="X410" s="1159"/>
      <c r="Y410" s="303"/>
      <c r="Z410" s="1159"/>
      <c r="AA410" s="303"/>
      <c r="AB410" s="303"/>
      <c r="AC410" s="303"/>
      <c r="AD410" s="303"/>
      <c r="AE410" s="303"/>
      <c r="AF410" s="303"/>
      <c r="AG410" s="303"/>
      <c r="AH410" s="303"/>
      <c r="AI410" s="303"/>
      <c r="AJ410" s="303"/>
      <c r="AK410" s="303"/>
      <c r="AL410" s="303"/>
      <c r="AM410" s="303"/>
      <c r="AN410" s="303"/>
      <c r="AO410" s="303"/>
      <c r="AP410" s="303"/>
      <c r="AQ410" s="303"/>
      <c r="AR410" s="303"/>
      <c r="AS410" s="303"/>
      <c r="AT410" s="303"/>
      <c r="AU410" s="303"/>
      <c r="AV410" s="303"/>
      <c r="AW410" s="303"/>
      <c r="AX410" s="303"/>
      <c r="BF410" s="1170"/>
      <c r="BG410" s="1171"/>
      <c r="BH410" s="1170"/>
      <c r="BI410" s="1171"/>
      <c r="BJ410" s="1170"/>
      <c r="BK410" s="1171"/>
      <c r="BL410" s="1170"/>
    </row>
    <row r="411" spans="2:64" ht="11.25" customHeight="1">
      <c r="B411" s="758" t="s">
        <v>1154</v>
      </c>
      <c r="C411" s="343"/>
      <c r="D411" s="310" t="s">
        <v>1149</v>
      </c>
      <c r="E411" s="313"/>
      <c r="F411" s="348"/>
      <c r="G411" s="348"/>
      <c r="H411" s="348"/>
      <c r="I411" s="348">
        <v>53.512999999999998</v>
      </c>
      <c r="J411" s="348">
        <v>79.956000000000003</v>
      </c>
      <c r="K411" s="348">
        <v>133.51900000000001</v>
      </c>
      <c r="L411" s="348">
        <v>256.68299999999999</v>
      </c>
      <c r="M411" s="1923">
        <f>504969*(0.001)</f>
        <v>504.96899999999999</v>
      </c>
      <c r="N411" s="1551"/>
      <c r="O411" s="348"/>
      <c r="P411" s="348"/>
      <c r="Q411" s="630"/>
      <c r="R411" s="630"/>
      <c r="S411" s="630"/>
      <c r="V411" s="1159"/>
      <c r="W411" s="303"/>
      <c r="X411" s="1159"/>
      <c r="Y411" s="303"/>
      <c r="Z411" s="1159"/>
      <c r="AA411" s="303"/>
      <c r="AB411" s="303"/>
      <c r="AC411" s="303"/>
      <c r="AD411" s="303"/>
      <c r="AE411" s="303"/>
      <c r="AF411" s="303"/>
      <c r="AG411" s="303"/>
      <c r="AH411" s="303"/>
      <c r="AI411" s="303"/>
      <c r="AJ411" s="303"/>
      <c r="AK411" s="303"/>
      <c r="AL411" s="303"/>
      <c r="AM411" s="303"/>
      <c r="AN411" s="303"/>
      <c r="AO411" s="303"/>
      <c r="AP411" s="303"/>
      <c r="AQ411" s="303"/>
      <c r="AR411" s="303"/>
      <c r="AS411" s="303"/>
      <c r="AT411" s="303"/>
      <c r="AU411" s="303"/>
      <c r="AV411" s="303"/>
      <c r="AW411" s="303"/>
      <c r="AX411" s="303"/>
      <c r="BF411" s="1170"/>
      <c r="BG411" s="1171"/>
      <c r="BH411" s="1170"/>
      <c r="BI411" s="1171"/>
      <c r="BJ411" s="1170"/>
      <c r="BK411" s="1171"/>
      <c r="BL411" s="1170"/>
    </row>
    <row r="412" spans="2:64" ht="11.25" customHeight="1">
      <c r="B412" s="758" t="s">
        <v>1155</v>
      </c>
      <c r="C412" s="343"/>
      <c r="D412" s="310" t="s">
        <v>1150</v>
      </c>
      <c r="E412" s="313"/>
      <c r="F412" s="348"/>
      <c r="G412" s="348"/>
      <c r="H412" s="348"/>
      <c r="I412" s="348"/>
      <c r="J412" s="348"/>
      <c r="K412" s="348"/>
      <c r="L412" s="348"/>
      <c r="M412" s="1923">
        <f>0*(0.001)</f>
        <v>0</v>
      </c>
      <c r="N412" s="1551"/>
      <c r="O412" s="348"/>
      <c r="P412" s="348"/>
      <c r="Q412" s="630"/>
      <c r="R412" s="630"/>
      <c r="S412" s="630"/>
      <c r="V412" s="1159"/>
      <c r="W412" s="303"/>
      <c r="X412" s="1159"/>
      <c r="Y412" s="303"/>
      <c r="Z412" s="1159"/>
      <c r="AA412" s="303"/>
      <c r="AB412" s="303"/>
      <c r="AC412" s="303"/>
      <c r="AD412" s="303"/>
      <c r="AE412" s="303"/>
      <c r="AF412" s="303"/>
      <c r="AG412" s="303"/>
      <c r="AH412" s="303"/>
      <c r="AI412" s="303"/>
      <c r="AJ412" s="303"/>
      <c r="AK412" s="303"/>
      <c r="AL412" s="303"/>
      <c r="AM412" s="303"/>
      <c r="AN412" s="303"/>
      <c r="AO412" s="303"/>
      <c r="AP412" s="303"/>
      <c r="AQ412" s="303"/>
      <c r="AR412" s="303"/>
      <c r="AS412" s="303"/>
      <c r="AT412" s="303"/>
      <c r="AU412" s="303"/>
      <c r="AV412" s="303"/>
      <c r="AW412" s="303"/>
      <c r="AX412" s="303"/>
      <c r="BF412" s="1170"/>
      <c r="BG412" s="1171"/>
      <c r="BH412" s="1170"/>
      <c r="BI412" s="1171"/>
      <c r="BJ412" s="1170"/>
      <c r="BK412" s="1171"/>
      <c r="BL412" s="1170"/>
    </row>
    <row r="413" spans="2:64" ht="11.25" customHeight="1">
      <c r="B413" s="758" t="s">
        <v>1057</v>
      </c>
      <c r="C413" s="343"/>
      <c r="D413" s="310" t="s">
        <v>1151</v>
      </c>
      <c r="E413" s="313"/>
      <c r="F413" s="348"/>
      <c r="G413" s="348"/>
      <c r="H413" s="348"/>
      <c r="I413" s="348">
        <v>12.467000000000001</v>
      </c>
      <c r="J413" s="348">
        <v>21.172000000000001</v>
      </c>
      <c r="K413" s="348">
        <v>30.754999999999999</v>
      </c>
      <c r="L413" s="348">
        <v>43.968000000000004</v>
      </c>
      <c r="M413" s="1923">
        <f>100684*(0.001)</f>
        <v>100.684</v>
      </c>
      <c r="N413" s="1551"/>
      <c r="O413" s="348"/>
      <c r="P413" s="348"/>
      <c r="Q413" s="630"/>
      <c r="R413" s="630"/>
      <c r="S413" s="630"/>
      <c r="V413" s="1159"/>
      <c r="W413" s="303"/>
      <c r="X413" s="1159"/>
      <c r="Y413" s="303"/>
      <c r="Z413" s="1159"/>
      <c r="AA413" s="303"/>
      <c r="AB413" s="303"/>
      <c r="AC413" s="303"/>
      <c r="AD413" s="303"/>
      <c r="AE413" s="303"/>
      <c r="AF413" s="303"/>
      <c r="AG413" s="303"/>
      <c r="AH413" s="303"/>
      <c r="AI413" s="303"/>
      <c r="AJ413" s="303"/>
      <c r="AK413" s="303"/>
      <c r="AL413" s="303"/>
      <c r="AM413" s="303"/>
      <c r="AN413" s="303"/>
      <c r="AO413" s="303"/>
      <c r="AP413" s="303"/>
      <c r="AQ413" s="303"/>
      <c r="AR413" s="303"/>
      <c r="AS413" s="303"/>
      <c r="AT413" s="303"/>
      <c r="AU413" s="303"/>
      <c r="AV413" s="303"/>
      <c r="AW413" s="303"/>
      <c r="AX413" s="303"/>
      <c r="BF413" s="1170"/>
      <c r="BG413" s="1171"/>
      <c r="BH413" s="1170"/>
      <c r="BI413" s="1171"/>
      <c r="BJ413" s="1170"/>
      <c r="BK413" s="1171"/>
      <c r="BL413" s="1170"/>
    </row>
    <row r="414" spans="2:64" ht="11.25" customHeight="1">
      <c r="B414" s="841" t="s">
        <v>1234</v>
      </c>
      <c r="C414" s="302"/>
      <c r="D414" s="789" t="s">
        <v>1738</v>
      </c>
      <c r="E414" s="313"/>
      <c r="F414" s="348"/>
      <c r="G414" s="348"/>
      <c r="H414" s="348"/>
      <c r="I414" s="348">
        <v>101.446</v>
      </c>
      <c r="J414" s="348">
        <v>149.26</v>
      </c>
      <c r="K414" s="348">
        <v>184.011</v>
      </c>
      <c r="L414" s="348">
        <v>322.15100000000001</v>
      </c>
      <c r="M414" s="1923">
        <f>540391*(0.001)</f>
        <v>540.39099999999996</v>
      </c>
      <c r="N414" s="1551"/>
      <c r="O414" s="348"/>
      <c r="P414" s="348"/>
      <c r="Q414" s="630"/>
      <c r="R414" s="630"/>
      <c r="S414" s="630"/>
      <c r="V414" s="1159"/>
      <c r="W414" s="303"/>
      <c r="X414" s="1159"/>
      <c r="Y414" s="303"/>
      <c r="Z414" s="1159"/>
      <c r="AA414" s="303"/>
      <c r="AB414" s="303"/>
      <c r="AC414" s="303"/>
      <c r="AD414" s="303"/>
      <c r="AE414" s="303"/>
      <c r="AF414" s="303"/>
      <c r="AG414" s="303"/>
      <c r="AH414" s="303"/>
      <c r="AI414" s="303"/>
      <c r="AJ414" s="303"/>
      <c r="AK414" s="303"/>
      <c r="AL414" s="303"/>
      <c r="AM414" s="303"/>
      <c r="AN414" s="303"/>
      <c r="AO414" s="303"/>
      <c r="AP414" s="303"/>
      <c r="AQ414" s="303"/>
      <c r="AR414" s="303"/>
      <c r="AS414" s="303"/>
      <c r="AT414" s="303"/>
      <c r="AU414" s="303"/>
      <c r="AV414" s="303"/>
      <c r="AW414" s="303"/>
      <c r="AX414" s="303"/>
      <c r="BF414" s="1170"/>
      <c r="BG414" s="1171"/>
      <c r="BH414" s="1170"/>
      <c r="BI414" s="1171"/>
      <c r="BJ414" s="1170"/>
      <c r="BK414" s="1171"/>
      <c r="BL414" s="1170"/>
    </row>
    <row r="415" spans="2:64" ht="11.25" customHeight="1">
      <c r="B415" s="758"/>
      <c r="C415" s="343"/>
      <c r="D415" s="310"/>
      <c r="E415" s="313"/>
      <c r="F415" s="348"/>
      <c r="G415" s="348"/>
      <c r="H415" s="348"/>
      <c r="I415" s="348"/>
      <c r="J415" s="348"/>
      <c r="K415" s="348"/>
      <c r="L415" s="348"/>
      <c r="M415" s="348"/>
      <c r="N415" s="1551"/>
      <c r="O415" s="348"/>
      <c r="P415" s="348"/>
      <c r="Q415" s="630"/>
      <c r="R415" s="630"/>
      <c r="S415" s="630"/>
      <c r="V415" s="1159"/>
      <c r="W415" s="303"/>
      <c r="X415" s="1159"/>
      <c r="Y415" s="303"/>
      <c r="Z415" s="1159"/>
      <c r="AA415" s="303"/>
      <c r="AB415" s="303"/>
      <c r="AC415" s="303"/>
      <c r="AD415" s="303"/>
      <c r="AE415" s="303"/>
      <c r="AF415" s="303"/>
      <c r="AG415" s="303"/>
      <c r="AH415" s="303"/>
      <c r="AI415" s="303"/>
      <c r="AJ415" s="303"/>
      <c r="AK415" s="303"/>
      <c r="AL415" s="303"/>
      <c r="AM415" s="303"/>
      <c r="AN415" s="303"/>
      <c r="AO415" s="303"/>
      <c r="AP415" s="303"/>
      <c r="AQ415" s="303"/>
      <c r="AR415" s="303"/>
      <c r="AS415" s="303"/>
      <c r="AT415" s="303"/>
      <c r="AU415" s="303"/>
      <c r="AV415" s="303"/>
      <c r="AW415" s="303"/>
      <c r="AX415" s="303"/>
      <c r="BF415" s="1170"/>
      <c r="BG415" s="1171"/>
      <c r="BH415" s="1170"/>
      <c r="BI415" s="1171"/>
      <c r="BJ415" s="1170"/>
      <c r="BK415" s="1171"/>
      <c r="BL415" s="1170"/>
    </row>
    <row r="416" spans="2:64" ht="11.25" customHeight="1">
      <c r="B416" s="1167" t="s">
        <v>1258</v>
      </c>
      <c r="C416" s="343"/>
      <c r="D416" s="310"/>
      <c r="E416" s="313"/>
      <c r="F416" s="348"/>
      <c r="G416" s="348"/>
      <c r="H416" s="348"/>
      <c r="I416" s="348"/>
      <c r="J416" s="348"/>
      <c r="K416" s="348"/>
      <c r="L416" s="348"/>
      <c r="M416" s="348"/>
      <c r="N416" s="1551"/>
      <c r="O416" s="348"/>
      <c r="P416" s="348"/>
      <c r="Q416" s="630"/>
      <c r="R416" s="630"/>
      <c r="S416" s="630"/>
      <c r="V416" s="1159"/>
      <c r="W416" s="303"/>
      <c r="X416" s="1159"/>
      <c r="Y416" s="303"/>
      <c r="Z416" s="1159"/>
      <c r="AA416" s="303"/>
      <c r="AB416" s="303"/>
      <c r="AC416" s="303"/>
      <c r="AD416" s="303"/>
      <c r="AE416" s="303"/>
      <c r="AF416" s="303"/>
      <c r="AG416" s="303"/>
      <c r="AH416" s="303"/>
      <c r="AI416" s="303"/>
      <c r="AJ416" s="303"/>
      <c r="AK416" s="303"/>
      <c r="AL416" s="303"/>
      <c r="AM416" s="303"/>
      <c r="AN416" s="303"/>
      <c r="AO416" s="303"/>
      <c r="AP416" s="303"/>
      <c r="AQ416" s="303"/>
      <c r="AR416" s="303"/>
      <c r="AS416" s="303"/>
      <c r="AT416" s="303"/>
      <c r="AU416" s="303"/>
      <c r="AV416" s="303"/>
      <c r="AW416" s="303"/>
      <c r="AX416" s="303"/>
      <c r="BF416" s="1170"/>
      <c r="BG416" s="1171"/>
      <c r="BH416" s="1170"/>
      <c r="BI416" s="1171"/>
      <c r="BJ416" s="1170"/>
      <c r="BK416" s="1171"/>
      <c r="BL416" s="1170"/>
    </row>
    <row r="417" spans="2:64">
      <c r="B417" s="758" t="s">
        <v>1144</v>
      </c>
      <c r="C417" s="343"/>
      <c r="D417" s="310" t="s">
        <v>1143</v>
      </c>
      <c r="E417" s="631"/>
      <c r="F417" s="635"/>
      <c r="G417" s="635"/>
      <c r="H417" s="635"/>
      <c r="I417" s="874">
        <f t="shared" ref="I417:M422" si="313">I382/I406</f>
        <v>4.3275430640561607</v>
      </c>
      <c r="J417" s="874">
        <f t="shared" si="313"/>
        <v>3.9350007303272663</v>
      </c>
      <c r="K417" s="874">
        <f t="shared" si="313"/>
        <v>3.886978621617581</v>
      </c>
      <c r="L417" s="874">
        <f t="shared" si="313"/>
        <v>3.7798875909430336</v>
      </c>
      <c r="M417" s="874">
        <f t="shared" si="313"/>
        <v>3.5479441156610112</v>
      </c>
      <c r="N417" s="1556"/>
      <c r="O417" s="635"/>
      <c r="P417" s="635"/>
      <c r="Q417" s="635"/>
      <c r="R417" s="635"/>
      <c r="S417" s="635"/>
      <c r="T417" s="945"/>
      <c r="U417" s="789"/>
      <c r="V417" s="635"/>
      <c r="W417" s="635"/>
      <c r="X417" s="635"/>
      <c r="Y417" s="635"/>
      <c r="Z417" s="635"/>
      <c r="AA417" s="635"/>
      <c r="AB417" s="635"/>
      <c r="AC417" s="635"/>
      <c r="AD417" s="635"/>
      <c r="AE417" s="635"/>
      <c r="AF417" s="635"/>
      <c r="AG417" s="635"/>
      <c r="AH417" s="635"/>
      <c r="AI417" s="635"/>
      <c r="AJ417" s="635"/>
      <c r="AK417" s="635"/>
      <c r="AL417" s="635"/>
      <c r="AM417" s="635"/>
      <c r="AN417" s="635"/>
      <c r="AO417" s="635"/>
      <c r="AP417" s="635"/>
      <c r="AQ417" s="635"/>
      <c r="AR417" s="635"/>
      <c r="AS417" s="635"/>
      <c r="AT417" s="635"/>
      <c r="AU417" s="635"/>
      <c r="AV417" s="635"/>
      <c r="AW417" s="635"/>
      <c r="AX417" s="635"/>
      <c r="AY417" s="945"/>
    </row>
    <row r="418" spans="2:64">
      <c r="B418" s="758" t="s">
        <v>1157</v>
      </c>
      <c r="C418" s="343"/>
      <c r="D418" s="310" t="s">
        <v>1145</v>
      </c>
      <c r="E418" s="631"/>
      <c r="F418" s="635"/>
      <c r="G418" s="635"/>
      <c r="H418" s="635"/>
      <c r="I418" s="874">
        <f t="shared" si="313"/>
        <v>4.4403661698506367</v>
      </c>
      <c r="J418" s="874">
        <f t="shared" si="313"/>
        <v>4.2534312593680283</v>
      </c>
      <c r="K418" s="874">
        <f t="shared" si="313"/>
        <v>4.33846622458766</v>
      </c>
      <c r="L418" s="874">
        <f t="shared" si="313"/>
        <v>3.9991417101065116</v>
      </c>
      <c r="M418" s="874">
        <f t="shared" si="313"/>
        <v>3.8414486252282205</v>
      </c>
      <c r="N418" s="1556"/>
      <c r="O418" s="635"/>
      <c r="P418" s="635"/>
      <c r="Q418" s="635"/>
      <c r="R418" s="635"/>
      <c r="S418" s="635"/>
      <c r="T418" s="945"/>
      <c r="U418" s="789"/>
      <c r="V418" s="635"/>
      <c r="W418" s="635"/>
      <c r="X418" s="635"/>
      <c r="Y418" s="635"/>
      <c r="Z418" s="635"/>
      <c r="AA418" s="635"/>
      <c r="AB418" s="635"/>
      <c r="AC418" s="635"/>
      <c r="AD418" s="635"/>
      <c r="AE418" s="635"/>
      <c r="AF418" s="635"/>
      <c r="AG418" s="635"/>
      <c r="AH418" s="635"/>
      <c r="AI418" s="635"/>
      <c r="AJ418" s="635"/>
      <c r="AK418" s="635"/>
      <c r="AL418" s="635"/>
      <c r="AM418" s="635"/>
      <c r="AN418" s="635"/>
      <c r="AO418" s="635"/>
      <c r="AP418" s="635"/>
      <c r="AQ418" s="635"/>
      <c r="AR418" s="635"/>
      <c r="AS418" s="635"/>
      <c r="AT418" s="635"/>
      <c r="AU418" s="635"/>
      <c r="AV418" s="635"/>
      <c r="AW418" s="635"/>
      <c r="AX418" s="635"/>
      <c r="AY418" s="945"/>
    </row>
    <row r="419" spans="2:64">
      <c r="B419" s="758" t="s">
        <v>1152</v>
      </c>
      <c r="C419" s="343"/>
      <c r="D419" s="310" t="s">
        <v>1146</v>
      </c>
      <c r="E419" s="631"/>
      <c r="F419" s="635"/>
      <c r="G419" s="635"/>
      <c r="H419" s="635"/>
      <c r="I419" s="874">
        <f t="shared" si="313"/>
        <v>4.3427791074898465</v>
      </c>
      <c r="J419" s="874">
        <f t="shared" si="313"/>
        <v>4.3262241209973578</v>
      </c>
      <c r="K419" s="874">
        <f t="shared" si="313"/>
        <v>4.4713781836712263</v>
      </c>
      <c r="L419" s="874">
        <f t="shared" si="313"/>
        <v>4.2758817384873078</v>
      </c>
      <c r="M419" s="874">
        <f t="shared" si="313"/>
        <v>4.2309596961830378</v>
      </c>
      <c r="N419" s="1556"/>
      <c r="O419" s="635"/>
      <c r="P419" s="635"/>
      <c r="Q419" s="635"/>
      <c r="R419" s="635"/>
      <c r="S419" s="635"/>
      <c r="T419" s="945"/>
      <c r="U419" s="789"/>
      <c r="V419" s="635"/>
      <c r="W419" s="635"/>
      <c r="X419" s="635"/>
      <c r="Y419" s="635"/>
      <c r="Z419" s="635"/>
      <c r="AA419" s="635"/>
      <c r="AB419" s="635"/>
      <c r="AC419" s="635"/>
      <c r="AD419" s="635"/>
      <c r="AE419" s="635"/>
      <c r="AF419" s="635"/>
      <c r="AG419" s="635"/>
      <c r="AH419" s="635"/>
      <c r="AI419" s="635"/>
      <c r="AJ419" s="635"/>
      <c r="AK419" s="635"/>
      <c r="AL419" s="635"/>
      <c r="AM419" s="635"/>
      <c r="AN419" s="635"/>
      <c r="AO419" s="635"/>
      <c r="AP419" s="635"/>
      <c r="AQ419" s="635"/>
      <c r="AR419" s="635"/>
      <c r="AS419" s="635"/>
      <c r="AT419" s="635"/>
      <c r="AU419" s="635"/>
      <c r="AV419" s="635"/>
      <c r="AW419" s="635"/>
      <c r="AX419" s="635"/>
      <c r="AY419" s="945"/>
    </row>
    <row r="420" spans="2:64">
      <c r="B420" s="758" t="s">
        <v>1156</v>
      </c>
      <c r="C420" s="343"/>
      <c r="D420" s="310" t="s">
        <v>1147</v>
      </c>
      <c r="E420" s="631"/>
      <c r="F420" s="635"/>
      <c r="G420" s="635"/>
      <c r="H420" s="635"/>
      <c r="I420" s="874">
        <f t="shared" si="313"/>
        <v>4.5447677223774887</v>
      </c>
      <c r="J420" s="874">
        <f t="shared" si="313"/>
        <v>4.0963971289867072</v>
      </c>
      <c r="K420" s="874">
        <f t="shared" si="313"/>
        <v>4.2704864259538606</v>
      </c>
      <c r="L420" s="874">
        <f t="shared" si="313"/>
        <v>4.0361079459551545</v>
      </c>
      <c r="M420" s="874">
        <f t="shared" si="313"/>
        <v>3.8509136043363745</v>
      </c>
      <c r="N420" s="1556"/>
      <c r="O420" s="635"/>
      <c r="P420" s="635"/>
      <c r="Q420" s="635"/>
      <c r="R420" s="635"/>
      <c r="S420" s="635"/>
      <c r="T420" s="945"/>
      <c r="U420" s="789"/>
      <c r="V420" s="635"/>
      <c r="W420" s="635"/>
      <c r="X420" s="635"/>
      <c r="Y420" s="635"/>
      <c r="Z420" s="635"/>
      <c r="AA420" s="635"/>
      <c r="AB420" s="635"/>
      <c r="AC420" s="635"/>
      <c r="AD420" s="635"/>
      <c r="AE420" s="635"/>
      <c r="AF420" s="635"/>
      <c r="AG420" s="635"/>
      <c r="AH420" s="635"/>
      <c r="AI420" s="635"/>
      <c r="AJ420" s="635"/>
      <c r="AK420" s="635"/>
      <c r="AL420" s="635"/>
      <c r="AM420" s="635"/>
      <c r="AN420" s="635"/>
      <c r="AO420" s="635"/>
      <c r="AP420" s="635"/>
      <c r="AQ420" s="635"/>
      <c r="AR420" s="635"/>
      <c r="AS420" s="635"/>
      <c r="AT420" s="635"/>
      <c r="AU420" s="635"/>
      <c r="AV420" s="635"/>
      <c r="AW420" s="635"/>
      <c r="AX420" s="635"/>
      <c r="AY420" s="945"/>
    </row>
    <row r="421" spans="2:64">
      <c r="B421" s="758" t="s">
        <v>1153</v>
      </c>
      <c r="C421" s="343"/>
      <c r="D421" s="310" t="s">
        <v>1148</v>
      </c>
      <c r="E421" s="631"/>
      <c r="F421" s="635"/>
      <c r="G421" s="635"/>
      <c r="H421" s="635"/>
      <c r="I421" s="874">
        <f t="shared" si="313"/>
        <v>4.8098370036130591</v>
      </c>
      <c r="J421" s="874">
        <f t="shared" si="313"/>
        <v>4.2741642989377402</v>
      </c>
      <c r="K421" s="874">
        <f t="shared" si="313"/>
        <v>4.1796831590255232</v>
      </c>
      <c r="L421" s="874">
        <f t="shared" si="313"/>
        <v>3.9307755186561115</v>
      </c>
      <c r="M421" s="874">
        <f t="shared" si="313"/>
        <v>3.7710775561050909</v>
      </c>
      <c r="N421" s="1556"/>
      <c r="O421" s="635"/>
      <c r="P421" s="635"/>
      <c r="Q421" s="635"/>
      <c r="R421" s="635"/>
      <c r="S421" s="635"/>
      <c r="T421" s="945"/>
      <c r="U421" s="789"/>
      <c r="V421" s="635"/>
      <c r="W421" s="635"/>
      <c r="X421" s="635"/>
      <c r="Y421" s="635"/>
      <c r="Z421" s="635"/>
      <c r="AA421" s="635"/>
      <c r="AB421" s="635"/>
      <c r="AC421" s="635"/>
      <c r="AD421" s="635"/>
      <c r="AE421" s="635"/>
      <c r="AF421" s="635"/>
      <c r="AG421" s="635"/>
      <c r="AH421" s="635"/>
      <c r="AI421" s="635"/>
      <c r="AJ421" s="635"/>
      <c r="AK421" s="635"/>
      <c r="AL421" s="635"/>
      <c r="AM421" s="635"/>
      <c r="AN421" s="635"/>
      <c r="AO421" s="635"/>
      <c r="AP421" s="635"/>
      <c r="AQ421" s="635"/>
      <c r="AR421" s="635"/>
      <c r="AS421" s="635"/>
      <c r="AT421" s="635"/>
      <c r="AU421" s="635"/>
      <c r="AV421" s="635"/>
      <c r="AW421" s="635"/>
      <c r="AX421" s="635"/>
      <c r="AY421" s="945"/>
    </row>
    <row r="422" spans="2:64">
      <c r="B422" s="758" t="s">
        <v>1154</v>
      </c>
      <c r="C422" s="343"/>
      <c r="D422" s="310" t="s">
        <v>1149</v>
      </c>
      <c r="E422" s="631"/>
      <c r="F422" s="635"/>
      <c r="G422" s="635"/>
      <c r="H422" s="635"/>
      <c r="I422" s="874">
        <f t="shared" si="313"/>
        <v>3.9828845327303646</v>
      </c>
      <c r="J422" s="874">
        <f t="shared" si="313"/>
        <v>4.2456059606533589</v>
      </c>
      <c r="K422" s="874">
        <f t="shared" si="313"/>
        <v>4.591106883664497</v>
      </c>
      <c r="L422" s="874">
        <f t="shared" si="313"/>
        <v>3.933456952739371</v>
      </c>
      <c r="M422" s="874">
        <f t="shared" si="313"/>
        <v>3.6759436751166903</v>
      </c>
      <c r="N422" s="1556"/>
      <c r="O422" s="635"/>
      <c r="P422" s="635"/>
      <c r="Q422" s="635"/>
      <c r="R422" s="635"/>
      <c r="S422" s="635"/>
      <c r="T422" s="945"/>
      <c r="U422" s="789"/>
      <c r="V422" s="635"/>
      <c r="W422" s="635"/>
      <c r="X422" s="635"/>
      <c r="Y422" s="635"/>
      <c r="Z422" s="635"/>
      <c r="AA422" s="635"/>
      <c r="AB422" s="635"/>
      <c r="AC422" s="635"/>
      <c r="AD422" s="635"/>
      <c r="AE422" s="635"/>
      <c r="AF422" s="635"/>
      <c r="AG422" s="635"/>
      <c r="AH422" s="635"/>
      <c r="AI422" s="635"/>
      <c r="AJ422" s="635"/>
      <c r="AK422" s="635"/>
      <c r="AL422" s="635"/>
      <c r="AM422" s="635"/>
      <c r="AN422" s="635"/>
      <c r="AO422" s="635"/>
      <c r="AP422" s="635"/>
      <c r="AQ422" s="635"/>
      <c r="AR422" s="635"/>
      <c r="AS422" s="635"/>
      <c r="AT422" s="635"/>
      <c r="AU422" s="635"/>
      <c r="AV422" s="635"/>
      <c r="AW422" s="635"/>
      <c r="AX422" s="635"/>
      <c r="AY422" s="945"/>
    </row>
    <row r="423" spans="2:64">
      <c r="B423" s="758" t="s">
        <v>1155</v>
      </c>
      <c r="C423" s="343"/>
      <c r="D423" s="310" t="s">
        <v>1150</v>
      </c>
      <c r="E423" s="631"/>
      <c r="F423" s="635"/>
      <c r="G423" s="635"/>
      <c r="H423" s="635"/>
      <c r="I423" s="874"/>
      <c r="J423" s="874"/>
      <c r="K423" s="874"/>
      <c r="L423" s="874"/>
      <c r="M423" s="874"/>
      <c r="N423" s="1556"/>
      <c r="O423" s="635"/>
      <c r="P423" s="635"/>
      <c r="Q423" s="635"/>
      <c r="R423" s="635"/>
      <c r="S423" s="635"/>
      <c r="T423" s="945"/>
      <c r="U423" s="789"/>
      <c r="V423" s="635"/>
      <c r="W423" s="635"/>
      <c r="X423" s="635"/>
      <c r="Y423" s="635"/>
      <c r="Z423" s="635"/>
      <c r="AA423" s="635"/>
      <c r="AB423" s="635"/>
      <c r="AC423" s="635"/>
      <c r="AD423" s="635"/>
      <c r="AE423" s="635"/>
      <c r="AF423" s="635"/>
      <c r="AG423" s="635"/>
      <c r="AH423" s="635"/>
      <c r="AI423" s="635"/>
      <c r="AJ423" s="635"/>
      <c r="AK423" s="635"/>
      <c r="AL423" s="635"/>
      <c r="AM423" s="635"/>
      <c r="AN423" s="635"/>
      <c r="AO423" s="635"/>
      <c r="AP423" s="635"/>
      <c r="AQ423" s="635"/>
      <c r="AR423" s="635"/>
      <c r="AS423" s="635"/>
      <c r="AT423" s="635"/>
      <c r="AU423" s="635"/>
      <c r="AV423" s="635"/>
      <c r="AW423" s="635"/>
      <c r="AX423" s="635"/>
      <c r="AY423" s="945"/>
    </row>
    <row r="424" spans="2:64">
      <c r="B424" s="758" t="s">
        <v>1057</v>
      </c>
      <c r="C424" s="343"/>
      <c r="D424" s="310" t="s">
        <v>1151</v>
      </c>
      <c r="E424" s="631"/>
      <c r="F424" s="635"/>
      <c r="G424" s="635"/>
      <c r="H424" s="635"/>
      <c r="I424" s="874">
        <f t="shared" ref="I424:M425" si="314">I389/I413</f>
        <v>4.5481430977781345</v>
      </c>
      <c r="J424" s="874">
        <f t="shared" si="314"/>
        <v>5.0460882618552807</v>
      </c>
      <c r="K424" s="874">
        <f t="shared" si="314"/>
        <v>4.6203270528369371</v>
      </c>
      <c r="L424" s="874">
        <f t="shared" si="314"/>
        <v>4.6694850655021831</v>
      </c>
      <c r="M424" s="874">
        <f t="shared" si="314"/>
        <v>4.4239173443645461</v>
      </c>
      <c r="N424" s="1556"/>
      <c r="O424" s="635"/>
      <c r="P424" s="635"/>
      <c r="Q424" s="635"/>
      <c r="R424" s="635"/>
      <c r="S424" s="635"/>
      <c r="T424" s="945"/>
      <c r="U424" s="789"/>
      <c r="V424" s="635"/>
      <c r="W424" s="635"/>
      <c r="X424" s="635"/>
      <c r="Y424" s="635"/>
      <c r="Z424" s="635"/>
      <c r="AA424" s="635"/>
      <c r="AB424" s="635"/>
      <c r="AC424" s="635"/>
      <c r="AD424" s="635"/>
      <c r="AE424" s="635"/>
      <c r="AF424" s="635"/>
      <c r="AG424" s="635"/>
      <c r="AH424" s="635"/>
      <c r="AI424" s="635"/>
      <c r="AJ424" s="635"/>
      <c r="AK424" s="635"/>
      <c r="AL424" s="635"/>
      <c r="AM424" s="635"/>
      <c r="AN424" s="635"/>
      <c r="AO424" s="635"/>
      <c r="AP424" s="635"/>
      <c r="AQ424" s="635"/>
      <c r="AR424" s="635"/>
      <c r="AS424" s="635"/>
      <c r="AT424" s="635"/>
      <c r="AU424" s="635"/>
      <c r="AV424" s="635"/>
      <c r="AW424" s="635"/>
      <c r="AX424" s="635"/>
      <c r="AY424" s="945"/>
    </row>
    <row r="425" spans="2:64">
      <c r="B425" s="841" t="s">
        <v>1234</v>
      </c>
      <c r="C425" s="302"/>
      <c r="D425" s="789" t="s">
        <v>1738</v>
      </c>
      <c r="E425" s="631"/>
      <c r="F425" s="635"/>
      <c r="G425" s="635"/>
      <c r="H425" s="635"/>
      <c r="I425" s="874">
        <f t="shared" si="314"/>
        <v>4.5148802402678445</v>
      </c>
      <c r="J425" s="874">
        <f t="shared" si="314"/>
        <v>4.3969710665282058</v>
      </c>
      <c r="K425" s="874">
        <f t="shared" si="314"/>
        <v>3.9956540848101474</v>
      </c>
      <c r="L425" s="874">
        <f t="shared" si="314"/>
        <v>3.9115227331282534</v>
      </c>
      <c r="M425" s="874">
        <f t="shared" si="314"/>
        <v>3.7128274359491558</v>
      </c>
      <c r="N425" s="1556"/>
      <c r="O425" s="635"/>
      <c r="P425" s="635"/>
      <c r="Q425" s="635"/>
      <c r="R425" s="635"/>
      <c r="S425" s="635"/>
      <c r="T425" s="945"/>
      <c r="U425" s="789"/>
      <c r="V425" s="635"/>
      <c r="W425" s="635"/>
      <c r="X425" s="635"/>
      <c r="Y425" s="635"/>
      <c r="Z425" s="635"/>
      <c r="AA425" s="635"/>
      <c r="AB425" s="635"/>
      <c r="AC425" s="635"/>
      <c r="AD425" s="635"/>
      <c r="AE425" s="635"/>
      <c r="AF425" s="635"/>
      <c r="AG425" s="635"/>
      <c r="AH425" s="635"/>
      <c r="AI425" s="635"/>
      <c r="AJ425" s="635"/>
      <c r="AK425" s="635"/>
      <c r="AL425" s="635"/>
      <c r="AM425" s="635"/>
      <c r="AN425" s="635"/>
      <c r="AO425" s="635"/>
      <c r="AP425" s="635"/>
      <c r="AQ425" s="635"/>
      <c r="AR425" s="635"/>
      <c r="AS425" s="635"/>
      <c r="AT425" s="635"/>
      <c r="AU425" s="635"/>
      <c r="AV425" s="635"/>
      <c r="AW425" s="635"/>
      <c r="AX425" s="635"/>
      <c r="AY425" s="945"/>
    </row>
    <row r="426" spans="2:64">
      <c r="B426" s="741"/>
      <c r="C426" s="343"/>
      <c r="D426" s="741"/>
      <c r="E426" s="631"/>
      <c r="F426" s="635"/>
      <c r="G426" s="635"/>
      <c r="H426" s="635"/>
      <c r="I426" s="635"/>
      <c r="J426" s="635"/>
      <c r="K426" s="635"/>
      <c r="L426" s="635"/>
      <c r="M426" s="635"/>
      <c r="N426" s="1556"/>
      <c r="O426" s="635"/>
      <c r="P426" s="635"/>
      <c r="Q426" s="635"/>
      <c r="R426" s="635"/>
      <c r="S426" s="635"/>
      <c r="T426" s="945"/>
      <c r="U426" s="789"/>
      <c r="V426" s="635"/>
      <c r="W426" s="635"/>
      <c r="X426" s="635"/>
      <c r="Y426" s="635"/>
      <c r="Z426" s="635"/>
      <c r="AA426" s="635"/>
      <c r="AB426" s="635"/>
      <c r="AC426" s="635"/>
      <c r="AD426" s="635"/>
      <c r="AE426" s="635"/>
      <c r="AF426" s="635"/>
      <c r="AG426" s="635"/>
      <c r="AH426" s="635"/>
      <c r="AI426" s="635"/>
      <c r="AJ426" s="635"/>
      <c r="AK426" s="635"/>
      <c r="AL426" s="635"/>
      <c r="AM426" s="635"/>
      <c r="AN426" s="635"/>
      <c r="AO426" s="635"/>
      <c r="AP426" s="635"/>
      <c r="AQ426" s="635"/>
      <c r="AR426" s="635"/>
      <c r="AS426" s="635"/>
      <c r="AT426" s="635"/>
      <c r="AU426" s="635"/>
      <c r="AV426" s="635"/>
      <c r="AW426" s="635"/>
      <c r="AX426" s="635"/>
      <c r="AY426" s="945"/>
    </row>
    <row r="427" spans="2:64" ht="11.25" customHeight="1">
      <c r="B427" s="1167" t="s">
        <v>1259</v>
      </c>
      <c r="C427" s="343"/>
      <c r="D427" s="310"/>
      <c r="E427" s="313"/>
      <c r="F427" s="348"/>
      <c r="G427" s="348"/>
      <c r="H427" s="348"/>
      <c r="I427" s="348"/>
      <c r="J427" s="348"/>
      <c r="K427" s="348"/>
      <c r="L427" s="348"/>
      <c r="M427" s="348"/>
      <c r="N427" s="1551"/>
      <c r="O427" s="348"/>
      <c r="P427" s="348"/>
      <c r="Q427" s="630"/>
      <c r="R427" s="630"/>
      <c r="S427" s="630"/>
      <c r="V427" s="1159"/>
      <c r="W427" s="303"/>
      <c r="X427" s="1159"/>
      <c r="Y427" s="303"/>
      <c r="Z427" s="1159"/>
      <c r="AA427" s="303"/>
      <c r="AB427" s="303"/>
      <c r="AC427" s="303"/>
      <c r="AD427" s="303"/>
      <c r="AE427" s="303"/>
      <c r="AF427" s="303"/>
      <c r="AG427" s="303"/>
      <c r="AH427" s="303"/>
      <c r="AI427" s="303"/>
      <c r="AJ427" s="303"/>
      <c r="AK427" s="303"/>
      <c r="AL427" s="303"/>
      <c r="AM427" s="303"/>
      <c r="AN427" s="303"/>
      <c r="AO427" s="303"/>
      <c r="AP427" s="303"/>
      <c r="AQ427" s="303"/>
      <c r="AR427" s="303"/>
      <c r="AS427" s="303"/>
      <c r="AT427" s="303"/>
      <c r="AU427" s="303"/>
      <c r="AV427" s="303"/>
      <c r="AW427" s="303"/>
      <c r="AX427" s="303"/>
      <c r="BF427" s="1170"/>
      <c r="BG427" s="1171"/>
      <c r="BH427" s="1170"/>
      <c r="BI427" s="1171"/>
      <c r="BJ427" s="1170"/>
      <c r="BK427" s="1171"/>
      <c r="BL427" s="1170"/>
    </row>
    <row r="428" spans="2:64">
      <c r="B428" s="758" t="s">
        <v>1144</v>
      </c>
      <c r="C428" s="343"/>
      <c r="D428" s="310" t="s">
        <v>1143</v>
      </c>
      <c r="E428" s="631"/>
      <c r="F428" s="635"/>
      <c r="G428" s="635"/>
      <c r="H428" s="635"/>
      <c r="I428" s="635"/>
      <c r="J428" s="635">
        <f t="shared" ref="J428:K433" si="315">J417/I417-1</f>
        <v>-9.0707897742089427E-2</v>
      </c>
      <c r="K428" s="635">
        <f t="shared" si="315"/>
        <v>-1.2203837305435838E-2</v>
      </c>
      <c r="L428" s="635">
        <f>L417/K417-1</f>
        <v>-2.7551227083924879E-2</v>
      </c>
      <c r="M428" s="635">
        <f>M417/L417-1</f>
        <v>-6.1362532536094694E-2</v>
      </c>
      <c r="N428" s="1556"/>
      <c r="O428" s="635"/>
      <c r="P428" s="635"/>
      <c r="Q428" s="635"/>
      <c r="R428" s="635"/>
      <c r="S428" s="635"/>
      <c r="T428" s="945"/>
      <c r="U428" s="789"/>
      <c r="V428" s="635"/>
      <c r="W428" s="635"/>
      <c r="X428" s="635"/>
      <c r="Y428" s="635"/>
      <c r="Z428" s="635"/>
      <c r="AA428" s="635"/>
      <c r="AB428" s="635"/>
      <c r="AC428" s="635"/>
      <c r="AD428" s="635"/>
      <c r="AE428" s="635"/>
      <c r="AF428" s="635"/>
      <c r="AG428" s="635"/>
      <c r="AH428" s="635"/>
      <c r="AI428" s="635"/>
      <c r="AJ428" s="635"/>
      <c r="AK428" s="635"/>
      <c r="AL428" s="635"/>
      <c r="AM428" s="635"/>
      <c r="AN428" s="635"/>
      <c r="AO428" s="635"/>
      <c r="AP428" s="635"/>
      <c r="AQ428" s="635"/>
      <c r="AR428" s="635"/>
      <c r="AS428" s="635"/>
      <c r="AT428" s="635"/>
      <c r="AU428" s="635"/>
      <c r="AV428" s="635"/>
      <c r="AW428" s="635"/>
      <c r="AX428" s="635"/>
      <c r="AY428" s="945"/>
    </row>
    <row r="429" spans="2:64">
      <c r="B429" s="758" t="s">
        <v>1157</v>
      </c>
      <c r="C429" s="343"/>
      <c r="D429" s="310" t="s">
        <v>1145</v>
      </c>
      <c r="E429" s="631"/>
      <c r="F429" s="635"/>
      <c r="G429" s="635"/>
      <c r="H429" s="635"/>
      <c r="I429" s="635"/>
      <c r="J429" s="635">
        <f t="shared" si="315"/>
        <v>-4.2098985383652754E-2</v>
      </c>
      <c r="K429" s="635">
        <f t="shared" si="315"/>
        <v>1.9992086396681596E-2</v>
      </c>
      <c r="L429" s="635">
        <f t="shared" ref="L429:M436" si="316">L418/K418-1</f>
        <v>-7.8213012828836415E-2</v>
      </c>
      <c r="M429" s="635">
        <f t="shared" si="316"/>
        <v>-3.9431732183876855E-2</v>
      </c>
      <c r="N429" s="1556"/>
      <c r="O429" s="635"/>
      <c r="P429" s="635"/>
      <c r="Q429" s="635"/>
      <c r="R429" s="635"/>
      <c r="S429" s="635"/>
      <c r="T429" s="945"/>
      <c r="U429" s="789"/>
      <c r="V429" s="635"/>
      <c r="W429" s="635"/>
      <c r="X429" s="635"/>
      <c r="Y429" s="635"/>
      <c r="Z429" s="635"/>
      <c r="AA429" s="635"/>
      <c r="AB429" s="635"/>
      <c r="AC429" s="635"/>
      <c r="AD429" s="635"/>
      <c r="AE429" s="635"/>
      <c r="AF429" s="635"/>
      <c r="AG429" s="635"/>
      <c r="AH429" s="635"/>
      <c r="AI429" s="635"/>
      <c r="AJ429" s="635"/>
      <c r="AK429" s="635"/>
      <c r="AL429" s="635"/>
      <c r="AM429" s="635"/>
      <c r="AN429" s="635"/>
      <c r="AO429" s="635"/>
      <c r="AP429" s="635"/>
      <c r="AQ429" s="635"/>
      <c r="AR429" s="635"/>
      <c r="AS429" s="635"/>
      <c r="AT429" s="635"/>
      <c r="AU429" s="635"/>
      <c r="AV429" s="635"/>
      <c r="AW429" s="635"/>
      <c r="AX429" s="635"/>
      <c r="AY429" s="945"/>
    </row>
    <row r="430" spans="2:64">
      <c r="B430" s="758" t="s">
        <v>1152</v>
      </c>
      <c r="C430" s="343"/>
      <c r="D430" s="310" t="s">
        <v>1146</v>
      </c>
      <c r="E430" s="631"/>
      <c r="F430" s="635"/>
      <c r="G430" s="635"/>
      <c r="H430" s="635"/>
      <c r="I430" s="635"/>
      <c r="J430" s="635">
        <f t="shared" si="315"/>
        <v>-3.8120719665287739E-3</v>
      </c>
      <c r="K430" s="635">
        <f t="shared" si="315"/>
        <v>3.3552136600913052E-2</v>
      </c>
      <c r="L430" s="635">
        <f t="shared" si="316"/>
        <v>-4.3721742414417286E-2</v>
      </c>
      <c r="M430" s="635">
        <f t="shared" si="316"/>
        <v>-1.0505913178076365E-2</v>
      </c>
      <c r="N430" s="1556"/>
      <c r="O430" s="635"/>
      <c r="P430" s="635"/>
      <c r="Q430" s="635"/>
      <c r="R430" s="635"/>
      <c r="S430" s="635"/>
      <c r="T430" s="945"/>
      <c r="U430" s="789"/>
      <c r="V430" s="635"/>
      <c r="W430" s="635"/>
      <c r="X430" s="635"/>
      <c r="Y430" s="635"/>
      <c r="Z430" s="635"/>
      <c r="AA430" s="635"/>
      <c r="AB430" s="635"/>
      <c r="AC430" s="635"/>
      <c r="AD430" s="635"/>
      <c r="AE430" s="635"/>
      <c r="AF430" s="635"/>
      <c r="AG430" s="635"/>
      <c r="AH430" s="635"/>
      <c r="AI430" s="635"/>
      <c r="AJ430" s="635"/>
      <c r="AK430" s="635"/>
      <c r="AL430" s="635"/>
      <c r="AM430" s="635"/>
      <c r="AN430" s="635"/>
      <c r="AO430" s="635"/>
      <c r="AP430" s="635"/>
      <c r="AQ430" s="635"/>
      <c r="AR430" s="635"/>
      <c r="AS430" s="635"/>
      <c r="AT430" s="635"/>
      <c r="AU430" s="635"/>
      <c r="AV430" s="635"/>
      <c r="AW430" s="635"/>
      <c r="AX430" s="635"/>
      <c r="AY430" s="945"/>
    </row>
    <row r="431" spans="2:64">
      <c r="B431" s="758" t="s">
        <v>1156</v>
      </c>
      <c r="C431" s="343"/>
      <c r="D431" s="310" t="s">
        <v>1147</v>
      </c>
      <c r="E431" s="631"/>
      <c r="F431" s="635"/>
      <c r="G431" s="635"/>
      <c r="H431" s="635"/>
      <c r="I431" s="635"/>
      <c r="J431" s="635">
        <f t="shared" si="315"/>
        <v>-9.8656437639947581E-2</v>
      </c>
      <c r="K431" s="635">
        <f t="shared" si="315"/>
        <v>4.2498149345743919E-2</v>
      </c>
      <c r="L431" s="635">
        <f t="shared" si="316"/>
        <v>-5.4883321622162806E-2</v>
      </c>
      <c r="M431" s="635">
        <f t="shared" si="316"/>
        <v>-4.5884387657266545E-2</v>
      </c>
      <c r="N431" s="1556"/>
      <c r="O431" s="635"/>
      <c r="P431" s="635"/>
      <c r="Q431" s="635"/>
      <c r="R431" s="635"/>
      <c r="S431" s="635"/>
      <c r="T431" s="945"/>
      <c r="U431" s="789"/>
      <c r="V431" s="635"/>
      <c r="W431" s="635"/>
      <c r="X431" s="635"/>
      <c r="Y431" s="635"/>
      <c r="Z431" s="635"/>
      <c r="AA431" s="635"/>
      <c r="AB431" s="635"/>
      <c r="AC431" s="635"/>
      <c r="AD431" s="635"/>
      <c r="AE431" s="635"/>
      <c r="AF431" s="635"/>
      <c r="AG431" s="635"/>
      <c r="AH431" s="635"/>
      <c r="AI431" s="635"/>
      <c r="AJ431" s="635"/>
      <c r="AK431" s="635"/>
      <c r="AL431" s="635"/>
      <c r="AM431" s="635"/>
      <c r="AN431" s="635"/>
      <c r="AO431" s="635"/>
      <c r="AP431" s="635"/>
      <c r="AQ431" s="635"/>
      <c r="AR431" s="635"/>
      <c r="AS431" s="635"/>
      <c r="AT431" s="635"/>
      <c r="AU431" s="635"/>
      <c r="AV431" s="635"/>
      <c r="AW431" s="635"/>
      <c r="AX431" s="635"/>
      <c r="AY431" s="945"/>
    </row>
    <row r="432" spans="2:64">
      <c r="B432" s="758" t="s">
        <v>1153</v>
      </c>
      <c r="C432" s="343"/>
      <c r="D432" s="310" t="s">
        <v>1148</v>
      </c>
      <c r="E432" s="631"/>
      <c r="F432" s="635"/>
      <c r="G432" s="635"/>
      <c r="H432" s="635"/>
      <c r="I432" s="635"/>
      <c r="J432" s="635">
        <f t="shared" si="315"/>
        <v>-0.11137024066988788</v>
      </c>
      <c r="K432" s="635">
        <f t="shared" si="315"/>
        <v>-2.2105172685031871E-2</v>
      </c>
      <c r="L432" s="635">
        <f t="shared" si="316"/>
        <v>-5.9551796368087273E-2</v>
      </c>
      <c r="M432" s="635">
        <f t="shared" si="316"/>
        <v>-4.0627596715474557E-2</v>
      </c>
      <c r="N432" s="1556"/>
      <c r="O432" s="635"/>
      <c r="P432" s="635"/>
      <c r="Q432" s="635"/>
      <c r="R432" s="635"/>
      <c r="S432" s="635"/>
      <c r="T432" s="945"/>
      <c r="U432" s="789"/>
      <c r="V432" s="635"/>
      <c r="W432" s="635"/>
      <c r="X432" s="635"/>
      <c r="Y432" s="635"/>
      <c r="Z432" s="635"/>
      <c r="AA432" s="635"/>
      <c r="AB432" s="635"/>
      <c r="AC432" s="635"/>
      <c r="AD432" s="635"/>
      <c r="AE432" s="635"/>
      <c r="AF432" s="635"/>
      <c r="AG432" s="635"/>
      <c r="AH432" s="635"/>
      <c r="AI432" s="635"/>
      <c r="AJ432" s="635"/>
      <c r="AK432" s="635"/>
      <c r="AL432" s="635"/>
      <c r="AM432" s="635"/>
      <c r="AN432" s="635"/>
      <c r="AO432" s="635"/>
      <c r="AP432" s="635"/>
      <c r="AQ432" s="635"/>
      <c r="AR432" s="635"/>
      <c r="AS432" s="635"/>
      <c r="AT432" s="635"/>
      <c r="AU432" s="635"/>
      <c r="AV432" s="635"/>
      <c r="AW432" s="635"/>
      <c r="AX432" s="635"/>
      <c r="AY432" s="945"/>
    </row>
    <row r="433" spans="2:81">
      <c r="B433" s="758" t="s">
        <v>1154</v>
      </c>
      <c r="C433" s="343"/>
      <c r="D433" s="310" t="s">
        <v>1149</v>
      </c>
      <c r="E433" s="631"/>
      <c r="F433" s="635"/>
      <c r="G433" s="635"/>
      <c r="H433" s="635"/>
      <c r="I433" s="635"/>
      <c r="J433" s="635">
        <f t="shared" si="315"/>
        <v>6.5962602170365203E-2</v>
      </c>
      <c r="K433" s="635">
        <f t="shared" si="315"/>
        <v>8.1378471344987657E-2</v>
      </c>
      <c r="L433" s="635">
        <f t="shared" si="316"/>
        <v>-0.14324430852722991</v>
      </c>
      <c r="M433" s="635">
        <f t="shared" si="316"/>
        <v>-6.5467419808253213E-2</v>
      </c>
      <c r="N433" s="1556"/>
      <c r="O433" s="635"/>
      <c r="P433" s="635"/>
      <c r="Q433" s="635"/>
      <c r="R433" s="635"/>
      <c r="S433" s="635"/>
      <c r="T433" s="945"/>
      <c r="U433" s="789"/>
      <c r="V433" s="635"/>
      <c r="W433" s="635"/>
      <c r="X433" s="635"/>
      <c r="Y433" s="635"/>
      <c r="Z433" s="635"/>
      <c r="AA433" s="635"/>
      <c r="AB433" s="635"/>
      <c r="AC433" s="635"/>
      <c r="AD433" s="635"/>
      <c r="AE433" s="635"/>
      <c r="AF433" s="635"/>
      <c r="AG433" s="635"/>
      <c r="AH433" s="635"/>
      <c r="AI433" s="635"/>
      <c r="AJ433" s="635"/>
      <c r="AK433" s="635"/>
      <c r="AL433" s="635"/>
      <c r="AM433" s="635"/>
      <c r="AN433" s="635"/>
      <c r="AO433" s="635"/>
      <c r="AP433" s="635"/>
      <c r="AQ433" s="635"/>
      <c r="AR433" s="635"/>
      <c r="AS433" s="635"/>
      <c r="AT433" s="635"/>
      <c r="AU433" s="635"/>
      <c r="AV433" s="635"/>
      <c r="AW433" s="635"/>
      <c r="AX433" s="635"/>
      <c r="AY433" s="945"/>
    </row>
    <row r="434" spans="2:81">
      <c r="B434" s="758" t="s">
        <v>1155</v>
      </c>
      <c r="C434" s="343"/>
      <c r="D434" s="310" t="s">
        <v>1150</v>
      </c>
      <c r="E434" s="631"/>
      <c r="F434" s="635"/>
      <c r="G434" s="635"/>
      <c r="H434" s="635"/>
      <c r="I434" s="635"/>
      <c r="J434" s="635"/>
      <c r="K434" s="635"/>
      <c r="L434" s="635"/>
      <c r="M434" s="635"/>
      <c r="N434" s="1556"/>
      <c r="O434" s="635"/>
      <c r="P434" s="635"/>
      <c r="Q434" s="635"/>
      <c r="R434" s="635"/>
      <c r="S434" s="635"/>
      <c r="T434" s="945"/>
      <c r="U434" s="789"/>
      <c r="V434" s="635"/>
      <c r="W434" s="635"/>
      <c r="X434" s="635"/>
      <c r="Y434" s="635"/>
      <c r="Z434" s="635"/>
      <c r="AA434" s="635"/>
      <c r="AB434" s="635"/>
      <c r="AC434" s="635"/>
      <c r="AD434" s="635"/>
      <c r="AE434" s="635"/>
      <c r="AF434" s="635"/>
      <c r="AG434" s="635"/>
      <c r="AH434" s="635"/>
      <c r="AI434" s="635"/>
      <c r="AJ434" s="635"/>
      <c r="AK434" s="635"/>
      <c r="AL434" s="635"/>
      <c r="AM434" s="635"/>
      <c r="AN434" s="635"/>
      <c r="AO434" s="635"/>
      <c r="AP434" s="635"/>
      <c r="AQ434" s="635"/>
      <c r="AR434" s="635"/>
      <c r="AS434" s="635"/>
      <c r="AT434" s="635"/>
      <c r="AU434" s="635"/>
      <c r="AV434" s="635"/>
      <c r="AW434" s="635"/>
      <c r="AX434" s="635"/>
      <c r="AY434" s="945"/>
    </row>
    <row r="435" spans="2:81">
      <c r="B435" s="758" t="s">
        <v>1057</v>
      </c>
      <c r="C435" s="343"/>
      <c r="D435" s="310" t="s">
        <v>1151</v>
      </c>
      <c r="E435" s="631"/>
      <c r="F435" s="635"/>
      <c r="G435" s="635"/>
      <c r="H435" s="635"/>
      <c r="I435" s="635"/>
      <c r="J435" s="635">
        <f>J424/I424-1</f>
        <v>0.10948317882091341</v>
      </c>
      <c r="K435" s="635">
        <f>K424/J424-1</f>
        <v>-8.4374506929810411E-2</v>
      </c>
      <c r="L435" s="635">
        <f t="shared" si="316"/>
        <v>1.0639509303797423E-2</v>
      </c>
      <c r="M435" s="635">
        <f t="shared" si="316"/>
        <v>-5.2589893252228959E-2</v>
      </c>
      <c r="N435" s="1556"/>
      <c r="O435" s="635"/>
      <c r="P435" s="635"/>
      <c r="Q435" s="635"/>
      <c r="R435" s="635"/>
      <c r="S435" s="635"/>
      <c r="T435" s="945"/>
      <c r="U435" s="789"/>
      <c r="V435" s="635"/>
      <c r="W435" s="635"/>
      <c r="X435" s="635"/>
      <c r="Y435" s="635"/>
      <c r="Z435" s="635"/>
      <c r="AA435" s="635"/>
      <c r="AB435" s="635"/>
      <c r="AC435" s="635"/>
      <c r="AD435" s="635"/>
      <c r="AE435" s="635"/>
      <c r="AF435" s="635"/>
      <c r="AG435" s="635"/>
      <c r="AH435" s="635"/>
      <c r="AI435" s="635"/>
      <c r="AJ435" s="635"/>
      <c r="AK435" s="635"/>
      <c r="AL435" s="635"/>
      <c r="AM435" s="635"/>
      <c r="AN435" s="635"/>
      <c r="AO435" s="635"/>
      <c r="AP435" s="635"/>
      <c r="AQ435" s="635"/>
      <c r="AR435" s="635"/>
      <c r="AS435" s="635"/>
      <c r="AT435" s="635"/>
      <c r="AU435" s="635"/>
      <c r="AV435" s="635"/>
      <c r="AW435" s="635"/>
      <c r="AX435" s="635"/>
      <c r="AY435" s="945"/>
    </row>
    <row r="436" spans="2:81">
      <c r="B436" s="841" t="s">
        <v>1234</v>
      </c>
      <c r="C436" s="302"/>
      <c r="D436" s="789" t="s">
        <v>1738</v>
      </c>
      <c r="E436" s="631"/>
      <c r="F436" s="635"/>
      <c r="G436" s="635"/>
      <c r="H436" s="635"/>
      <c r="I436" s="635"/>
      <c r="J436" s="635">
        <f>J425/I425-1</f>
        <v>-2.611568136138287E-2</v>
      </c>
      <c r="K436" s="635">
        <f>K425/J425-1</f>
        <v>-9.1271235504156611E-2</v>
      </c>
      <c r="L436" s="635">
        <f t="shared" si="316"/>
        <v>-2.1055714507851708E-2</v>
      </c>
      <c r="M436" s="635">
        <f t="shared" si="316"/>
        <v>-5.0797428708842074E-2</v>
      </c>
      <c r="N436" s="1556"/>
      <c r="O436" s="635"/>
      <c r="P436" s="635"/>
      <c r="Q436" s="635"/>
      <c r="R436" s="635"/>
      <c r="S436" s="635"/>
      <c r="T436" s="945"/>
      <c r="U436" s="789"/>
      <c r="V436" s="635"/>
      <c r="W436" s="635"/>
      <c r="X436" s="635"/>
      <c r="Y436" s="635"/>
      <c r="Z436" s="635"/>
      <c r="AA436" s="635"/>
      <c r="AB436" s="635"/>
      <c r="AC436" s="635"/>
      <c r="AD436" s="635"/>
      <c r="AE436" s="635"/>
      <c r="AF436" s="635"/>
      <c r="AG436" s="635"/>
      <c r="AH436" s="635"/>
      <c r="AI436" s="635"/>
      <c r="AJ436" s="635"/>
      <c r="AK436" s="635"/>
      <c r="AL436" s="635"/>
      <c r="AM436" s="635"/>
      <c r="AN436" s="635"/>
      <c r="AO436" s="635"/>
      <c r="AP436" s="635"/>
      <c r="AQ436" s="635"/>
      <c r="AR436" s="635"/>
      <c r="AS436" s="635"/>
      <c r="AT436" s="635"/>
      <c r="AU436" s="635"/>
      <c r="AV436" s="635"/>
      <c r="AW436" s="635"/>
      <c r="AX436" s="635"/>
      <c r="AY436" s="945"/>
    </row>
    <row r="437" spans="2:81">
      <c r="B437" s="741"/>
      <c r="C437" s="343"/>
      <c r="D437" s="741"/>
      <c r="E437" s="631"/>
      <c r="F437" s="635"/>
      <c r="G437" s="635"/>
      <c r="H437" s="635"/>
      <c r="I437" s="635"/>
      <c r="J437" s="635"/>
      <c r="K437" s="635"/>
      <c r="L437" s="635"/>
      <c r="M437" s="635"/>
      <c r="N437" s="1556"/>
      <c r="O437" s="635"/>
      <c r="P437" s="635"/>
      <c r="Q437" s="635"/>
      <c r="R437" s="635"/>
      <c r="S437" s="635"/>
      <c r="T437" s="945"/>
      <c r="U437" s="789"/>
      <c r="V437" s="635"/>
      <c r="W437" s="635"/>
      <c r="X437" s="635"/>
      <c r="Y437" s="635"/>
      <c r="Z437" s="635"/>
      <c r="AA437" s="635"/>
      <c r="AB437" s="635"/>
      <c r="AC437" s="635"/>
      <c r="AD437" s="635"/>
      <c r="AE437" s="635"/>
      <c r="AF437" s="635"/>
      <c r="AG437" s="635"/>
      <c r="AH437" s="635"/>
      <c r="AI437" s="635"/>
      <c r="AJ437" s="635"/>
      <c r="AK437" s="635"/>
      <c r="AL437" s="635"/>
      <c r="AM437" s="635"/>
      <c r="AN437" s="635"/>
      <c r="AO437" s="635"/>
      <c r="AP437" s="635"/>
      <c r="AQ437" s="635"/>
      <c r="AR437" s="635"/>
      <c r="AS437" s="635"/>
      <c r="AT437" s="635"/>
      <c r="AU437" s="635"/>
      <c r="AV437" s="635"/>
      <c r="AW437" s="635"/>
      <c r="AX437" s="635"/>
      <c r="AY437" s="945"/>
    </row>
    <row r="438" spans="2:81">
      <c r="B438" s="741"/>
      <c r="C438" s="343"/>
      <c r="D438" s="741"/>
      <c r="E438" s="631"/>
      <c r="F438" s="635"/>
      <c r="G438" s="635"/>
      <c r="H438" s="635"/>
      <c r="I438" s="635"/>
      <c r="J438" s="635"/>
      <c r="K438" s="635"/>
      <c r="L438" s="635"/>
      <c r="M438" s="635"/>
      <c r="N438" s="1556"/>
      <c r="O438" s="635"/>
      <c r="P438" s="635"/>
      <c r="Q438" s="635"/>
      <c r="R438" s="635"/>
      <c r="S438" s="635"/>
      <c r="T438" s="945"/>
      <c r="U438" s="789"/>
      <c r="V438" s="635"/>
      <c r="W438" s="635"/>
      <c r="X438" s="635"/>
      <c r="Y438" s="635"/>
      <c r="Z438" s="635"/>
      <c r="AA438" s="635"/>
      <c r="AB438" s="635"/>
      <c r="AC438" s="635"/>
      <c r="AD438" s="635"/>
      <c r="AE438" s="635"/>
      <c r="AF438" s="635"/>
      <c r="AG438" s="635"/>
      <c r="AH438" s="635"/>
      <c r="AI438" s="635"/>
      <c r="AJ438" s="635"/>
      <c r="AK438" s="635"/>
      <c r="AL438" s="635"/>
      <c r="AM438" s="635"/>
      <c r="AN438" s="635"/>
      <c r="AO438" s="635"/>
      <c r="AP438" s="635"/>
      <c r="AQ438" s="635"/>
      <c r="AR438" s="635"/>
      <c r="AS438" s="635"/>
      <c r="AT438" s="635"/>
      <c r="AU438" s="635"/>
      <c r="AV438" s="635"/>
      <c r="AW438" s="635"/>
      <c r="AX438" s="635"/>
      <c r="AY438" s="945"/>
    </row>
    <row r="439" spans="2:81">
      <c r="B439" s="741"/>
      <c r="C439" s="343"/>
      <c r="D439" s="741"/>
      <c r="E439" s="631"/>
      <c r="F439" s="635"/>
      <c r="G439" s="635"/>
      <c r="H439" s="635"/>
      <c r="I439" s="635"/>
      <c r="J439" s="635"/>
      <c r="K439" s="635"/>
      <c r="L439" s="635"/>
      <c r="M439" s="635"/>
      <c r="N439" s="1556"/>
      <c r="O439" s="635"/>
      <c r="P439" s="635"/>
      <c r="Q439" s="635"/>
      <c r="R439" s="635"/>
      <c r="S439" s="635"/>
      <c r="T439" s="945"/>
      <c r="U439" s="789"/>
      <c r="V439" s="635"/>
      <c r="W439" s="635"/>
      <c r="X439" s="635"/>
      <c r="Y439" s="635"/>
      <c r="Z439" s="635"/>
      <c r="AA439" s="635"/>
      <c r="AB439" s="635"/>
      <c r="AC439" s="635"/>
      <c r="AD439" s="635"/>
      <c r="AE439" s="635"/>
      <c r="AF439" s="635"/>
      <c r="AG439" s="635"/>
      <c r="AH439" s="635"/>
      <c r="AI439" s="635"/>
      <c r="AJ439" s="635"/>
      <c r="AK439" s="635"/>
      <c r="AL439" s="635"/>
      <c r="AM439" s="635"/>
      <c r="AN439" s="635"/>
      <c r="AO439" s="635"/>
      <c r="AP439" s="635"/>
      <c r="AQ439" s="635"/>
      <c r="AR439" s="635"/>
      <c r="AS439" s="635"/>
      <c r="AT439" s="635"/>
      <c r="AU439" s="635"/>
      <c r="AV439" s="635"/>
      <c r="AW439" s="635"/>
      <c r="AX439" s="635"/>
      <c r="AY439" s="945"/>
    </row>
    <row r="440" spans="2:81">
      <c r="B440" s="741"/>
      <c r="C440" s="343"/>
      <c r="D440" s="741"/>
      <c r="E440" s="631"/>
      <c r="F440" s="635"/>
      <c r="G440" s="635"/>
      <c r="H440" s="635"/>
      <c r="I440" s="635"/>
      <c r="J440" s="635"/>
      <c r="K440" s="635"/>
      <c r="L440" s="635"/>
      <c r="M440" s="635"/>
      <c r="N440" s="1556"/>
      <c r="O440" s="635"/>
      <c r="P440" s="635"/>
      <c r="Q440" s="635"/>
      <c r="R440" s="635"/>
      <c r="S440" s="635"/>
      <c r="T440" s="945"/>
      <c r="U440" s="789"/>
      <c r="V440" s="635"/>
      <c r="W440" s="635"/>
      <c r="X440" s="635"/>
      <c r="Y440" s="635"/>
      <c r="Z440" s="635"/>
      <c r="AA440" s="635"/>
      <c r="AB440" s="635"/>
      <c r="AC440" s="635"/>
      <c r="AD440" s="635"/>
      <c r="AE440" s="635"/>
      <c r="AF440" s="635"/>
      <c r="AG440" s="635"/>
      <c r="AH440" s="635"/>
      <c r="AI440" s="635"/>
      <c r="AJ440" s="635"/>
      <c r="AK440" s="635"/>
      <c r="AL440" s="635"/>
      <c r="AM440" s="635"/>
      <c r="AN440" s="635"/>
      <c r="AO440" s="635"/>
      <c r="AP440" s="635"/>
      <c r="AQ440" s="635"/>
      <c r="AR440" s="635"/>
      <c r="AS440" s="635"/>
      <c r="AT440" s="635"/>
      <c r="AU440" s="635"/>
      <c r="AV440" s="635"/>
      <c r="AW440" s="635"/>
      <c r="AX440" s="635"/>
      <c r="AY440" s="945"/>
    </row>
    <row r="441" spans="2:81">
      <c r="B441" s="741"/>
      <c r="C441" s="343"/>
      <c r="D441" s="741"/>
      <c r="E441" s="631"/>
      <c r="F441" s="635"/>
      <c r="G441" s="635"/>
      <c r="H441" s="635"/>
      <c r="I441" s="635"/>
      <c r="J441" s="635"/>
      <c r="K441" s="635"/>
      <c r="L441" s="635"/>
      <c r="M441" s="635"/>
      <c r="N441" s="1556"/>
      <c r="O441" s="635"/>
      <c r="P441" s="635"/>
      <c r="Q441" s="635"/>
      <c r="R441" s="635"/>
      <c r="S441" s="635"/>
      <c r="T441" s="945"/>
      <c r="U441" s="789"/>
      <c r="V441" s="635"/>
      <c r="W441" s="635"/>
      <c r="X441" s="635"/>
      <c r="Y441" s="635"/>
      <c r="Z441" s="635"/>
      <c r="AA441" s="635"/>
      <c r="AB441" s="635"/>
      <c r="AC441" s="635"/>
      <c r="AD441" s="635"/>
      <c r="AE441" s="635"/>
      <c r="AF441" s="635"/>
      <c r="AG441" s="635"/>
      <c r="AH441" s="635"/>
      <c r="AI441" s="635"/>
      <c r="AJ441" s="635"/>
      <c r="AK441" s="635"/>
      <c r="AL441" s="635"/>
      <c r="AM441" s="635"/>
      <c r="AN441" s="635"/>
      <c r="AO441" s="635"/>
      <c r="AP441" s="635"/>
      <c r="AQ441" s="635"/>
      <c r="AR441" s="635"/>
      <c r="AS441" s="635"/>
      <c r="AT441" s="635"/>
      <c r="AU441" s="635"/>
      <c r="AV441" s="635"/>
      <c r="AW441" s="635"/>
      <c r="AX441" s="635"/>
      <c r="AY441" s="945"/>
    </row>
    <row r="442" spans="2:81">
      <c r="B442" s="741"/>
      <c r="C442" s="343"/>
      <c r="D442" s="741"/>
      <c r="E442" s="631"/>
      <c r="F442" s="635"/>
      <c r="G442" s="635"/>
      <c r="H442" s="635"/>
      <c r="I442" s="635"/>
      <c r="J442" s="635"/>
      <c r="K442" s="635"/>
      <c r="L442" s="635"/>
      <c r="M442" s="635"/>
      <c r="N442" s="1556"/>
      <c r="O442" s="635"/>
      <c r="P442" s="635"/>
      <c r="Q442" s="635"/>
      <c r="R442" s="635"/>
      <c r="S442" s="635"/>
      <c r="T442" s="945"/>
      <c r="U442" s="789"/>
      <c r="V442" s="635"/>
      <c r="W442" s="635"/>
      <c r="X442" s="635"/>
      <c r="Y442" s="635"/>
      <c r="Z442" s="635"/>
      <c r="AA442" s="635"/>
      <c r="AB442" s="635"/>
      <c r="AC442" s="635"/>
      <c r="AD442" s="635"/>
      <c r="AE442" s="635"/>
      <c r="AF442" s="635"/>
      <c r="AG442" s="635"/>
      <c r="AH442" s="635"/>
      <c r="AI442" s="635"/>
      <c r="AJ442" s="635"/>
      <c r="AK442" s="635"/>
      <c r="AL442" s="635"/>
      <c r="AM442" s="635"/>
      <c r="AN442" s="635"/>
      <c r="AO442" s="635"/>
      <c r="AP442" s="635"/>
      <c r="AQ442" s="635"/>
      <c r="AR442" s="635"/>
      <c r="AS442" s="635"/>
      <c r="AT442" s="635"/>
      <c r="AU442" s="635"/>
      <c r="AV442" s="635"/>
      <c r="AW442" s="635"/>
      <c r="AX442" s="635"/>
      <c r="AY442" s="945"/>
    </row>
    <row r="443" spans="2:81" s="412" customFormat="1" ht="22.5">
      <c r="B443" s="906" t="s">
        <v>1246</v>
      </c>
      <c r="C443" s="906"/>
      <c r="D443" s="906" t="s">
        <v>1247</v>
      </c>
      <c r="E443" s="907"/>
      <c r="F443" s="909">
        <f t="shared" ref="F443:P443" si="317">F8</f>
        <v>2017</v>
      </c>
      <c r="G443" s="909">
        <f t="shared" si="317"/>
        <v>2018</v>
      </c>
      <c r="H443" s="909">
        <f t="shared" si="317"/>
        <v>2019</v>
      </c>
      <c r="I443" s="909">
        <f t="shared" si="317"/>
        <v>2020</v>
      </c>
      <c r="J443" s="909">
        <f t="shared" si="317"/>
        <v>2021</v>
      </c>
      <c r="K443" s="909">
        <f t="shared" si="317"/>
        <v>2022</v>
      </c>
      <c r="L443" s="909">
        <f t="shared" si="317"/>
        <v>2023</v>
      </c>
      <c r="M443" s="909">
        <f t="shared" si="317"/>
        <v>2024</v>
      </c>
      <c r="N443" s="1557" t="str">
        <f t="shared" si="317"/>
        <v>2025E</v>
      </c>
      <c r="O443" s="909" t="str">
        <f t="shared" si="317"/>
        <v>2026E</v>
      </c>
      <c r="P443" s="909" t="str">
        <f t="shared" si="317"/>
        <v>2027E</v>
      </c>
      <c r="Q443" s="909"/>
      <c r="R443" s="909"/>
      <c r="S443" s="909"/>
      <c r="T443" s="908">
        <f>T33</f>
        <v>0</v>
      </c>
      <c r="U443" s="1161" t="str">
        <f>D443</f>
        <v>销售成本和毛利地理分布</v>
      </c>
      <c r="V443" s="936"/>
      <c r="W443" s="936"/>
      <c r="X443" s="936"/>
      <c r="Y443" s="936"/>
      <c r="Z443" s="936"/>
      <c r="AA443" s="936"/>
      <c r="AB443" s="936"/>
      <c r="AC443" s="936"/>
      <c r="AD443" s="936"/>
      <c r="AE443" s="936"/>
      <c r="AF443" s="936"/>
      <c r="AG443" s="936"/>
      <c r="AH443" s="936"/>
      <c r="AI443" s="936"/>
      <c r="AJ443" s="936"/>
      <c r="AK443" s="936"/>
      <c r="AL443" s="936"/>
      <c r="AM443" s="936"/>
      <c r="AN443" s="936"/>
      <c r="AO443" s="936"/>
      <c r="AP443" s="936"/>
      <c r="AQ443" s="936"/>
      <c r="AR443" s="936"/>
      <c r="AS443" s="936"/>
      <c r="AT443" s="936"/>
      <c r="AU443" s="936"/>
      <c r="AV443" s="936"/>
      <c r="AW443" s="936"/>
      <c r="AX443" s="936"/>
      <c r="AY443" s="953"/>
      <c r="AZ443" s="936"/>
      <c r="BA443" s="936"/>
      <c r="BB443" s="936"/>
      <c r="BC443" s="936"/>
      <c r="BD443" s="936"/>
      <c r="BE443" s="936"/>
      <c r="BF443" s="936"/>
      <c r="BG443" s="936"/>
      <c r="BH443" s="936"/>
      <c r="BI443" s="936"/>
      <c r="BJ443" s="936"/>
      <c r="BK443" s="936"/>
      <c r="BL443" s="936"/>
      <c r="BM443" s="936"/>
      <c r="BN443" s="936"/>
      <c r="BO443" s="936"/>
      <c r="BP443" s="936"/>
      <c r="BQ443" s="936"/>
      <c r="BR443" s="936"/>
      <c r="BS443" s="936"/>
      <c r="BT443" s="936"/>
      <c r="BU443" s="936"/>
      <c r="BV443" s="936"/>
      <c r="BW443" s="936"/>
      <c r="BX443" s="936"/>
      <c r="BY443" s="936"/>
      <c r="BZ443" s="936"/>
      <c r="CA443" s="936"/>
      <c r="CB443" s="936"/>
      <c r="CC443" s="936"/>
    </row>
    <row r="444" spans="2:81" ht="18.75" customHeight="1">
      <c r="B444" s="1167" t="s">
        <v>49</v>
      </c>
      <c r="C444" s="1168" t="s">
        <v>1235</v>
      </c>
      <c r="D444" s="351" t="s">
        <v>1248</v>
      </c>
      <c r="E444" s="631"/>
      <c r="F444" s="631"/>
      <c r="G444" s="631"/>
      <c r="H444" s="400"/>
      <c r="I444" s="400"/>
      <c r="J444" s="400"/>
      <c r="K444" s="400"/>
      <c r="L444" s="635"/>
      <c r="M444" s="635"/>
      <c r="N444" s="1556"/>
      <c r="O444" s="635"/>
      <c r="P444" s="635"/>
      <c r="Q444" s="635"/>
      <c r="R444" s="635"/>
      <c r="S444" s="635"/>
      <c r="T444" s="945"/>
      <c r="U444" s="789"/>
      <c r="V444" s="635"/>
      <c r="W444" s="635"/>
      <c r="X444" s="635"/>
      <c r="Y444" s="635"/>
      <c r="Z444" s="635"/>
      <c r="AA444" s="635"/>
      <c r="AB444" s="635"/>
      <c r="AC444" s="635"/>
      <c r="AD444" s="635"/>
      <c r="AE444" s="635"/>
      <c r="AF444" s="635"/>
      <c r="AG444" s="635"/>
      <c r="AH444" s="635"/>
      <c r="AI444" s="635"/>
      <c r="AJ444" s="635"/>
      <c r="AK444" s="635"/>
      <c r="AL444" s="635"/>
      <c r="AM444" s="635"/>
      <c r="AN444" s="635"/>
      <c r="AO444" s="635"/>
      <c r="AP444" s="635"/>
      <c r="AQ444" s="635"/>
      <c r="AR444" s="635"/>
      <c r="AS444" s="635"/>
      <c r="AT444" s="635"/>
      <c r="AU444" s="635"/>
      <c r="AV444" s="635"/>
      <c r="AW444" s="635"/>
      <c r="AX444" s="635"/>
      <c r="AY444" s="945"/>
    </row>
    <row r="445" spans="2:81">
      <c r="B445" s="758" t="s">
        <v>1144</v>
      </c>
      <c r="C445" s="343"/>
      <c r="D445" s="310" t="s">
        <v>1143</v>
      </c>
      <c r="E445" s="631"/>
      <c r="F445" s="631"/>
      <c r="G445" s="631"/>
      <c r="H445" s="348"/>
      <c r="I445" s="348">
        <f>J445/(1+30.17%)</f>
        <v>-1322.7838518859951</v>
      </c>
      <c r="J445" s="348">
        <v>-1721.8677399999999</v>
      </c>
      <c r="K445" s="348">
        <v>-1879.6093579999999</v>
      </c>
      <c r="L445" s="348">
        <v>-2034.9893770000001</v>
      </c>
      <c r="M445" s="1923">
        <v>-2312.2220080399998</v>
      </c>
      <c r="N445" s="2124"/>
      <c r="O445" s="635"/>
      <c r="P445" s="635"/>
      <c r="Q445" s="635"/>
      <c r="R445" s="635"/>
      <c r="S445" s="635"/>
      <c r="T445" s="945"/>
      <c r="U445" s="789"/>
      <c r="V445" s="635"/>
      <c r="W445" s="635"/>
      <c r="X445" s="635"/>
      <c r="Y445" s="635"/>
      <c r="Z445" s="635"/>
      <c r="AA445" s="635"/>
      <c r="AB445" s="635"/>
      <c r="AC445" s="635"/>
      <c r="AD445" s="635"/>
      <c r="AE445" s="635"/>
      <c r="AF445" s="635"/>
      <c r="AG445" s="635"/>
      <c r="AH445" s="635"/>
      <c r="AI445" s="635"/>
      <c r="AJ445" s="635"/>
      <c r="AK445" s="635"/>
      <c r="AL445" s="635"/>
      <c r="AM445" s="635"/>
      <c r="AN445" s="635"/>
      <c r="AO445" s="635"/>
      <c r="AP445" s="635"/>
      <c r="AQ445" s="635"/>
      <c r="AR445" s="635"/>
      <c r="AS445" s="635"/>
      <c r="AT445" s="635"/>
      <c r="AU445" s="635"/>
      <c r="AV445" s="635"/>
      <c r="AW445" s="635"/>
      <c r="AX445" s="635"/>
      <c r="AY445" s="945"/>
    </row>
    <row r="446" spans="2:81">
      <c r="B446" s="758" t="s">
        <v>1157</v>
      </c>
      <c r="C446" s="343"/>
      <c r="D446" s="310" t="s">
        <v>1145</v>
      </c>
      <c r="E446" s="631"/>
      <c r="F446" s="631"/>
      <c r="G446" s="631"/>
      <c r="H446" s="348"/>
      <c r="I446" s="348">
        <f>J446/(1+37.36%)</f>
        <v>-311.7287572801398</v>
      </c>
      <c r="J446" s="348">
        <v>-428.19062100000002</v>
      </c>
      <c r="K446" s="348">
        <v>-612.96465000000001</v>
      </c>
      <c r="L446" s="348">
        <v>-816.82303100000001</v>
      </c>
      <c r="M446" s="1923">
        <v>-1177.2904273699999</v>
      </c>
      <c r="N446" s="1556"/>
      <c r="O446" s="635"/>
      <c r="P446" s="635"/>
      <c r="Q446" s="635"/>
      <c r="R446" s="635"/>
      <c r="S446" s="635"/>
      <c r="T446" s="945"/>
      <c r="U446" s="789"/>
      <c r="V446" s="635"/>
      <c r="W446" s="635"/>
      <c r="X446" s="635"/>
      <c r="Y446" s="635"/>
      <c r="Z446" s="635"/>
      <c r="AA446" s="635"/>
      <c r="AB446" s="635"/>
      <c r="AC446" s="635"/>
      <c r="AD446" s="635"/>
      <c r="AE446" s="635"/>
      <c r="AF446" s="635"/>
      <c r="AG446" s="635"/>
      <c r="AH446" s="635"/>
      <c r="AI446" s="635"/>
      <c r="AJ446" s="635"/>
      <c r="AK446" s="635"/>
      <c r="AL446" s="635"/>
      <c r="AM446" s="635"/>
      <c r="AN446" s="635"/>
      <c r="AO446" s="635"/>
      <c r="AP446" s="635"/>
      <c r="AQ446" s="635"/>
      <c r="AR446" s="635"/>
      <c r="AS446" s="635"/>
      <c r="AT446" s="635"/>
      <c r="AU446" s="635"/>
      <c r="AV446" s="635"/>
      <c r="AW446" s="635"/>
      <c r="AX446" s="635"/>
      <c r="AY446" s="945"/>
    </row>
    <row r="447" spans="2:81">
      <c r="B447" s="758" t="s">
        <v>1152</v>
      </c>
      <c r="C447" s="343"/>
      <c r="D447" s="310" t="s">
        <v>1146</v>
      </c>
      <c r="E447" s="631"/>
      <c r="F447" s="631"/>
      <c r="G447" s="631"/>
      <c r="H447" s="348"/>
      <c r="I447" s="348">
        <f>J447/(1+33.46%)</f>
        <v>-305.15222913232429</v>
      </c>
      <c r="J447" s="348">
        <v>-407.25616500000001</v>
      </c>
      <c r="K447" s="348">
        <v>-523.49800000000005</v>
      </c>
      <c r="L447" s="348">
        <v>-552.99400000000003</v>
      </c>
      <c r="M447" s="1923">
        <v>-620.04620542999987</v>
      </c>
      <c r="N447" s="1556"/>
      <c r="O447" s="635"/>
      <c r="P447" s="635"/>
      <c r="Q447" s="635"/>
      <c r="R447" s="635"/>
      <c r="S447" s="635"/>
      <c r="T447" s="945"/>
      <c r="U447" s="789"/>
      <c r="V447" s="635"/>
      <c r="W447" s="635"/>
      <c r="X447" s="635"/>
      <c r="Y447" s="635"/>
      <c r="Z447" s="635"/>
      <c r="AA447" s="635"/>
      <c r="AB447" s="635"/>
      <c r="AC447" s="635"/>
      <c r="AD447" s="635"/>
      <c r="AE447" s="635"/>
      <c r="AF447" s="635"/>
      <c r="AG447" s="635"/>
      <c r="AH447" s="635"/>
      <c r="AI447" s="635"/>
      <c r="AJ447" s="635"/>
      <c r="AK447" s="635"/>
      <c r="AL447" s="635"/>
      <c r="AM447" s="635"/>
      <c r="AN447" s="635"/>
      <c r="AO447" s="635"/>
      <c r="AP447" s="635"/>
      <c r="AQ447" s="635"/>
      <c r="AR447" s="635"/>
      <c r="AS447" s="635"/>
      <c r="AT447" s="635"/>
      <c r="AU447" s="635"/>
      <c r="AV447" s="635"/>
      <c r="AW447" s="635"/>
      <c r="AX447" s="635"/>
      <c r="AY447" s="945"/>
    </row>
    <row r="448" spans="2:81">
      <c r="B448" s="758" t="s">
        <v>1156</v>
      </c>
      <c r="C448" s="343"/>
      <c r="D448" s="310" t="s">
        <v>1147</v>
      </c>
      <c r="E448" s="631"/>
      <c r="F448" s="631"/>
      <c r="G448" s="631"/>
      <c r="H448" s="348"/>
      <c r="I448" s="348">
        <f>J448/(1+69.71%)</f>
        <v>-265.99026692593247</v>
      </c>
      <c r="J448" s="348">
        <v>-451.412082</v>
      </c>
      <c r="K448" s="348">
        <v>-601.452</v>
      </c>
      <c r="L448" s="348">
        <v>-870.69740000000002</v>
      </c>
      <c r="M448" s="1923">
        <v>-1247.04021483</v>
      </c>
      <c r="N448" s="1556"/>
      <c r="O448" s="635"/>
      <c r="P448" s="635"/>
      <c r="Q448" s="635"/>
      <c r="R448" s="635"/>
      <c r="S448" s="635"/>
      <c r="T448" s="945"/>
      <c r="U448" s="789"/>
      <c r="V448" s="635"/>
      <c r="W448" s="635"/>
      <c r="X448" s="635"/>
      <c r="Y448" s="635"/>
      <c r="Z448" s="635"/>
      <c r="AA448" s="635"/>
      <c r="AB448" s="635"/>
      <c r="AC448" s="635"/>
      <c r="AD448" s="635"/>
      <c r="AE448" s="635"/>
      <c r="AF448" s="635"/>
      <c r="AG448" s="635"/>
      <c r="AH448" s="635"/>
      <c r="AI448" s="635"/>
      <c r="AJ448" s="635"/>
      <c r="AK448" s="635"/>
      <c r="AL448" s="635"/>
      <c r="AM448" s="635"/>
      <c r="AN448" s="635"/>
      <c r="AO448" s="635"/>
      <c r="AP448" s="635"/>
      <c r="AQ448" s="635"/>
      <c r="AR448" s="635"/>
      <c r="AS448" s="635"/>
      <c r="AT448" s="635"/>
      <c r="AU448" s="635"/>
      <c r="AV448" s="635"/>
      <c r="AW448" s="635"/>
      <c r="AX448" s="635"/>
      <c r="AY448" s="945"/>
    </row>
    <row r="449" spans="2:51">
      <c r="B449" s="758" t="s">
        <v>1153</v>
      </c>
      <c r="C449" s="343"/>
      <c r="D449" s="310" t="s">
        <v>1148</v>
      </c>
      <c r="E449" s="631"/>
      <c r="F449" s="631"/>
      <c r="G449" s="631"/>
      <c r="H449" s="348"/>
      <c r="I449" s="348">
        <f>J449/(1+61.71%)</f>
        <v>-154.13634469111372</v>
      </c>
      <c r="J449" s="348">
        <v>-249.253883</v>
      </c>
      <c r="K449" s="348">
        <v>-409.45506999999998</v>
      </c>
      <c r="L449" s="348">
        <v>-664.94854999999995</v>
      </c>
      <c r="M449" s="1923">
        <v>-999.13456214999997</v>
      </c>
      <c r="N449" s="1556"/>
      <c r="O449" s="635"/>
      <c r="P449" s="635"/>
      <c r="Q449" s="635"/>
      <c r="R449" s="635"/>
      <c r="S449" s="635"/>
      <c r="T449" s="945"/>
      <c r="U449" s="789"/>
      <c r="V449" s="635"/>
      <c r="W449" s="635"/>
      <c r="X449" s="635"/>
      <c r="Y449" s="635"/>
      <c r="Z449" s="635"/>
      <c r="AA449" s="635"/>
      <c r="AB449" s="635"/>
      <c r="AC449" s="635"/>
      <c r="AD449" s="635"/>
      <c r="AE449" s="635"/>
      <c r="AF449" s="635"/>
      <c r="AG449" s="635"/>
      <c r="AH449" s="635"/>
      <c r="AI449" s="635"/>
      <c r="AJ449" s="635"/>
      <c r="AK449" s="635"/>
      <c r="AL449" s="635"/>
      <c r="AM449" s="635"/>
      <c r="AN449" s="635"/>
      <c r="AO449" s="635"/>
      <c r="AP449" s="635"/>
      <c r="AQ449" s="635"/>
      <c r="AR449" s="635"/>
      <c r="AS449" s="635"/>
      <c r="AT449" s="635"/>
      <c r="AU449" s="635"/>
      <c r="AV449" s="635"/>
      <c r="AW449" s="635"/>
      <c r="AX449" s="635"/>
      <c r="AY449" s="945"/>
    </row>
    <row r="450" spans="2:51">
      <c r="B450" s="758" t="s">
        <v>1154</v>
      </c>
      <c r="C450" s="343"/>
      <c r="D450" s="310" t="s">
        <v>1149</v>
      </c>
      <c r="E450" s="631"/>
      <c r="F450" s="631"/>
      <c r="G450" s="631"/>
      <c r="H450" s="348"/>
      <c r="I450" s="348">
        <f>J450/(1+45.62%)</f>
        <v>-140.42282138442522</v>
      </c>
      <c r="J450" s="348">
        <v>-204.4837125</v>
      </c>
      <c r="K450" s="348">
        <v>-344.83229999999998</v>
      </c>
      <c r="L450" s="348">
        <v>-588.37857099999997</v>
      </c>
      <c r="M450" s="1923">
        <v>-1088.7796428699999</v>
      </c>
      <c r="N450" s="1556"/>
      <c r="O450" s="635"/>
      <c r="P450" s="635"/>
      <c r="Q450" s="635"/>
      <c r="R450" s="635"/>
      <c r="S450" s="635"/>
      <c r="T450" s="945"/>
      <c r="U450" s="789"/>
      <c r="V450" s="635"/>
      <c r="W450" s="635"/>
      <c r="X450" s="635"/>
      <c r="Y450" s="635"/>
      <c r="Z450" s="635"/>
      <c r="AA450" s="635"/>
      <c r="AB450" s="635"/>
      <c r="AC450" s="635"/>
      <c r="AD450" s="635"/>
      <c r="AE450" s="635"/>
      <c r="AF450" s="635"/>
      <c r="AG450" s="635"/>
      <c r="AH450" s="635"/>
      <c r="AI450" s="635"/>
      <c r="AJ450" s="635"/>
      <c r="AK450" s="635"/>
      <c r="AL450" s="635"/>
      <c r="AM450" s="635"/>
      <c r="AN450" s="635"/>
      <c r="AO450" s="635"/>
      <c r="AP450" s="635"/>
      <c r="AQ450" s="635"/>
      <c r="AR450" s="635"/>
      <c r="AS450" s="635"/>
      <c r="AT450" s="635"/>
      <c r="AU450" s="635"/>
      <c r="AV450" s="635"/>
      <c r="AW450" s="635"/>
      <c r="AX450" s="635"/>
      <c r="AY450" s="945"/>
    </row>
    <row r="451" spans="2:51">
      <c r="B451" s="758" t="s">
        <v>1155</v>
      </c>
      <c r="C451" s="343"/>
      <c r="D451" s="310" t="s">
        <v>1150</v>
      </c>
      <c r="E451" s="631"/>
      <c r="F451" s="631"/>
      <c r="G451" s="631"/>
      <c r="H451" s="348"/>
      <c r="I451" s="348"/>
      <c r="J451" s="348"/>
      <c r="K451" s="348"/>
      <c r="L451" s="348"/>
      <c r="M451" s="1923">
        <v>0</v>
      </c>
      <c r="N451" s="1556"/>
      <c r="O451" s="635"/>
      <c r="P451" s="635"/>
      <c r="Q451" s="635"/>
      <c r="R451" s="635"/>
      <c r="S451" s="635"/>
      <c r="T451" s="945"/>
      <c r="U451" s="789"/>
      <c r="V451" s="635"/>
      <c r="W451" s="635"/>
      <c r="X451" s="635"/>
      <c r="Y451" s="635"/>
      <c r="Z451" s="635"/>
      <c r="AA451" s="635"/>
      <c r="AB451" s="635"/>
      <c r="AC451" s="635"/>
      <c r="AD451" s="635"/>
      <c r="AE451" s="635"/>
      <c r="AF451" s="635"/>
      <c r="AG451" s="635"/>
      <c r="AH451" s="635"/>
      <c r="AI451" s="635"/>
      <c r="AJ451" s="635"/>
      <c r="AK451" s="635"/>
      <c r="AL451" s="635"/>
      <c r="AM451" s="635"/>
      <c r="AN451" s="635"/>
      <c r="AO451" s="635"/>
      <c r="AP451" s="635"/>
      <c r="AQ451" s="635"/>
      <c r="AR451" s="635"/>
      <c r="AS451" s="635"/>
      <c r="AT451" s="635"/>
      <c r="AU451" s="635"/>
      <c r="AV451" s="635"/>
      <c r="AW451" s="635"/>
      <c r="AX451" s="635"/>
      <c r="AY451" s="945"/>
    </row>
    <row r="452" spans="2:51">
      <c r="B452" s="758" t="s">
        <v>1057</v>
      </c>
      <c r="C452" s="343"/>
      <c r="D452" s="310" t="s">
        <v>1151</v>
      </c>
      <c r="E452" s="631"/>
      <c r="F452" s="631"/>
      <c r="G452" s="631"/>
      <c r="H452" s="348"/>
      <c r="I452" s="348">
        <f>J452/(1+64.96%)</f>
        <v>-33.851891185741998</v>
      </c>
      <c r="J452" s="348">
        <v>-55.842079699999999</v>
      </c>
      <c r="K452" s="348">
        <v>-84.351299999999995</v>
      </c>
      <c r="L452" s="348">
        <v>-117.596405</v>
      </c>
      <c r="M452" s="1923">
        <v>-225.41870387</v>
      </c>
      <c r="N452" s="1556"/>
      <c r="O452" s="635"/>
      <c r="P452" s="635"/>
      <c r="Q452" s="635"/>
      <c r="R452" s="635"/>
      <c r="S452" s="635"/>
      <c r="T452" s="945"/>
      <c r="U452" s="789"/>
      <c r="V452" s="635"/>
      <c r="W452" s="635"/>
      <c r="X452" s="635"/>
      <c r="Y452" s="635"/>
      <c r="Z452" s="635"/>
      <c r="AA452" s="635"/>
      <c r="AB452" s="635"/>
      <c r="AC452" s="635"/>
      <c r="AD452" s="635"/>
      <c r="AE452" s="635"/>
      <c r="AF452" s="635"/>
      <c r="AG452" s="635"/>
      <c r="AH452" s="635"/>
      <c r="AI452" s="635"/>
      <c r="AJ452" s="635"/>
      <c r="AK452" s="635"/>
      <c r="AL452" s="635"/>
      <c r="AM452" s="635"/>
      <c r="AN452" s="635"/>
      <c r="AO452" s="635"/>
      <c r="AP452" s="635"/>
      <c r="AQ452" s="635"/>
      <c r="AR452" s="635"/>
      <c r="AS452" s="635"/>
      <c r="AT452" s="635"/>
      <c r="AU452" s="635"/>
      <c r="AV452" s="635"/>
      <c r="AW452" s="635"/>
      <c r="AX452" s="635"/>
      <c r="AY452" s="945"/>
    </row>
    <row r="453" spans="2:51">
      <c r="B453" s="841" t="s">
        <v>1234</v>
      </c>
      <c r="C453" s="302"/>
      <c r="D453" s="789" t="s">
        <v>1738</v>
      </c>
      <c r="E453" s="631"/>
      <c r="F453" s="631"/>
      <c r="G453" s="631"/>
      <c r="H453" s="630"/>
      <c r="I453" s="630">
        <f>J453/(1+45.65%)</f>
        <v>-243.30751957432201</v>
      </c>
      <c r="J453" s="630">
        <v>-354.37740226</v>
      </c>
      <c r="K453" s="630">
        <v>-445.39454599999999</v>
      </c>
      <c r="L453" s="348">
        <v>-758.51688899999999</v>
      </c>
      <c r="M453" s="1923">
        <v>-1060.6090528099999</v>
      </c>
      <c r="N453" s="1556"/>
      <c r="O453" s="635"/>
      <c r="P453" s="635"/>
      <c r="Q453" s="635"/>
      <c r="R453" s="635"/>
      <c r="S453" s="635"/>
      <c r="T453" s="945"/>
      <c r="U453" s="789"/>
      <c r="V453" s="635"/>
      <c r="W453" s="635"/>
      <c r="X453" s="635"/>
      <c r="Y453" s="635"/>
      <c r="Z453" s="635"/>
      <c r="AA453" s="635"/>
      <c r="AB453" s="635"/>
      <c r="AC453" s="635"/>
      <c r="AD453" s="635"/>
      <c r="AE453" s="635"/>
      <c r="AF453" s="635"/>
      <c r="AG453" s="635"/>
      <c r="AH453" s="635"/>
      <c r="AI453" s="635"/>
      <c r="AJ453" s="635"/>
      <c r="AK453" s="635"/>
      <c r="AL453" s="635"/>
      <c r="AM453" s="635"/>
      <c r="AN453" s="635"/>
      <c r="AO453" s="635"/>
      <c r="AP453" s="635"/>
      <c r="AQ453" s="635"/>
      <c r="AR453" s="635"/>
      <c r="AS453" s="635"/>
      <c r="AT453" s="635"/>
      <c r="AU453" s="635"/>
      <c r="AV453" s="635"/>
      <c r="AW453" s="635"/>
      <c r="AX453" s="635"/>
      <c r="AY453" s="945"/>
    </row>
    <row r="454" spans="2:51">
      <c r="B454" s="841"/>
      <c r="C454" s="302"/>
      <c r="D454" s="789"/>
      <c r="E454" s="631"/>
      <c r="F454" s="631"/>
      <c r="G454" s="631"/>
      <c r="H454" s="630"/>
      <c r="I454" s="630"/>
      <c r="J454" s="630"/>
      <c r="K454" s="630"/>
      <c r="L454" s="635"/>
      <c r="M454" s="635"/>
      <c r="N454" s="1556"/>
      <c r="O454" s="635"/>
      <c r="P454" s="635"/>
      <c r="Q454" s="635"/>
      <c r="R454" s="635"/>
      <c r="S454" s="635"/>
      <c r="T454" s="945"/>
      <c r="U454" s="789"/>
      <c r="V454" s="635"/>
      <c r="W454" s="635"/>
      <c r="X454" s="635"/>
      <c r="Y454" s="635"/>
      <c r="Z454" s="635"/>
      <c r="AA454" s="635"/>
      <c r="AB454" s="635"/>
      <c r="AC454" s="635"/>
      <c r="AD454" s="635"/>
      <c r="AE454" s="635"/>
      <c r="AF454" s="635"/>
      <c r="AG454" s="635"/>
      <c r="AH454" s="635"/>
      <c r="AI454" s="635"/>
      <c r="AJ454" s="635"/>
      <c r="AK454" s="635"/>
      <c r="AL454" s="635"/>
      <c r="AM454" s="635"/>
      <c r="AN454" s="635"/>
      <c r="AO454" s="635"/>
      <c r="AP454" s="635"/>
      <c r="AQ454" s="635"/>
      <c r="AR454" s="635"/>
      <c r="AS454" s="635"/>
      <c r="AT454" s="635"/>
      <c r="AU454" s="635"/>
      <c r="AV454" s="635"/>
      <c r="AW454" s="635"/>
      <c r="AX454" s="635"/>
      <c r="AY454" s="945"/>
    </row>
    <row r="455" spans="2:51" ht="18" customHeight="1">
      <c r="B455" s="1167" t="s">
        <v>940</v>
      </c>
      <c r="C455" s="1168" t="s">
        <v>1235</v>
      </c>
      <c r="D455" s="351" t="s">
        <v>50</v>
      </c>
      <c r="E455" s="631"/>
      <c r="F455" s="631"/>
      <c r="G455" s="631"/>
      <c r="H455" s="631"/>
      <c r="I455" s="635"/>
      <c r="J455" s="635"/>
      <c r="K455" s="635"/>
      <c r="L455" s="635"/>
      <c r="M455" s="635"/>
      <c r="N455" s="1556"/>
      <c r="O455" s="635"/>
      <c r="P455" s="635"/>
      <c r="Q455" s="635"/>
      <c r="R455" s="635"/>
      <c r="S455" s="635"/>
      <c r="T455" s="945"/>
      <c r="U455" s="789"/>
      <c r="V455" s="635"/>
      <c r="W455" s="635"/>
      <c r="X455" s="635"/>
      <c r="Y455" s="635"/>
      <c r="Z455" s="635"/>
      <c r="AA455" s="635"/>
      <c r="AB455" s="635"/>
      <c r="AC455" s="635"/>
      <c r="AD455" s="635"/>
      <c r="AE455" s="635"/>
      <c r="AF455" s="635"/>
      <c r="AG455" s="635"/>
      <c r="AH455" s="635"/>
      <c r="AI455" s="635"/>
      <c r="AJ455" s="635"/>
      <c r="AK455" s="635"/>
      <c r="AL455" s="635"/>
      <c r="AM455" s="635"/>
      <c r="AN455" s="635"/>
      <c r="AO455" s="635"/>
      <c r="AP455" s="635"/>
      <c r="AQ455" s="635"/>
      <c r="AR455" s="635"/>
      <c r="AS455" s="635"/>
      <c r="AT455" s="635"/>
      <c r="AU455" s="635"/>
      <c r="AV455" s="635"/>
      <c r="AW455" s="635"/>
      <c r="AX455" s="635"/>
      <c r="AY455" s="945"/>
    </row>
    <row r="456" spans="2:51">
      <c r="B456" s="758" t="s">
        <v>1144</v>
      </c>
      <c r="C456" s="343"/>
      <c r="D456" s="310" t="s">
        <v>1143</v>
      </c>
      <c r="E456" s="631"/>
      <c r="F456" s="631"/>
      <c r="G456" s="751"/>
      <c r="H456" s="751"/>
      <c r="I456" s="751">
        <f t="shared" ref="I456:M464" si="318">I382+I445</f>
        <v>1428.4040481140048</v>
      </c>
      <c r="J456" s="751">
        <f t="shared" si="318"/>
        <v>1477.20128374</v>
      </c>
      <c r="K456" s="751">
        <f t="shared" si="318"/>
        <v>1474.3906420000001</v>
      </c>
      <c r="L456" s="751">
        <f t="shared" si="318"/>
        <v>1725.964757</v>
      </c>
      <c r="M456" s="751">
        <f t="shared" si="318"/>
        <v>2047.7294335399997</v>
      </c>
      <c r="N456" s="1646">
        <f t="shared" ref="N456:P461" si="319">N467*N382</f>
        <v>2278.2843830538754</v>
      </c>
      <c r="O456" s="1211">
        <f t="shared" si="319"/>
        <v>2393.1099159597916</v>
      </c>
      <c r="P456" s="1211">
        <f t="shared" si="319"/>
        <v>2513.7226557241652</v>
      </c>
      <c r="Q456" s="635"/>
      <c r="R456" s="635"/>
      <c r="S456" s="635"/>
      <c r="T456" s="945"/>
      <c r="U456" s="789"/>
      <c r="V456" s="635"/>
      <c r="W456" s="635"/>
      <c r="X456" s="635"/>
      <c r="Y456" s="635"/>
      <c r="Z456" s="635"/>
      <c r="AA456" s="635"/>
      <c r="AB456" s="635"/>
      <c r="AC456" s="635"/>
      <c r="AD456" s="635"/>
      <c r="AE456" s="635"/>
      <c r="AF456" s="635"/>
      <c r="AG456" s="635"/>
      <c r="AH456" s="635"/>
      <c r="AI456" s="635"/>
      <c r="AJ456" s="635"/>
      <c r="AK456" s="635"/>
      <c r="AL456" s="635"/>
      <c r="AM456" s="635"/>
      <c r="AN456" s="635"/>
      <c r="AO456" s="635"/>
      <c r="AP456" s="635"/>
      <c r="AQ456" s="635"/>
      <c r="AR456" s="635"/>
      <c r="AS456" s="635"/>
      <c r="AT456" s="635"/>
      <c r="AU456" s="635"/>
      <c r="AV456" s="635"/>
      <c r="AW456" s="635"/>
      <c r="AX456" s="635"/>
      <c r="AY456" s="945"/>
    </row>
    <row r="457" spans="2:51">
      <c r="B457" s="758" t="s">
        <v>1157</v>
      </c>
      <c r="C457" s="343"/>
      <c r="D457" s="310" t="s">
        <v>1145</v>
      </c>
      <c r="E457" s="631"/>
      <c r="F457" s="631"/>
      <c r="G457" s="751"/>
      <c r="H457" s="751"/>
      <c r="I457" s="751">
        <f t="shared" si="318"/>
        <v>246.57624271986015</v>
      </c>
      <c r="J457" s="751">
        <f t="shared" si="318"/>
        <v>324.94318493999998</v>
      </c>
      <c r="K457" s="751">
        <f t="shared" si="318"/>
        <v>441.03534999999999</v>
      </c>
      <c r="L457" s="751">
        <f t="shared" si="318"/>
        <v>583.28048084999989</v>
      </c>
      <c r="M457" s="751">
        <f t="shared" si="318"/>
        <v>897.26853688999995</v>
      </c>
      <c r="N457" s="1646">
        <f t="shared" si="319"/>
        <v>1126.7720685231498</v>
      </c>
      <c r="O457" s="1211">
        <f t="shared" si="319"/>
        <v>1355.2383206741697</v>
      </c>
      <c r="P457" s="1211">
        <f t="shared" si="319"/>
        <v>1589.2696861710549</v>
      </c>
      <c r="Q457" s="635"/>
      <c r="R457" s="635"/>
      <c r="S457" s="635"/>
      <c r="T457" s="945"/>
      <c r="U457" s="789"/>
      <c r="V457" s="635"/>
      <c r="W457" s="635"/>
      <c r="X457" s="635"/>
      <c r="Y457" s="635"/>
      <c r="Z457" s="635"/>
      <c r="AA457" s="635"/>
      <c r="AB457" s="635"/>
      <c r="AC457" s="635"/>
      <c r="AD457" s="635"/>
      <c r="AE457" s="635"/>
      <c r="AF457" s="635"/>
      <c r="AG457" s="635"/>
      <c r="AH457" s="635"/>
      <c r="AI457" s="635"/>
      <c r="AJ457" s="635"/>
      <c r="AK457" s="635"/>
      <c r="AL457" s="635"/>
      <c r="AM457" s="635"/>
      <c r="AN457" s="635"/>
      <c r="AO457" s="635"/>
      <c r="AP457" s="635"/>
      <c r="AQ457" s="635"/>
      <c r="AR457" s="635"/>
      <c r="AS457" s="635"/>
      <c r="AT457" s="635"/>
      <c r="AU457" s="635"/>
      <c r="AV457" s="635"/>
      <c r="AW457" s="635"/>
      <c r="AX457" s="635"/>
      <c r="AY457" s="945"/>
    </row>
    <row r="458" spans="2:51">
      <c r="B458" s="758" t="s">
        <v>1152</v>
      </c>
      <c r="C458" s="343"/>
      <c r="D458" s="310" t="s">
        <v>1146</v>
      </c>
      <c r="E458" s="631"/>
      <c r="F458" s="631"/>
      <c r="G458" s="751"/>
      <c r="H458" s="751"/>
      <c r="I458" s="751">
        <f t="shared" si="318"/>
        <v>215.58607086767569</v>
      </c>
      <c r="J458" s="751">
        <f t="shared" si="318"/>
        <v>298.39857759999995</v>
      </c>
      <c r="K458" s="751">
        <f t="shared" si="318"/>
        <v>371.50199999999995</v>
      </c>
      <c r="L458" s="751">
        <f t="shared" si="318"/>
        <v>429.838797</v>
      </c>
      <c r="M458" s="751">
        <f t="shared" si="318"/>
        <v>533.86343251000017</v>
      </c>
      <c r="N458" s="1646">
        <f t="shared" si="319"/>
        <v>643.4055021430562</v>
      </c>
      <c r="O458" s="1211">
        <f t="shared" si="319"/>
        <v>697.86887609604116</v>
      </c>
      <c r="P458" s="1211">
        <f t="shared" si="319"/>
        <v>756.92859466778827</v>
      </c>
      <c r="Q458" s="635"/>
      <c r="R458" s="635"/>
      <c r="S458" s="635"/>
      <c r="T458" s="945"/>
      <c r="U458" s="789"/>
      <c r="V458" s="635"/>
      <c r="W458" s="635"/>
      <c r="X458" s="635"/>
      <c r="Y458" s="635"/>
      <c r="Z458" s="635"/>
      <c r="AA458" s="635"/>
      <c r="AB458" s="635"/>
      <c r="AC458" s="635"/>
      <c r="AD458" s="635"/>
      <c r="AE458" s="635"/>
      <c r="AF458" s="635"/>
      <c r="AG458" s="635"/>
      <c r="AH458" s="635"/>
      <c r="AI458" s="635"/>
      <c r="AJ458" s="635"/>
      <c r="AK458" s="635"/>
      <c r="AL458" s="635"/>
      <c r="AM458" s="635"/>
      <c r="AN458" s="635"/>
      <c r="AO458" s="635"/>
      <c r="AP458" s="635"/>
      <c r="AQ458" s="635"/>
      <c r="AR458" s="635"/>
      <c r="AS458" s="635"/>
      <c r="AT458" s="635"/>
      <c r="AU458" s="635"/>
      <c r="AV458" s="635"/>
      <c r="AW458" s="635"/>
      <c r="AX458" s="635"/>
      <c r="AY458" s="945"/>
    </row>
    <row r="459" spans="2:51">
      <c r="B459" s="758" t="s">
        <v>1156</v>
      </c>
      <c r="C459" s="343"/>
      <c r="D459" s="310" t="s">
        <v>1147</v>
      </c>
      <c r="E459" s="631"/>
      <c r="F459" s="631"/>
      <c r="G459" s="751"/>
      <c r="H459" s="751"/>
      <c r="I459" s="751">
        <f t="shared" si="318"/>
        <v>233.23883307406754</v>
      </c>
      <c r="J459" s="751">
        <f t="shared" si="318"/>
        <v>320.25082357000002</v>
      </c>
      <c r="K459" s="751">
        <f t="shared" si="318"/>
        <v>420.548</v>
      </c>
      <c r="L459" s="751">
        <f t="shared" si="318"/>
        <v>645.61992200000009</v>
      </c>
      <c r="M459" s="751">
        <f t="shared" si="318"/>
        <v>953.54510979999986</v>
      </c>
      <c r="N459" s="1646">
        <f t="shared" si="319"/>
        <v>1296.1982687947514</v>
      </c>
      <c r="O459" s="1211">
        <f t="shared" si="319"/>
        <v>1655.6040602170294</v>
      </c>
      <c r="P459" s="1211">
        <f t="shared" si="319"/>
        <v>2081.2953988309059</v>
      </c>
      <c r="Q459" s="635"/>
      <c r="R459" s="635"/>
      <c r="S459" s="635"/>
      <c r="T459" s="945"/>
      <c r="U459" s="789"/>
      <c r="V459" s="635"/>
      <c r="W459" s="635"/>
      <c r="X459" s="635"/>
      <c r="Y459" s="635"/>
      <c r="Z459" s="635"/>
      <c r="AA459" s="635"/>
      <c r="AB459" s="635"/>
      <c r="AC459" s="635"/>
      <c r="AD459" s="635"/>
      <c r="AE459" s="635"/>
      <c r="AF459" s="635"/>
      <c r="AG459" s="635"/>
      <c r="AH459" s="635"/>
      <c r="AI459" s="635"/>
      <c r="AJ459" s="635"/>
      <c r="AK459" s="635"/>
      <c r="AL459" s="635"/>
      <c r="AM459" s="635"/>
      <c r="AN459" s="635"/>
      <c r="AO459" s="635"/>
      <c r="AP459" s="635"/>
      <c r="AQ459" s="635"/>
      <c r="AR459" s="635"/>
      <c r="AS459" s="635"/>
      <c r="AT459" s="635"/>
      <c r="AU459" s="635"/>
      <c r="AV459" s="635"/>
      <c r="AW459" s="635"/>
      <c r="AX459" s="635"/>
      <c r="AY459" s="945"/>
    </row>
    <row r="460" spans="2:51">
      <c r="B460" s="758" t="s">
        <v>1153</v>
      </c>
      <c r="C460" s="343"/>
      <c r="D460" s="310" t="s">
        <v>1148</v>
      </c>
      <c r="E460" s="631"/>
      <c r="F460" s="631"/>
      <c r="G460" s="751"/>
      <c r="H460" s="751"/>
      <c r="I460" s="751">
        <f t="shared" si="318"/>
        <v>140.06695530888629</v>
      </c>
      <c r="J460" s="751">
        <f t="shared" si="318"/>
        <v>182.48372700000002</v>
      </c>
      <c r="K460" s="751">
        <f t="shared" si="318"/>
        <v>267.54493000000002</v>
      </c>
      <c r="L460" s="751">
        <f t="shared" si="318"/>
        <v>450.26749550000011</v>
      </c>
      <c r="M460" s="751">
        <f t="shared" si="318"/>
        <v>725.59038459999988</v>
      </c>
      <c r="N460" s="1646">
        <f t="shared" si="319"/>
        <v>1064.6103135339374</v>
      </c>
      <c r="O460" s="1211">
        <f t="shared" si="319"/>
        <v>1381.412549491019</v>
      </c>
      <c r="P460" s="1211">
        <f t="shared" si="319"/>
        <v>1709.0576872636082</v>
      </c>
      <c r="Q460" s="635"/>
      <c r="R460" s="635"/>
      <c r="S460" s="635"/>
      <c r="T460" s="945"/>
      <c r="U460" s="789"/>
      <c r="V460" s="635"/>
      <c r="W460" s="635"/>
      <c r="X460" s="635"/>
      <c r="Y460" s="635"/>
      <c r="Z460" s="635"/>
      <c r="AA460" s="635"/>
      <c r="AB460" s="635"/>
      <c r="AC460" s="635"/>
      <c r="AD460" s="635"/>
      <c r="AE460" s="635"/>
      <c r="AF460" s="635"/>
      <c r="AG460" s="635"/>
      <c r="AH460" s="635"/>
      <c r="AI460" s="635"/>
      <c r="AJ460" s="635"/>
      <c r="AK460" s="635"/>
      <c r="AL460" s="635"/>
      <c r="AM460" s="635"/>
      <c r="AN460" s="635"/>
      <c r="AO460" s="635"/>
      <c r="AP460" s="635"/>
      <c r="AQ460" s="635"/>
      <c r="AR460" s="635"/>
      <c r="AS460" s="635"/>
      <c r="AT460" s="635"/>
      <c r="AU460" s="635"/>
      <c r="AV460" s="635"/>
      <c r="AW460" s="635"/>
      <c r="AX460" s="635"/>
      <c r="AY460" s="945"/>
    </row>
    <row r="461" spans="2:51">
      <c r="B461" s="758" t="s">
        <v>1154</v>
      </c>
      <c r="C461" s="343"/>
      <c r="D461" s="310" t="s">
        <v>1149</v>
      </c>
      <c r="E461" s="631"/>
      <c r="F461" s="631"/>
      <c r="G461" s="751"/>
      <c r="H461" s="751"/>
      <c r="I461" s="751">
        <f t="shared" si="318"/>
        <v>72.713278615574779</v>
      </c>
      <c r="J461" s="751">
        <f t="shared" si="318"/>
        <v>134.97795769000001</v>
      </c>
      <c r="K461" s="751">
        <f t="shared" si="318"/>
        <v>268.16770000000002</v>
      </c>
      <c r="L461" s="751">
        <f t="shared" si="318"/>
        <v>421.27296000000001</v>
      </c>
      <c r="M461" s="751">
        <f t="shared" si="318"/>
        <v>767.45795881000004</v>
      </c>
      <c r="N461" s="1646">
        <f t="shared" si="319"/>
        <v>1320.45654959128</v>
      </c>
      <c r="O461" s="1211">
        <f t="shared" si="319"/>
        <v>1720.695799568377</v>
      </c>
      <c r="P461" s="1211">
        <f t="shared" si="319"/>
        <v>2069.7577016017076</v>
      </c>
      <c r="Q461" s="635"/>
      <c r="R461" s="635"/>
      <c r="S461" s="635"/>
      <c r="T461" s="945"/>
      <c r="U461" s="789"/>
      <c r="V461" s="635"/>
      <c r="W461" s="635"/>
      <c r="X461" s="635"/>
      <c r="Y461" s="635"/>
      <c r="Z461" s="635"/>
      <c r="AA461" s="635"/>
      <c r="AB461" s="635"/>
      <c r="AC461" s="635"/>
      <c r="AD461" s="635"/>
      <c r="AE461" s="635"/>
      <c r="AF461" s="635"/>
      <c r="AG461" s="635"/>
      <c r="AH461" s="635"/>
      <c r="AI461" s="635"/>
      <c r="AJ461" s="635"/>
      <c r="AK461" s="635"/>
      <c r="AL461" s="635"/>
      <c r="AM461" s="635"/>
      <c r="AN461" s="635"/>
      <c r="AO461" s="635"/>
      <c r="AP461" s="635"/>
      <c r="AQ461" s="635"/>
      <c r="AR461" s="635"/>
      <c r="AS461" s="635"/>
      <c r="AT461" s="635"/>
      <c r="AU461" s="635"/>
      <c r="AV461" s="635"/>
      <c r="AW461" s="635"/>
      <c r="AX461" s="635"/>
      <c r="AY461" s="945"/>
    </row>
    <row r="462" spans="2:51">
      <c r="B462" s="758" t="s">
        <v>1155</v>
      </c>
      <c r="C462" s="343"/>
      <c r="D462" s="310" t="s">
        <v>1150</v>
      </c>
      <c r="E462" s="631"/>
      <c r="F462" s="631"/>
      <c r="G462" s="751"/>
      <c r="H462" s="751"/>
      <c r="I462" s="751">
        <f t="shared" si="318"/>
        <v>42.161799999999999</v>
      </c>
      <c r="J462" s="751">
        <f t="shared" si="318"/>
        <v>0</v>
      </c>
      <c r="K462" s="751">
        <f t="shared" si="318"/>
        <v>0</v>
      </c>
      <c r="L462" s="751">
        <f t="shared" si="318"/>
        <v>0</v>
      </c>
      <c r="M462" s="751">
        <f t="shared" si="318"/>
        <v>0</v>
      </c>
      <c r="N462" s="1647"/>
      <c r="O462" s="1477"/>
      <c r="P462" s="1477"/>
      <c r="Q462" s="635"/>
      <c r="R462" s="635"/>
      <c r="S462" s="635"/>
      <c r="T462" s="945"/>
      <c r="U462" s="789"/>
      <c r="V462" s="635"/>
      <c r="W462" s="635"/>
      <c r="X462" s="635"/>
      <c r="Y462" s="635"/>
      <c r="Z462" s="635"/>
      <c r="AA462" s="635"/>
      <c r="AB462" s="635"/>
      <c r="AC462" s="635"/>
      <c r="AD462" s="635"/>
      <c r="AE462" s="635"/>
      <c r="AF462" s="635"/>
      <c r="AG462" s="635"/>
      <c r="AH462" s="635"/>
      <c r="AI462" s="635"/>
      <c r="AJ462" s="635"/>
      <c r="AK462" s="635"/>
      <c r="AL462" s="635"/>
      <c r="AM462" s="635"/>
      <c r="AN462" s="635"/>
      <c r="AO462" s="635"/>
      <c r="AP462" s="635"/>
      <c r="AQ462" s="635"/>
      <c r="AR462" s="635"/>
      <c r="AS462" s="635"/>
      <c r="AT462" s="635"/>
      <c r="AU462" s="635"/>
      <c r="AV462" s="635"/>
      <c r="AW462" s="635"/>
      <c r="AX462" s="635"/>
      <c r="AY462" s="945"/>
    </row>
    <row r="463" spans="2:51">
      <c r="B463" s="758" t="s">
        <v>1057</v>
      </c>
      <c r="C463" s="343"/>
      <c r="D463" s="310" t="s">
        <v>1151</v>
      </c>
      <c r="E463" s="631"/>
      <c r="F463" s="631"/>
      <c r="G463" s="751"/>
      <c r="H463" s="751"/>
      <c r="I463" s="751">
        <f t="shared" si="318"/>
        <v>22.849808814258004</v>
      </c>
      <c r="J463" s="751">
        <f t="shared" si="318"/>
        <v>50.99370098</v>
      </c>
      <c r="K463" s="751">
        <f t="shared" si="318"/>
        <v>57.746858509999996</v>
      </c>
      <c r="L463" s="751">
        <f t="shared" si="318"/>
        <v>87.711514359999995</v>
      </c>
      <c r="M463" s="751">
        <f t="shared" si="318"/>
        <v>219.99899002999996</v>
      </c>
      <c r="N463" s="1646">
        <f>N474*N389</f>
        <v>307.99858604199994</v>
      </c>
      <c r="O463" s="1211">
        <f>O474*O389</f>
        <v>384.99823255249993</v>
      </c>
      <c r="P463" s="1211">
        <f>P474*P389</f>
        <v>481.24779069062492</v>
      </c>
      <c r="Q463" s="635"/>
      <c r="R463" s="635"/>
      <c r="S463" s="635"/>
      <c r="T463" s="945"/>
      <c r="U463" s="789"/>
      <c r="V463" s="635"/>
      <c r="W463" s="635"/>
      <c r="X463" s="635"/>
      <c r="Y463" s="635"/>
      <c r="Z463" s="635"/>
      <c r="AA463" s="635"/>
      <c r="AB463" s="635"/>
      <c r="AC463" s="635"/>
      <c r="AD463" s="635"/>
      <c r="AE463" s="635"/>
      <c r="AF463" s="635"/>
      <c r="AG463" s="635"/>
      <c r="AH463" s="635"/>
      <c r="AI463" s="635"/>
      <c r="AJ463" s="635"/>
      <c r="AK463" s="635"/>
      <c r="AL463" s="635"/>
      <c r="AM463" s="635"/>
      <c r="AN463" s="635"/>
      <c r="AO463" s="635"/>
      <c r="AP463" s="635"/>
      <c r="AQ463" s="635"/>
      <c r="AR463" s="635"/>
      <c r="AS463" s="635"/>
      <c r="AT463" s="635"/>
      <c r="AU463" s="635"/>
      <c r="AV463" s="635"/>
      <c r="AW463" s="635"/>
      <c r="AX463" s="635"/>
      <c r="AY463" s="945"/>
    </row>
    <row r="464" spans="2:51">
      <c r="B464" s="841" t="s">
        <v>1234</v>
      </c>
      <c r="C464" s="302"/>
      <c r="D464" s="789" t="s">
        <v>1738</v>
      </c>
      <c r="E464" s="631"/>
      <c r="F464" s="631"/>
      <c r="G464" s="751"/>
      <c r="H464" s="751"/>
      <c r="I464" s="751">
        <f t="shared" si="318"/>
        <v>214.7090212798897</v>
      </c>
      <c r="J464" s="751">
        <f t="shared" si="318"/>
        <v>301.91449913000002</v>
      </c>
      <c r="K464" s="751">
        <f t="shared" si="318"/>
        <v>289.84975780000002</v>
      </c>
      <c r="L464" s="751">
        <f t="shared" si="318"/>
        <v>501.58407099999999</v>
      </c>
      <c r="M464" s="751">
        <f t="shared" si="318"/>
        <v>945.76947813000015</v>
      </c>
      <c r="N464" s="1532">
        <f>SUM(N30:N31)-SUM(N456:N463)</f>
        <v>1373.1818394099282</v>
      </c>
      <c r="O464" s="1648">
        <f>SUM(O30:O31)-SUM(O456:O463)</f>
        <v>2044.2335482132657</v>
      </c>
      <c r="P464" s="1648">
        <f>SUM(P30:P31)-SUM(P456:P463)</f>
        <v>2535.9822027918799</v>
      </c>
      <c r="Q464" s="635"/>
      <c r="R464" s="635"/>
      <c r="S464" s="635"/>
      <c r="T464" s="945"/>
      <c r="U464" s="789"/>
      <c r="V464" s="635"/>
      <c r="W464" s="635"/>
      <c r="X464" s="635"/>
      <c r="Y464" s="635"/>
      <c r="Z464" s="635"/>
      <c r="AA464" s="635"/>
      <c r="AB464" s="635"/>
      <c r="AC464" s="635"/>
      <c r="AD464" s="635"/>
      <c r="AE464" s="635"/>
      <c r="AF464" s="635"/>
      <c r="AG464" s="635"/>
      <c r="AH464" s="635"/>
      <c r="AI464" s="635"/>
      <c r="AJ464" s="635"/>
      <c r="AK464" s="635"/>
      <c r="AL464" s="635"/>
      <c r="AM464" s="635"/>
      <c r="AN464" s="635"/>
      <c r="AO464" s="635"/>
      <c r="AP464" s="635"/>
      <c r="AQ464" s="635"/>
      <c r="AR464" s="635"/>
      <c r="AS464" s="635"/>
      <c r="AT464" s="635"/>
      <c r="AU464" s="635"/>
      <c r="AV464" s="635"/>
      <c r="AW464" s="635"/>
      <c r="AX464" s="635"/>
      <c r="AY464" s="945"/>
    </row>
    <row r="465" spans="2:81">
      <c r="B465" s="841"/>
      <c r="C465" s="302"/>
      <c r="D465" s="789"/>
      <c r="E465" s="631"/>
      <c r="F465" s="631"/>
      <c r="G465" s="631"/>
      <c r="H465" s="631"/>
      <c r="I465" s="873">
        <f>(I464+I463)/I390</f>
        <v>0.51866867002465644</v>
      </c>
      <c r="J465" s="635"/>
      <c r="K465" s="635"/>
      <c r="L465" s="873">
        <f>(L464+L463)/L390</f>
        <v>0.46765743703583879</v>
      </c>
      <c r="M465" s="873"/>
      <c r="N465" s="1556"/>
      <c r="O465" s="635"/>
      <c r="P465" s="635"/>
      <c r="Q465" s="635"/>
      <c r="R465" s="635"/>
      <c r="S465" s="635"/>
      <c r="T465" s="945"/>
      <c r="U465" s="789"/>
      <c r="V465" s="635"/>
      <c r="W465" s="635"/>
      <c r="X465" s="635"/>
      <c r="Y465" s="635"/>
      <c r="Z465" s="635"/>
      <c r="AA465" s="635"/>
      <c r="AB465" s="635"/>
      <c r="AC465" s="635"/>
      <c r="AD465" s="635"/>
      <c r="AE465" s="635"/>
      <c r="AF465" s="635"/>
      <c r="AG465" s="635"/>
      <c r="AH465" s="635"/>
      <c r="AI465" s="635"/>
      <c r="AJ465" s="635"/>
      <c r="AK465" s="635"/>
      <c r="AL465" s="635"/>
      <c r="AM465" s="635"/>
      <c r="AN465" s="635"/>
      <c r="AO465" s="635"/>
      <c r="AP465" s="635"/>
      <c r="AQ465" s="635"/>
      <c r="AR465" s="635"/>
      <c r="AS465" s="635"/>
      <c r="AT465" s="635"/>
      <c r="AU465" s="635"/>
      <c r="AV465" s="635"/>
      <c r="AW465" s="635"/>
      <c r="AX465" s="635"/>
      <c r="AY465" s="945"/>
    </row>
    <row r="466" spans="2:81" ht="14.25" customHeight="1">
      <c r="B466" s="1167" t="s">
        <v>1254</v>
      </c>
      <c r="C466" s="1168" t="s">
        <v>1235</v>
      </c>
      <c r="D466" s="351" t="s">
        <v>9</v>
      </c>
      <c r="E466" s="631"/>
      <c r="F466" s="631"/>
      <c r="G466" s="635"/>
      <c r="H466" s="635"/>
      <c r="I466" s="635"/>
      <c r="J466" s="635"/>
      <c r="K466" s="635"/>
      <c r="L466" s="635"/>
      <c r="M466" s="635"/>
      <c r="N466" s="1556"/>
      <c r="O466" s="635"/>
      <c r="P466" s="635"/>
      <c r="Q466" s="635"/>
      <c r="R466" s="635"/>
      <c r="S466" s="635"/>
      <c r="T466" s="945"/>
      <c r="U466" s="789"/>
      <c r="V466" s="635"/>
      <c r="W466" s="635"/>
      <c r="X466" s="635"/>
      <c r="Y466" s="635"/>
      <c r="Z466" s="635"/>
      <c r="AA466" s="635"/>
      <c r="AB466" s="635"/>
      <c r="AC466" s="635"/>
      <c r="AD466" s="635"/>
      <c r="AE466" s="635"/>
      <c r="AF466" s="635"/>
      <c r="AG466" s="635"/>
      <c r="AH466" s="635"/>
      <c r="AI466" s="635"/>
      <c r="AJ466" s="635"/>
      <c r="AK466" s="635"/>
      <c r="AL466" s="635"/>
      <c r="AM466" s="635"/>
      <c r="AN466" s="635"/>
      <c r="AO466" s="635"/>
      <c r="AP466" s="635"/>
      <c r="AQ466" s="635"/>
      <c r="AR466" s="635"/>
      <c r="AS466" s="635"/>
      <c r="AT466" s="635"/>
      <c r="AU466" s="635"/>
      <c r="AV466" s="635"/>
      <c r="AW466" s="635"/>
      <c r="AX466" s="635"/>
      <c r="AY466" s="945"/>
    </row>
    <row r="467" spans="2:81">
      <c r="B467" s="758" t="s">
        <v>1144</v>
      </c>
      <c r="C467" s="343"/>
      <c r="D467" s="310" t="s">
        <v>1143</v>
      </c>
      <c r="E467" s="631"/>
      <c r="F467" s="631"/>
      <c r="G467" s="635"/>
      <c r="H467" s="635"/>
      <c r="I467" s="873">
        <f t="shared" ref="I467:M472" si="320">I456/I382</f>
        <v>0.51919538033516532</v>
      </c>
      <c r="J467" s="873">
        <f t="shared" si="320"/>
        <v>0.46175974096770772</v>
      </c>
      <c r="K467" s="873">
        <f t="shared" si="320"/>
        <v>0.43959172391174717</v>
      </c>
      <c r="L467" s="873">
        <f t="shared" si="320"/>
        <v>0.45891672578424481</v>
      </c>
      <c r="M467" s="873">
        <f t="shared" si="320"/>
        <v>0.46966794492507574</v>
      </c>
      <c r="N467" s="1644">
        <v>0.47</v>
      </c>
      <c r="O467" s="1645">
        <f>N467</f>
        <v>0.47</v>
      </c>
      <c r="P467" s="1645">
        <f>O467</f>
        <v>0.47</v>
      </c>
      <c r="Q467" s="635"/>
      <c r="R467" s="635"/>
      <c r="S467" s="635"/>
      <c r="T467" s="945"/>
      <c r="U467" s="789"/>
      <c r="V467" s="635"/>
      <c r="W467" s="635"/>
      <c r="X467" s="635"/>
      <c r="Y467" s="635"/>
      <c r="Z467" s="635"/>
      <c r="AA467" s="635"/>
      <c r="AB467" s="635"/>
      <c r="AC467" s="635"/>
      <c r="AD467" s="635"/>
      <c r="AE467" s="635"/>
      <c r="AF467" s="635"/>
      <c r="AG467" s="635"/>
      <c r="AH467" s="635"/>
      <c r="AI467" s="635"/>
      <c r="AJ467" s="635"/>
      <c r="AK467" s="635"/>
      <c r="AL467" s="635"/>
      <c r="AM467" s="635"/>
      <c r="AN467" s="635"/>
      <c r="AO467" s="635"/>
      <c r="AP467" s="635"/>
      <c r="AQ467" s="635"/>
      <c r="AR467" s="635"/>
      <c r="AS467" s="635"/>
      <c r="AT467" s="635"/>
      <c r="AU467" s="635"/>
      <c r="AV467" s="635"/>
      <c r="AW467" s="635"/>
      <c r="AX467" s="635"/>
      <c r="AY467" s="945"/>
    </row>
    <row r="468" spans="2:81">
      <c r="B468" s="758" t="s">
        <v>1157</v>
      </c>
      <c r="C468" s="343"/>
      <c r="D468" s="310" t="s">
        <v>1145</v>
      </c>
      <c r="E468" s="631"/>
      <c r="F468" s="631"/>
      <c r="G468" s="635"/>
      <c r="H468" s="635"/>
      <c r="I468" s="873">
        <f t="shared" si="320"/>
        <v>0.44165150360441008</v>
      </c>
      <c r="J468" s="873">
        <f t="shared" si="320"/>
        <v>0.43145478582578362</v>
      </c>
      <c r="K468" s="873">
        <f t="shared" si="320"/>
        <v>0.4184396110056926</v>
      </c>
      <c r="L468" s="873">
        <f t="shared" si="320"/>
        <v>0.41659811286330783</v>
      </c>
      <c r="M468" s="873">
        <f t="shared" si="320"/>
        <v>0.43251050095366067</v>
      </c>
      <c r="N468" s="1644">
        <f>M468+0.2%</f>
        <v>0.43451050095366067</v>
      </c>
      <c r="O468" s="1645">
        <f>N468+0.1%</f>
        <v>0.43551050095366067</v>
      </c>
      <c r="P468" s="1645">
        <f>O468+0.1%</f>
        <v>0.43651050095366067</v>
      </c>
      <c r="Q468" s="635"/>
      <c r="R468" s="635"/>
      <c r="S468" s="635"/>
      <c r="T468" s="945"/>
      <c r="U468" s="789"/>
      <c r="V468" s="635"/>
      <c r="W468" s="635"/>
      <c r="X468" s="635"/>
      <c r="Y468" s="635"/>
      <c r="Z468" s="635"/>
      <c r="AA468" s="635"/>
      <c r="AB468" s="635"/>
      <c r="AC468" s="635"/>
      <c r="AD468" s="635"/>
      <c r="AE468" s="635"/>
      <c r="AF468" s="635"/>
      <c r="AG468" s="635"/>
      <c r="AH468" s="635"/>
      <c r="AI468" s="635"/>
      <c r="AJ468" s="635"/>
      <c r="AK468" s="635"/>
      <c r="AL468" s="635"/>
      <c r="AM468" s="635"/>
      <c r="AN468" s="635"/>
      <c r="AO468" s="635"/>
      <c r="AP468" s="635"/>
      <c r="AQ468" s="635"/>
      <c r="AR468" s="635"/>
      <c r="AS468" s="635"/>
      <c r="AT468" s="635"/>
      <c r="AU468" s="635"/>
      <c r="AV468" s="635"/>
      <c r="AW468" s="635"/>
      <c r="AX468" s="635"/>
      <c r="AY468" s="945"/>
    </row>
    <row r="469" spans="2:81">
      <c r="B469" s="758" t="s">
        <v>1152</v>
      </c>
      <c r="C469" s="343"/>
      <c r="D469" s="310" t="s">
        <v>1146</v>
      </c>
      <c r="E469" s="631"/>
      <c r="F469" s="631"/>
      <c r="G469" s="635"/>
      <c r="H469" s="635"/>
      <c r="I469" s="873">
        <f t="shared" si="320"/>
        <v>0.41400079630723474</v>
      </c>
      <c r="J469" s="873">
        <f t="shared" si="320"/>
        <v>0.42286767109442791</v>
      </c>
      <c r="K469" s="873">
        <f t="shared" si="320"/>
        <v>0.41508603351955303</v>
      </c>
      <c r="L469" s="873">
        <f t="shared" si="320"/>
        <v>0.43734681861659525</v>
      </c>
      <c r="M469" s="873">
        <f t="shared" si="320"/>
        <v>0.46265618637441308</v>
      </c>
      <c r="N469" s="1644">
        <f>M469+0.2%</f>
        <v>0.46465618637441308</v>
      </c>
      <c r="O469" s="1645">
        <f>N469+0.2%</f>
        <v>0.46665618637441308</v>
      </c>
      <c r="P469" s="1645">
        <f>O469+0.2%</f>
        <v>0.46865618637441309</v>
      </c>
      <c r="Q469" s="635"/>
      <c r="R469" s="635"/>
      <c r="S469" s="635"/>
      <c r="T469" s="945"/>
      <c r="U469" s="789"/>
      <c r="V469" s="635"/>
      <c r="W469" s="635"/>
      <c r="X469" s="635"/>
      <c r="Y469" s="635"/>
      <c r="Z469" s="635"/>
      <c r="AA469" s="635"/>
      <c r="AB469" s="635"/>
      <c r="AC469" s="635"/>
      <c r="AD469" s="635"/>
      <c r="AE469" s="635"/>
      <c r="AF469" s="635"/>
      <c r="AG469" s="635"/>
      <c r="AH469" s="635"/>
      <c r="AI469" s="635"/>
      <c r="AJ469" s="635"/>
      <c r="AK469" s="635"/>
      <c r="AL469" s="635"/>
      <c r="AM469" s="635"/>
      <c r="AN469" s="635"/>
      <c r="AO469" s="635"/>
      <c r="AP469" s="635"/>
      <c r="AQ469" s="635"/>
      <c r="AR469" s="635"/>
      <c r="AS469" s="635"/>
      <c r="AT469" s="635"/>
      <c r="AU469" s="635"/>
      <c r="AV469" s="635"/>
      <c r="AW469" s="635"/>
      <c r="AX469" s="635"/>
      <c r="AY469" s="945"/>
    </row>
    <row r="470" spans="2:81">
      <c r="B470" s="758" t="s">
        <v>1156</v>
      </c>
      <c r="C470" s="343"/>
      <c r="D470" s="310" t="s">
        <v>1147</v>
      </c>
      <c r="E470" s="631"/>
      <c r="F470" s="631"/>
      <c r="G470" s="635"/>
      <c r="H470" s="635"/>
      <c r="I470" s="873">
        <f t="shared" si="320"/>
        <v>0.46719799201221951</v>
      </c>
      <c r="J470" s="873">
        <f t="shared" si="320"/>
        <v>0.4150138891715186</v>
      </c>
      <c r="K470" s="873">
        <f t="shared" si="320"/>
        <v>0.41149510763209396</v>
      </c>
      <c r="L470" s="873">
        <f t="shared" si="320"/>
        <v>0.42578153835797178</v>
      </c>
      <c r="M470" s="873">
        <f t="shared" si="320"/>
        <v>0.43331430921013081</v>
      </c>
      <c r="N470" s="1644">
        <f>M470+0.3%</f>
        <v>0.43631430921013081</v>
      </c>
      <c r="O470" s="1645">
        <f t="shared" ref="O470:P471" si="321">N470+0.25%</f>
        <v>0.43881430921013082</v>
      </c>
      <c r="P470" s="1645">
        <f t="shared" si="321"/>
        <v>0.44131430921013082</v>
      </c>
      <c r="Q470" s="635"/>
      <c r="R470" s="635"/>
      <c r="S470" s="635"/>
      <c r="T470" s="945"/>
      <c r="U470" s="789"/>
      <c r="V470" s="635"/>
      <c r="W470" s="635"/>
      <c r="X470" s="635"/>
      <c r="Y470" s="635"/>
      <c r="Z470" s="635"/>
      <c r="AA470" s="635"/>
      <c r="AB470" s="635"/>
      <c r="AC470" s="635"/>
      <c r="AD470" s="635"/>
      <c r="AE470" s="635"/>
      <c r="AF470" s="635"/>
      <c r="AG470" s="635"/>
      <c r="AH470" s="635"/>
      <c r="AI470" s="635"/>
      <c r="AJ470" s="635"/>
      <c r="AK470" s="635"/>
      <c r="AL470" s="635"/>
      <c r="AM470" s="635"/>
      <c r="AN470" s="635"/>
      <c r="AO470" s="635"/>
      <c r="AP470" s="635"/>
      <c r="AQ470" s="635"/>
      <c r="AR470" s="635"/>
      <c r="AS470" s="635"/>
      <c r="AT470" s="635"/>
      <c r="AU470" s="635"/>
      <c r="AV470" s="635"/>
      <c r="AW470" s="635"/>
      <c r="AX470" s="635"/>
      <c r="AY470" s="945"/>
    </row>
    <row r="471" spans="2:81">
      <c r="B471" s="758" t="s">
        <v>1153</v>
      </c>
      <c r="C471" s="343"/>
      <c r="D471" s="310" t="s">
        <v>1148</v>
      </c>
      <c r="E471" s="631"/>
      <c r="F471" s="631"/>
      <c r="G471" s="635"/>
      <c r="H471" s="635"/>
      <c r="I471" s="873">
        <f t="shared" si="320"/>
        <v>0.4760890014112224</v>
      </c>
      <c r="J471" s="873">
        <f t="shared" si="320"/>
        <v>0.42267275950316213</v>
      </c>
      <c r="K471" s="873">
        <f t="shared" si="320"/>
        <v>0.39519192023633681</v>
      </c>
      <c r="L471" s="873">
        <f t="shared" si="320"/>
        <v>0.40374911867245017</v>
      </c>
      <c r="M471" s="873">
        <f t="shared" si="320"/>
        <v>0.42069918798778455</v>
      </c>
      <c r="N471" s="1644">
        <f>M471+0.5%</f>
        <v>0.42569918798778456</v>
      </c>
      <c r="O471" s="1645">
        <f t="shared" si="321"/>
        <v>0.42819918798778456</v>
      </c>
      <c r="P471" s="1645">
        <f t="shared" si="321"/>
        <v>0.43069918798778456</v>
      </c>
      <c r="Q471" s="635"/>
      <c r="R471" s="635"/>
      <c r="S471" s="635"/>
      <c r="T471" s="945"/>
      <c r="U471" s="789"/>
      <c r="V471" s="635"/>
      <c r="W471" s="635"/>
      <c r="X471" s="635"/>
      <c r="Y471" s="635"/>
      <c r="Z471" s="635"/>
      <c r="AA471" s="635"/>
      <c r="AB471" s="635"/>
      <c r="AC471" s="635"/>
      <c r="AD471" s="635"/>
      <c r="AE471" s="635"/>
      <c r="AF471" s="635"/>
      <c r="AG471" s="635"/>
      <c r="AH471" s="635"/>
      <c r="AI471" s="635"/>
      <c r="AJ471" s="635"/>
      <c r="AK471" s="635"/>
      <c r="AL471" s="635"/>
      <c r="AM471" s="635"/>
      <c r="AN471" s="635"/>
      <c r="AO471" s="635"/>
      <c r="AP471" s="635"/>
      <c r="AQ471" s="635"/>
      <c r="AR471" s="635"/>
      <c r="AS471" s="635"/>
      <c r="AT471" s="635"/>
      <c r="AU471" s="635"/>
      <c r="AV471" s="635"/>
      <c r="AW471" s="635"/>
      <c r="AX471" s="635"/>
      <c r="AY471" s="945"/>
    </row>
    <row r="472" spans="2:81">
      <c r="B472" s="758" t="s">
        <v>1154</v>
      </c>
      <c r="C472" s="343"/>
      <c r="D472" s="310" t="s">
        <v>1149</v>
      </c>
      <c r="E472" s="631"/>
      <c r="F472" s="631"/>
      <c r="G472" s="635"/>
      <c r="H472" s="635"/>
      <c r="I472" s="873">
        <f t="shared" si="320"/>
        <v>0.34115890557993123</v>
      </c>
      <c r="J472" s="873">
        <f t="shared" si="320"/>
        <v>0.39762355972163671</v>
      </c>
      <c r="K472" s="873">
        <f t="shared" si="320"/>
        <v>0.4374676998368679</v>
      </c>
      <c r="L472" s="873">
        <f t="shared" si="320"/>
        <v>0.41724589827814568</v>
      </c>
      <c r="M472" s="873">
        <f t="shared" si="320"/>
        <v>0.41344812653046531</v>
      </c>
      <c r="N472" s="1644">
        <f>M472+0.5%</f>
        <v>0.41844812653046531</v>
      </c>
      <c r="O472" s="1645">
        <f>N472+0.1%</f>
        <v>0.41944812653046532</v>
      </c>
      <c r="P472" s="1645">
        <f>O472+0.1%</f>
        <v>0.42044812653046532</v>
      </c>
      <c r="Q472" s="635"/>
      <c r="R472" s="635"/>
      <c r="S472" s="635"/>
      <c r="T472" s="945"/>
      <c r="U472" s="789"/>
      <c r="V472" s="635"/>
      <c r="W472" s="635"/>
      <c r="X472" s="635"/>
      <c r="Y472" s="635"/>
      <c r="Z472" s="635"/>
      <c r="AA472" s="635"/>
      <c r="AB472" s="635"/>
      <c r="AC472" s="635"/>
      <c r="AD472" s="635"/>
      <c r="AE472" s="635"/>
      <c r="AF472" s="635"/>
      <c r="AG472" s="635"/>
      <c r="AH472" s="635"/>
      <c r="AI472" s="635"/>
      <c r="AJ472" s="635"/>
      <c r="AK472" s="635"/>
      <c r="AL472" s="635"/>
      <c r="AM472" s="635"/>
      <c r="AN472" s="635"/>
      <c r="AO472" s="635"/>
      <c r="AP472" s="635"/>
      <c r="AQ472" s="635"/>
      <c r="AR472" s="635"/>
      <c r="AS472" s="635"/>
      <c r="AT472" s="635"/>
      <c r="AU472" s="635"/>
      <c r="AV472" s="635"/>
      <c r="AW472" s="635"/>
      <c r="AX472" s="635"/>
      <c r="AY472" s="945"/>
    </row>
    <row r="473" spans="2:81">
      <c r="B473" s="758" t="s">
        <v>1155</v>
      </c>
      <c r="C473" s="343"/>
      <c r="D473" s="310" t="s">
        <v>1150</v>
      </c>
      <c r="E473" s="631"/>
      <c r="F473" s="631"/>
      <c r="G473" s="635"/>
      <c r="H473" s="635"/>
      <c r="I473" s="873"/>
      <c r="J473" s="873"/>
      <c r="K473" s="873"/>
      <c r="L473" s="873"/>
      <c r="M473" s="873"/>
      <c r="N473" s="1556"/>
      <c r="O473" s="635"/>
      <c r="P473" s="635"/>
      <c r="Q473" s="635"/>
      <c r="R473" s="635"/>
      <c r="S473" s="635"/>
      <c r="T473" s="945"/>
      <c r="U473" s="789"/>
      <c r="V473" s="635"/>
      <c r="W473" s="635"/>
      <c r="X473" s="635"/>
      <c r="Y473" s="635"/>
      <c r="Z473" s="635"/>
      <c r="AA473" s="635"/>
      <c r="AB473" s="635"/>
      <c r="AC473" s="635"/>
      <c r="AD473" s="635"/>
      <c r="AE473" s="635"/>
      <c r="AF473" s="635"/>
      <c r="AG473" s="635"/>
      <c r="AH473" s="635"/>
      <c r="AI473" s="635"/>
      <c r="AJ473" s="635"/>
      <c r="AK473" s="635"/>
      <c r="AL473" s="635"/>
      <c r="AM473" s="635"/>
      <c r="AN473" s="635"/>
      <c r="AO473" s="635"/>
      <c r="AP473" s="635"/>
      <c r="AQ473" s="635"/>
      <c r="AR473" s="635"/>
      <c r="AS473" s="635"/>
      <c r="AT473" s="635"/>
      <c r="AU473" s="635"/>
      <c r="AV473" s="635"/>
      <c r="AW473" s="635"/>
      <c r="AX473" s="635"/>
      <c r="AY473" s="945"/>
    </row>
    <row r="474" spans="2:81">
      <c r="B474" s="758" t="s">
        <v>1057</v>
      </c>
      <c r="C474" s="343"/>
      <c r="D474" s="310" t="s">
        <v>1151</v>
      </c>
      <c r="E474" s="631"/>
      <c r="F474" s="631"/>
      <c r="G474" s="635"/>
      <c r="H474" s="635"/>
      <c r="I474" s="873">
        <f t="shared" ref="I474:M475" si="322">I463/I389</f>
        <v>0.40298278207281268</v>
      </c>
      <c r="J474" s="873">
        <f t="shared" si="322"/>
        <v>0.47730919974029062</v>
      </c>
      <c r="K474" s="873">
        <f t="shared" si="322"/>
        <v>0.40638709970288694</v>
      </c>
      <c r="L474" s="873">
        <f t="shared" si="322"/>
        <v>0.42721934269959178</v>
      </c>
      <c r="M474" s="873">
        <f t="shared" si="322"/>
        <v>0.49391614442553239</v>
      </c>
      <c r="N474" s="1644">
        <f>M474</f>
        <v>0.49391614442553239</v>
      </c>
      <c r="O474" s="1645">
        <f>N474</f>
        <v>0.49391614442553239</v>
      </c>
      <c r="P474" s="1645">
        <f>O474</f>
        <v>0.49391614442553239</v>
      </c>
      <c r="Q474" s="635"/>
      <c r="R474" s="635"/>
      <c r="S474" s="635"/>
      <c r="T474" s="945"/>
      <c r="U474" s="789"/>
      <c r="V474" s="635"/>
      <c r="W474" s="635"/>
      <c r="X474" s="635"/>
      <c r="Y474" s="635"/>
      <c r="Z474" s="635"/>
      <c r="AA474" s="635"/>
      <c r="AB474" s="635"/>
      <c r="AC474" s="635"/>
      <c r="AD474" s="635"/>
      <c r="AE474" s="635"/>
      <c r="AF474" s="635"/>
      <c r="AG474" s="635"/>
      <c r="AH474" s="635"/>
      <c r="AI474" s="635"/>
      <c r="AJ474" s="635"/>
      <c r="AK474" s="635"/>
      <c r="AL474" s="635"/>
      <c r="AM474" s="635"/>
      <c r="AN474" s="635"/>
      <c r="AO474" s="635"/>
      <c r="AP474" s="635"/>
      <c r="AQ474" s="635"/>
      <c r="AR474" s="635"/>
      <c r="AS474" s="635"/>
      <c r="AT474" s="635"/>
      <c r="AU474" s="635"/>
      <c r="AV474" s="635"/>
      <c r="AW474" s="635"/>
      <c r="AX474" s="635"/>
      <c r="AY474" s="945"/>
    </row>
    <row r="475" spans="2:81">
      <c r="B475" s="841" t="s">
        <v>1234</v>
      </c>
      <c r="C475" s="302"/>
      <c r="D475" s="789" t="s">
        <v>1166</v>
      </c>
      <c r="E475" s="631"/>
      <c r="F475" s="631"/>
      <c r="G475" s="635"/>
      <c r="H475" s="635"/>
      <c r="I475" s="873">
        <f t="shared" si="322"/>
        <v>0.4687800595136854</v>
      </c>
      <c r="J475" s="873">
        <f t="shared" si="322"/>
        <v>0.46003081630377762</v>
      </c>
      <c r="K475" s="873">
        <f t="shared" si="322"/>
        <v>0.39422237792520798</v>
      </c>
      <c r="L475" s="873">
        <f t="shared" si="322"/>
        <v>0.39805070142951088</v>
      </c>
      <c r="M475" s="873">
        <f t="shared" si="322"/>
        <v>0.47138137871067709</v>
      </c>
      <c r="N475" s="1561">
        <f>N464/N390</f>
        <v>0.47481152145559008</v>
      </c>
      <c r="O475" s="873">
        <f>O464/O390</f>
        <v>0.53926376700493173</v>
      </c>
      <c r="P475" s="873">
        <f>P464/P390</f>
        <v>0.55605644133144039</v>
      </c>
      <c r="Q475" s="635"/>
      <c r="R475" s="635"/>
      <c r="S475" s="635"/>
      <c r="T475" s="945"/>
      <c r="U475" s="789"/>
      <c r="V475" s="635"/>
      <c r="W475" s="635"/>
      <c r="X475" s="635"/>
      <c r="Y475" s="635"/>
      <c r="Z475" s="635"/>
      <c r="AA475" s="635"/>
      <c r="AB475" s="635"/>
      <c r="AC475" s="635"/>
      <c r="AD475" s="635"/>
      <c r="AE475" s="635"/>
      <c r="AF475" s="635"/>
      <c r="AG475" s="635"/>
      <c r="AH475" s="635"/>
      <c r="AI475" s="635"/>
      <c r="AJ475" s="635"/>
      <c r="AK475" s="635"/>
      <c r="AL475" s="635"/>
      <c r="AM475" s="635"/>
      <c r="AN475" s="635"/>
      <c r="AO475" s="635"/>
      <c r="AP475" s="635"/>
      <c r="AQ475" s="635"/>
      <c r="AR475" s="635"/>
      <c r="AS475" s="635"/>
      <c r="AT475" s="635"/>
      <c r="AU475" s="635"/>
      <c r="AV475" s="635"/>
      <c r="AW475" s="635"/>
      <c r="AX475" s="635"/>
      <c r="AY475" s="945"/>
    </row>
    <row r="476" spans="2:81">
      <c r="B476" s="741"/>
      <c r="C476" s="343"/>
      <c r="D476" s="741"/>
      <c r="E476" s="631"/>
      <c r="F476" s="631"/>
      <c r="G476" s="631"/>
      <c r="H476" s="631"/>
      <c r="I476" s="635"/>
      <c r="J476" s="635"/>
      <c r="K476" s="635"/>
      <c r="L476" s="635"/>
      <c r="M476" s="635"/>
      <c r="N476" s="1556"/>
      <c r="O476" s="635"/>
      <c r="P476" s="635"/>
      <c r="Q476" s="635"/>
      <c r="R476" s="635"/>
      <c r="S476" s="635"/>
      <c r="T476" s="945"/>
      <c r="U476" s="789"/>
      <c r="V476" s="635"/>
      <c r="W476" s="635"/>
      <c r="X476" s="635"/>
      <c r="Y476" s="635"/>
      <c r="Z476" s="635"/>
      <c r="AA476" s="635"/>
      <c r="AB476" s="635"/>
      <c r="AC476" s="635"/>
      <c r="AD476" s="635"/>
      <c r="AE476" s="635"/>
      <c r="AF476" s="635"/>
      <c r="AG476" s="635"/>
      <c r="AH476" s="635"/>
      <c r="AI476" s="635"/>
      <c r="AJ476" s="635"/>
      <c r="AK476" s="635"/>
      <c r="AL476" s="635"/>
      <c r="AM476" s="635"/>
      <c r="AN476" s="635"/>
      <c r="AO476" s="635"/>
      <c r="AP476" s="635"/>
      <c r="AQ476" s="635"/>
      <c r="AR476" s="635"/>
      <c r="AS476" s="635"/>
      <c r="AT476" s="635"/>
      <c r="AU476" s="635"/>
      <c r="AV476" s="635"/>
      <c r="AW476" s="635"/>
      <c r="AX476" s="635"/>
      <c r="AY476" s="945"/>
    </row>
    <row r="477" spans="2:81" s="412" customFormat="1" ht="22.5">
      <c r="B477" s="906" t="s">
        <v>1158</v>
      </c>
      <c r="C477" s="906"/>
      <c r="D477" s="906" t="s">
        <v>1159</v>
      </c>
      <c r="E477" s="907"/>
      <c r="F477" s="907">
        <v>2017</v>
      </c>
      <c r="G477" s="907">
        <v>2018</v>
      </c>
      <c r="H477" s="907">
        <v>2019</v>
      </c>
      <c r="I477" s="909">
        <v>2020</v>
      </c>
      <c r="J477" s="909">
        <v>2021</v>
      </c>
      <c r="K477" s="909">
        <v>2022</v>
      </c>
      <c r="L477" s="909">
        <v>2023</v>
      </c>
      <c r="M477" s="909" t="s">
        <v>1070</v>
      </c>
      <c r="N477" s="1557" t="s">
        <v>1071</v>
      </c>
      <c r="O477" s="909" t="s">
        <v>1096</v>
      </c>
      <c r="P477" s="909" t="s">
        <v>1096</v>
      </c>
      <c r="Q477" s="909"/>
      <c r="R477" s="909"/>
      <c r="S477" s="909"/>
      <c r="T477" s="953"/>
      <c r="U477" s="1161" t="str">
        <f>D477</f>
        <v>经销商/零售终端变动情况</v>
      </c>
      <c r="V477" s="936"/>
      <c r="W477" s="936"/>
      <c r="X477" s="936"/>
      <c r="Y477" s="936"/>
      <c r="Z477" s="936"/>
      <c r="AA477" s="936"/>
      <c r="AB477" s="936"/>
      <c r="AC477" s="936"/>
      <c r="AD477" s="936"/>
      <c r="AE477" s="936"/>
      <c r="AF477" s="936"/>
      <c r="AG477" s="936"/>
      <c r="AH477" s="936"/>
      <c r="AI477" s="936"/>
      <c r="AJ477" s="936"/>
      <c r="AK477" s="936"/>
      <c r="AL477" s="936"/>
      <c r="AM477" s="936"/>
      <c r="AN477" s="936"/>
      <c r="AO477" s="936"/>
      <c r="AP477" s="936"/>
      <c r="AQ477" s="936"/>
      <c r="AR477" s="936"/>
      <c r="AS477" s="936"/>
      <c r="AT477" s="936"/>
      <c r="AU477" s="936"/>
      <c r="AV477" s="936"/>
      <c r="AW477" s="936"/>
      <c r="AX477" s="936"/>
      <c r="AY477" s="953"/>
    </row>
    <row r="478" spans="2:81">
      <c r="B478" s="758" t="s">
        <v>1160</v>
      </c>
      <c r="C478" s="310"/>
      <c r="D478" s="310" t="s">
        <v>1161</v>
      </c>
      <c r="E478" s="631"/>
      <c r="F478" s="681"/>
      <c r="G478" s="842">
        <f t="shared" ref="G478:O478" si="323">+SUM(G479:G487)</f>
        <v>1123</v>
      </c>
      <c r="H478" s="842">
        <f t="shared" si="323"/>
        <v>1236</v>
      </c>
      <c r="I478" s="842">
        <f t="shared" si="323"/>
        <v>1806</v>
      </c>
      <c r="J478" s="842">
        <f t="shared" si="323"/>
        <v>2312</v>
      </c>
      <c r="K478" s="842">
        <f t="shared" si="323"/>
        <v>2779</v>
      </c>
      <c r="L478" s="842">
        <f t="shared" si="323"/>
        <v>2981</v>
      </c>
      <c r="M478" s="842">
        <f>+SUM(M479:M487)</f>
        <v>3193</v>
      </c>
      <c r="N478" s="1558">
        <f t="shared" si="323"/>
        <v>0</v>
      </c>
      <c r="O478" s="842">
        <f t="shared" si="323"/>
        <v>0</v>
      </c>
      <c r="P478" s="842">
        <f>+SUM(P479:P487)</f>
        <v>0</v>
      </c>
      <c r="Q478" s="1483"/>
      <c r="R478" s="1483"/>
      <c r="S478" s="1483"/>
      <c r="T478" s="945"/>
      <c r="U478" s="789" t="str">
        <f>D478</f>
        <v>经销商总计</v>
      </c>
      <c r="V478" s="1162"/>
      <c r="W478" s="35">
        <f>+I478</f>
        <v>1806</v>
      </c>
      <c r="X478" s="1162">
        <v>2002</v>
      </c>
      <c r="Y478" s="35">
        <f>+J478</f>
        <v>2312</v>
      </c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945"/>
      <c r="AZ478" s="635"/>
      <c r="BA478" s="635"/>
      <c r="BB478" s="635"/>
      <c r="BC478" s="635"/>
      <c r="BD478" s="635"/>
      <c r="BE478" s="635"/>
      <c r="BF478" s="635"/>
      <c r="BG478" s="635"/>
      <c r="BH478" s="635"/>
      <c r="BI478" s="635"/>
      <c r="BJ478" s="635"/>
      <c r="BK478" s="635"/>
      <c r="BL478" s="635"/>
      <c r="BM478" s="635"/>
      <c r="BN478" s="635"/>
      <c r="BO478" s="635"/>
      <c r="BP478" s="635"/>
      <c r="BQ478" s="635"/>
      <c r="BR478" s="635"/>
      <c r="BS478" s="635"/>
      <c r="BT478" s="635"/>
      <c r="BU478" s="635"/>
      <c r="BV478" s="635"/>
      <c r="BW478" s="635"/>
      <c r="BX478" s="635"/>
      <c r="BY478" s="635"/>
      <c r="BZ478" s="635"/>
      <c r="CA478" s="635"/>
      <c r="CB478" s="635"/>
      <c r="CC478" s="635"/>
    </row>
    <row r="479" spans="2:81" ht="11.25" customHeight="1">
      <c r="B479" s="758" t="str">
        <f t="shared" ref="B479:B485" si="324">+B382</f>
        <v>Guangdong</v>
      </c>
      <c r="C479" s="343"/>
      <c r="D479" s="758" t="str">
        <f t="shared" ref="D479:D485" si="325">+D382</f>
        <v>广东</v>
      </c>
      <c r="E479" s="631"/>
      <c r="F479" s="344"/>
      <c r="G479" s="348">
        <v>211</v>
      </c>
      <c r="H479" s="348">
        <v>207</v>
      </c>
      <c r="I479" s="348">
        <v>222</v>
      </c>
      <c r="J479" s="348">
        <v>249</v>
      </c>
      <c r="K479" s="348">
        <v>265</v>
      </c>
      <c r="L479" s="348">
        <v>288</v>
      </c>
      <c r="M479" s="1923">
        <v>264</v>
      </c>
      <c r="N479" s="1551"/>
      <c r="O479" s="348"/>
      <c r="P479" s="348"/>
      <c r="Q479" s="630"/>
      <c r="R479" s="630"/>
      <c r="S479" s="630"/>
      <c r="T479" s="945"/>
      <c r="U479" s="789"/>
      <c r="V479" s="1162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35"/>
      <c r="AW479" s="35"/>
      <c r="AX479" s="35"/>
      <c r="AY479" s="945"/>
      <c r="AZ479" s="635"/>
      <c r="BA479" s="635"/>
      <c r="BB479" s="635"/>
      <c r="BC479" s="635"/>
      <c r="BD479" s="635"/>
      <c r="BE479" s="635"/>
      <c r="BF479" s="635"/>
      <c r="BG479" s="635"/>
      <c r="BH479" s="635"/>
      <c r="BI479" s="635"/>
      <c r="BJ479" s="635"/>
      <c r="BK479" s="635"/>
      <c r="BL479" s="635"/>
      <c r="BM479" s="635"/>
      <c r="BN479" s="635"/>
      <c r="BO479" s="635"/>
      <c r="BP479" s="635"/>
      <c r="BQ479" s="635"/>
      <c r="BR479" s="635"/>
      <c r="BS479" s="635"/>
      <c r="BT479" s="635"/>
      <c r="BU479" s="635"/>
      <c r="BV479" s="635"/>
      <c r="BW479" s="635"/>
      <c r="BX479" s="635"/>
      <c r="BY479" s="635"/>
      <c r="BZ479" s="635"/>
      <c r="CA479" s="635"/>
      <c r="CB479" s="635"/>
      <c r="CC479" s="635"/>
    </row>
    <row r="480" spans="2:81" ht="11.25" customHeight="1">
      <c r="B480" s="758" t="str">
        <f t="shared" si="324"/>
        <v>Central China</v>
      </c>
      <c r="C480" s="343"/>
      <c r="D480" s="758" t="str">
        <f t="shared" si="325"/>
        <v>华中</v>
      </c>
      <c r="E480" s="631"/>
      <c r="F480" s="344"/>
      <c r="G480" s="348">
        <v>224</v>
      </c>
      <c r="H480" s="348">
        <v>245</v>
      </c>
      <c r="I480" s="348">
        <v>303</v>
      </c>
      <c r="J480" s="348">
        <v>357</v>
      </c>
      <c r="K480" s="348">
        <v>454</v>
      </c>
      <c r="L480" s="348">
        <v>409</v>
      </c>
      <c r="M480" s="1923">
        <v>429</v>
      </c>
      <c r="N480" s="1551"/>
      <c r="O480" s="348"/>
      <c r="P480" s="348"/>
      <c r="Q480" s="630"/>
      <c r="R480" s="630"/>
      <c r="S480" s="630"/>
      <c r="T480" s="945"/>
      <c r="U480" s="789"/>
      <c r="V480" s="1162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945"/>
      <c r="AZ480" s="635"/>
      <c r="BA480" s="635"/>
      <c r="BB480" s="635"/>
      <c r="BC480" s="635"/>
      <c r="BD480" s="635"/>
      <c r="BE480" s="635"/>
      <c r="BF480" s="635"/>
      <c r="BG480" s="635"/>
      <c r="BH480" s="635"/>
      <c r="BI480" s="635"/>
      <c r="BJ480" s="635"/>
      <c r="BK480" s="635"/>
      <c r="BL480" s="635"/>
      <c r="BM480" s="635"/>
      <c r="BN480" s="635"/>
      <c r="BO480" s="635"/>
      <c r="BP480" s="635"/>
      <c r="BQ480" s="635"/>
      <c r="BR480" s="635"/>
      <c r="BS480" s="635"/>
      <c r="BT480" s="635"/>
      <c r="BU480" s="635"/>
      <c r="BV480" s="635"/>
      <c r="BW480" s="635"/>
      <c r="BX480" s="635"/>
      <c r="BY480" s="635"/>
      <c r="BZ480" s="635"/>
      <c r="CA480" s="635"/>
      <c r="CB480" s="635"/>
      <c r="CC480" s="635"/>
    </row>
    <row r="481" spans="2:81" ht="11.25" customHeight="1">
      <c r="B481" s="758" t="str">
        <f t="shared" si="324"/>
        <v>Guangxi</v>
      </c>
      <c r="C481" s="343"/>
      <c r="D481" s="758" t="str">
        <f t="shared" si="325"/>
        <v>广西</v>
      </c>
      <c r="E481" s="631"/>
      <c r="F481" s="349"/>
      <c r="G481" s="348">
        <v>72</v>
      </c>
      <c r="H481" s="348">
        <v>93</v>
      </c>
      <c r="I481" s="348">
        <v>99</v>
      </c>
      <c r="J481" s="348">
        <v>101</v>
      </c>
      <c r="K481" s="348">
        <v>154</v>
      </c>
      <c r="L481" s="348">
        <v>132</v>
      </c>
      <c r="M481" s="1923">
        <v>126</v>
      </c>
      <c r="N481" s="1551"/>
      <c r="O481" s="348"/>
      <c r="P481" s="348"/>
      <c r="Q481" s="630"/>
      <c r="R481" s="630"/>
      <c r="S481" s="630"/>
      <c r="T481" s="945"/>
      <c r="U481" s="789"/>
      <c r="V481" s="1162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35"/>
      <c r="AW481" s="35"/>
      <c r="AX481" s="35"/>
      <c r="AY481" s="945"/>
      <c r="AZ481" s="635"/>
      <c r="BA481" s="635"/>
      <c r="BB481" s="635"/>
      <c r="BC481" s="635"/>
      <c r="BD481" s="635"/>
      <c r="BE481" s="635"/>
      <c r="BF481" s="635"/>
      <c r="BG481" s="635"/>
      <c r="BH481" s="635"/>
      <c r="BI481" s="635"/>
      <c r="BJ481" s="635"/>
      <c r="BK481" s="635"/>
      <c r="BL481" s="635"/>
      <c r="BM481" s="635"/>
      <c r="BN481" s="635"/>
      <c r="BO481" s="635"/>
      <c r="BP481" s="635"/>
      <c r="BQ481" s="635"/>
      <c r="BR481" s="635"/>
      <c r="BS481" s="635"/>
      <c r="BT481" s="635"/>
      <c r="BU481" s="635"/>
      <c r="BV481" s="635"/>
      <c r="BW481" s="635"/>
      <c r="BX481" s="635"/>
      <c r="BY481" s="635"/>
      <c r="BZ481" s="635"/>
      <c r="CA481" s="635"/>
      <c r="CB481" s="635"/>
      <c r="CC481" s="635"/>
    </row>
    <row r="482" spans="2:81" ht="11.25" customHeight="1">
      <c r="B482" s="758" t="str">
        <f t="shared" si="324"/>
        <v>East China</v>
      </c>
      <c r="C482" s="343"/>
      <c r="D482" s="758" t="str">
        <f t="shared" si="325"/>
        <v>华东</v>
      </c>
      <c r="E482" s="631"/>
      <c r="F482" s="349"/>
      <c r="G482" s="348">
        <v>248</v>
      </c>
      <c r="H482" s="348">
        <v>246</v>
      </c>
      <c r="I482" s="348">
        <v>289</v>
      </c>
      <c r="J482" s="348">
        <v>264</v>
      </c>
      <c r="K482" s="348">
        <v>313</v>
      </c>
      <c r="L482" s="348">
        <v>299</v>
      </c>
      <c r="M482" s="1923">
        <v>303</v>
      </c>
      <c r="N482" s="1551"/>
      <c r="O482" s="348"/>
      <c r="P482" s="348"/>
      <c r="Q482" s="630"/>
      <c r="R482" s="630"/>
      <c r="S482" s="630"/>
      <c r="T482" s="945"/>
      <c r="U482" s="789"/>
      <c r="V482" s="1162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945"/>
      <c r="AZ482" s="635"/>
      <c r="BA482" s="635"/>
      <c r="BB482" s="635"/>
      <c r="BC482" s="635"/>
      <c r="BD482" s="635"/>
      <c r="BE482" s="635"/>
      <c r="BF482" s="635"/>
      <c r="BG482" s="635"/>
      <c r="BH482" s="635"/>
      <c r="BI482" s="635"/>
      <c r="BJ482" s="635"/>
      <c r="BK482" s="635"/>
      <c r="BL482" s="635"/>
      <c r="BM482" s="635"/>
      <c r="BN482" s="635"/>
      <c r="BO482" s="635"/>
      <c r="BP482" s="635"/>
      <c r="BQ482" s="635"/>
      <c r="BR482" s="635"/>
      <c r="BS482" s="635"/>
      <c r="BT482" s="635"/>
      <c r="BU482" s="635"/>
      <c r="BV482" s="635"/>
      <c r="BW482" s="635"/>
      <c r="BX482" s="635"/>
      <c r="BY482" s="635"/>
      <c r="BZ482" s="635"/>
      <c r="CA482" s="635"/>
      <c r="CB482" s="635"/>
      <c r="CC482" s="635"/>
    </row>
    <row r="483" spans="2:81" ht="11.25" customHeight="1">
      <c r="B483" s="758" t="str">
        <f t="shared" si="324"/>
        <v>Southwest</v>
      </c>
      <c r="C483" s="343"/>
      <c r="D483" s="758" t="str">
        <f t="shared" si="325"/>
        <v>西南</v>
      </c>
      <c r="E483" s="631"/>
      <c r="F483" s="784"/>
      <c r="G483" s="348">
        <v>93</v>
      </c>
      <c r="H483" s="348">
        <v>165</v>
      </c>
      <c r="I483" s="348">
        <v>281</v>
      </c>
      <c r="J483" s="348">
        <v>376</v>
      </c>
      <c r="K483" s="348">
        <v>463</v>
      </c>
      <c r="L483" s="348">
        <v>458</v>
      </c>
      <c r="M483" s="1923">
        <v>487</v>
      </c>
      <c r="N483" s="1551"/>
      <c r="O483" s="348"/>
      <c r="P483" s="348"/>
      <c r="Q483" s="630"/>
      <c r="R483" s="630"/>
      <c r="S483" s="630"/>
      <c r="T483" s="945"/>
      <c r="U483" s="789"/>
      <c r="V483" s="1162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35"/>
      <c r="AW483" s="35"/>
      <c r="AX483" s="35"/>
      <c r="AY483" s="945"/>
      <c r="AZ483" s="635"/>
      <c r="BA483" s="635"/>
      <c r="BB483" s="635"/>
      <c r="BC483" s="635"/>
      <c r="BD483" s="635"/>
      <c r="BE483" s="635"/>
      <c r="BF483" s="635"/>
      <c r="BG483" s="635"/>
      <c r="BH483" s="635"/>
      <c r="BI483" s="635"/>
      <c r="BJ483" s="635"/>
      <c r="BK483" s="635"/>
      <c r="BL483" s="635"/>
      <c r="BM483" s="635"/>
      <c r="BN483" s="635"/>
      <c r="BO483" s="635"/>
      <c r="BP483" s="635"/>
      <c r="BQ483" s="635"/>
      <c r="BR483" s="635"/>
      <c r="BS483" s="635"/>
      <c r="BT483" s="635"/>
      <c r="BU483" s="635"/>
      <c r="BV483" s="635"/>
      <c r="BW483" s="635"/>
      <c r="BX483" s="635"/>
      <c r="BY483" s="635"/>
      <c r="BZ483" s="635"/>
      <c r="CA483" s="635"/>
      <c r="CB483" s="635"/>
      <c r="CC483" s="635"/>
    </row>
    <row r="484" spans="2:81" ht="11.25" customHeight="1">
      <c r="B484" s="758" t="str">
        <f t="shared" si="324"/>
        <v>North China</v>
      </c>
      <c r="C484" s="343"/>
      <c r="D484" s="758" t="str">
        <f t="shared" si="325"/>
        <v>华北</v>
      </c>
      <c r="E484" s="631"/>
      <c r="F484" s="348"/>
      <c r="G484" s="348">
        <v>222</v>
      </c>
      <c r="H484" s="348">
        <v>201</v>
      </c>
      <c r="I484" s="348">
        <v>283</v>
      </c>
      <c r="J484" s="348">
        <v>617</v>
      </c>
      <c r="K484" s="348">
        <v>744</v>
      </c>
      <c r="L484" s="348">
        <v>899</v>
      </c>
      <c r="M484" s="1923">
        <v>927</v>
      </c>
      <c r="N484" s="1551"/>
      <c r="O484" s="348"/>
      <c r="P484" s="348"/>
      <c r="Q484" s="630"/>
      <c r="R484" s="630"/>
      <c r="S484" s="630"/>
      <c r="T484" s="945"/>
      <c r="U484" s="789"/>
      <c r="V484" s="1162"/>
      <c r="W484" s="35"/>
      <c r="X484" s="1162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945"/>
      <c r="AZ484" s="635"/>
      <c r="BA484" s="635"/>
      <c r="BB484" s="635"/>
      <c r="BC484" s="635"/>
      <c r="BD484" s="635"/>
      <c r="BE484" s="635"/>
      <c r="BF484" s="635"/>
      <c r="BG484" s="635"/>
      <c r="BH484" s="635"/>
      <c r="BI484" s="635"/>
      <c r="BJ484" s="635"/>
      <c r="BK484" s="635"/>
      <c r="BL484" s="635"/>
      <c r="BM484" s="635"/>
      <c r="BN484" s="635"/>
      <c r="BO484" s="635"/>
      <c r="BP484" s="635"/>
      <c r="BQ484" s="635"/>
      <c r="BR484" s="635"/>
      <c r="BS484" s="635"/>
      <c r="BT484" s="635"/>
      <c r="BU484" s="635"/>
      <c r="BV484" s="635"/>
      <c r="BW484" s="635"/>
      <c r="BX484" s="635"/>
      <c r="BY484" s="635"/>
      <c r="BZ484" s="635"/>
      <c r="CA484" s="635"/>
      <c r="CB484" s="635"/>
      <c r="CC484" s="635"/>
    </row>
    <row r="485" spans="2:81" ht="11.25" customHeight="1">
      <c r="B485" s="758" t="str">
        <f t="shared" si="324"/>
        <v>North</v>
      </c>
      <c r="C485" s="343"/>
      <c r="D485" s="758" t="str">
        <f t="shared" si="325"/>
        <v>北方</v>
      </c>
      <c r="E485" s="631"/>
      <c r="F485" s="344"/>
      <c r="G485" s="348">
        <v>53</v>
      </c>
      <c r="H485" s="348">
        <v>79</v>
      </c>
      <c r="I485" s="348">
        <v>123</v>
      </c>
      <c r="J485" s="348"/>
      <c r="K485" s="348"/>
      <c r="L485" s="348"/>
      <c r="M485" s="348"/>
      <c r="N485" s="1551"/>
      <c r="O485" s="348"/>
      <c r="P485" s="348"/>
      <c r="Q485" s="630"/>
      <c r="R485" s="630"/>
      <c r="S485" s="630"/>
      <c r="T485" s="945"/>
      <c r="U485" s="789"/>
      <c r="V485" s="635"/>
      <c r="W485" s="635"/>
      <c r="X485" s="635"/>
      <c r="Y485" s="635"/>
      <c r="Z485" s="635"/>
      <c r="AA485" s="635"/>
      <c r="AB485" s="635"/>
      <c r="AC485" s="635"/>
      <c r="AD485" s="635"/>
      <c r="AE485" s="635"/>
      <c r="AF485" s="635"/>
      <c r="AG485" s="635"/>
      <c r="AH485" s="635"/>
      <c r="AI485" s="635"/>
      <c r="AJ485" s="635"/>
      <c r="AK485" s="635"/>
      <c r="AL485" s="635"/>
      <c r="AM485" s="635"/>
      <c r="AN485" s="635"/>
      <c r="AO485" s="635"/>
      <c r="AP485" s="635"/>
      <c r="AQ485" s="635"/>
      <c r="AR485" s="635"/>
      <c r="AS485" s="635"/>
      <c r="AT485" s="635"/>
      <c r="AU485" s="635"/>
      <c r="AV485" s="635"/>
      <c r="AW485" s="635"/>
      <c r="AX485" s="635"/>
      <c r="AY485" s="945"/>
      <c r="AZ485" s="635"/>
      <c r="BA485" s="635"/>
      <c r="BB485" s="635"/>
      <c r="BC485" s="635"/>
      <c r="BD485" s="635"/>
      <c r="BE485" s="635"/>
      <c r="BF485" s="635"/>
      <c r="BG485" s="635"/>
      <c r="BH485" s="635"/>
      <c r="BI485" s="635"/>
      <c r="BJ485" s="635"/>
      <c r="BK485" s="635"/>
      <c r="BL485" s="635"/>
      <c r="BM485" s="635"/>
      <c r="BN485" s="635"/>
      <c r="BO485" s="635"/>
      <c r="BP485" s="635"/>
      <c r="BQ485" s="635"/>
      <c r="BR485" s="635"/>
      <c r="BS485" s="635"/>
      <c r="BT485" s="635"/>
      <c r="BU485" s="635"/>
      <c r="BV485" s="635"/>
      <c r="BW485" s="635"/>
      <c r="BX485" s="635"/>
      <c r="BY485" s="635"/>
      <c r="BZ485" s="635"/>
      <c r="CA485" s="635"/>
      <c r="CB485" s="635"/>
      <c r="CC485" s="635"/>
    </row>
    <row r="486" spans="2:81" ht="11.25" customHeight="1">
      <c r="B486" s="758" t="s">
        <v>1244</v>
      </c>
      <c r="C486" s="343"/>
      <c r="D486" s="758" t="s">
        <v>1245</v>
      </c>
      <c r="E486" s="631"/>
      <c r="F486" s="344"/>
      <c r="G486" s="348"/>
      <c r="H486" s="348"/>
      <c r="I486" s="348">
        <f>J486-230+88</f>
        <v>206</v>
      </c>
      <c r="J486" s="348">
        <v>348</v>
      </c>
      <c r="K486" s="348">
        <v>386</v>
      </c>
      <c r="L486" s="348">
        <v>496</v>
      </c>
      <c r="M486" s="1923">
        <v>657</v>
      </c>
      <c r="N486" s="1551"/>
      <c r="O486" s="348"/>
      <c r="P486" s="348"/>
      <c r="Q486" s="630"/>
      <c r="R486" s="630"/>
      <c r="S486" s="630"/>
      <c r="T486" s="945"/>
      <c r="U486" s="789" t="str">
        <f>D486</f>
        <v>线上及直营</v>
      </c>
      <c r="V486" s="1162"/>
      <c r="W486" s="35">
        <f>+I486</f>
        <v>206</v>
      </c>
      <c r="X486" s="1162">
        <v>1790</v>
      </c>
      <c r="Y486" s="35">
        <f>+J486</f>
        <v>348</v>
      </c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945"/>
      <c r="AZ486" s="635"/>
      <c r="BA486" s="635"/>
      <c r="BB486" s="635"/>
      <c r="BC486" s="635"/>
      <c r="BD486" s="635"/>
      <c r="BE486" s="635"/>
      <c r="BF486" s="635"/>
      <c r="BG486" s="635"/>
      <c r="BH486" s="635"/>
      <c r="BI486" s="635"/>
      <c r="BJ486" s="635"/>
      <c r="BK486" s="635"/>
      <c r="BL486" s="635"/>
      <c r="BM486" s="635"/>
      <c r="BN486" s="635"/>
      <c r="BO486" s="635"/>
      <c r="BP486" s="635"/>
      <c r="BQ486" s="635"/>
      <c r="BR486" s="635"/>
      <c r="BS486" s="635"/>
      <c r="BT486" s="635"/>
      <c r="BU486" s="635"/>
      <c r="BV486" s="635"/>
      <c r="BW486" s="635"/>
      <c r="BX486" s="635"/>
      <c r="BY486" s="635"/>
      <c r="BZ486" s="635"/>
      <c r="CA486" s="635"/>
      <c r="CB486" s="635"/>
      <c r="CC486" s="635"/>
    </row>
    <row r="487" spans="2:81" ht="11.25" customHeight="1">
      <c r="B487" s="758"/>
      <c r="C487" s="343"/>
      <c r="D487" s="758"/>
      <c r="E487" s="631"/>
      <c r="F487" s="344"/>
      <c r="G487" s="348"/>
      <c r="H487" s="348"/>
      <c r="I487" s="348"/>
      <c r="J487" s="348"/>
      <c r="K487" s="348"/>
      <c r="L487" s="348"/>
      <c r="M487" s="348"/>
      <c r="N487" s="1551"/>
      <c r="O487" s="348"/>
      <c r="P487" s="348"/>
      <c r="Q487" s="630"/>
      <c r="R487" s="630"/>
      <c r="S487" s="630"/>
      <c r="T487" s="945"/>
      <c r="U487" s="789"/>
      <c r="V487" s="635"/>
      <c r="W487" s="635"/>
      <c r="X487" s="635"/>
      <c r="Y487" s="635"/>
      <c r="Z487" s="635"/>
      <c r="AA487" s="635"/>
      <c r="AB487" s="635"/>
      <c r="AC487" s="635"/>
      <c r="AD487" s="635"/>
      <c r="AE487" s="635"/>
      <c r="AF487" s="635"/>
      <c r="AG487" s="635"/>
      <c r="AH487" s="635"/>
      <c r="AI487" s="635"/>
      <c r="AJ487" s="635"/>
      <c r="AK487" s="635"/>
      <c r="AL487" s="635"/>
      <c r="AM487" s="635"/>
      <c r="AN487" s="635"/>
      <c r="AO487" s="635"/>
      <c r="AP487" s="635"/>
      <c r="AQ487" s="635"/>
      <c r="AR487" s="635"/>
      <c r="AS487" s="635"/>
      <c r="AT487" s="635"/>
      <c r="AU487" s="635"/>
      <c r="AV487" s="635"/>
      <c r="AW487" s="635"/>
      <c r="AX487" s="635"/>
      <c r="AY487" s="945"/>
      <c r="AZ487" s="635"/>
      <c r="BA487" s="635"/>
      <c r="BB487" s="635"/>
      <c r="BC487" s="635"/>
      <c r="BD487" s="635"/>
      <c r="BE487" s="635"/>
      <c r="BF487" s="635"/>
      <c r="BG487" s="635"/>
      <c r="BH487" s="635"/>
      <c r="BI487" s="635"/>
      <c r="BJ487" s="635"/>
      <c r="BK487" s="635"/>
      <c r="BL487" s="635"/>
      <c r="BM487" s="635"/>
      <c r="BN487" s="635"/>
      <c r="BO487" s="635"/>
      <c r="BP487" s="635"/>
      <c r="BQ487" s="635"/>
      <c r="BR487" s="635"/>
      <c r="BS487" s="635"/>
      <c r="BT487" s="635"/>
      <c r="BU487" s="635"/>
      <c r="BV487" s="635"/>
      <c r="BW487" s="635"/>
      <c r="BX487" s="635"/>
      <c r="BY487" s="635"/>
      <c r="BZ487" s="635"/>
      <c r="CA487" s="635"/>
      <c r="CB487" s="635"/>
      <c r="CC487" s="635"/>
    </row>
    <row r="488" spans="2:81" s="37" customFormat="1" ht="14.25" customHeight="1">
      <c r="B488" s="1245" t="s">
        <v>1162</v>
      </c>
      <c r="C488" s="1168"/>
      <c r="D488" s="1249" t="str">
        <f>+B488</f>
        <v>Distributor productivity (Rmb mn)</v>
      </c>
      <c r="E488" s="790"/>
      <c r="F488" s="1246"/>
      <c r="G488" s="1247">
        <f t="shared" ref="G488:M488" si="326">G381/G478</f>
        <v>2.6902742653606415</v>
      </c>
      <c r="H488" s="1247">
        <f t="shared" si="326"/>
        <v>3.3914297734627832</v>
      </c>
      <c r="I488" s="1247">
        <f t="shared" si="326"/>
        <v>2.7329253599114058</v>
      </c>
      <c r="J488" s="1247">
        <f t="shared" si="326"/>
        <v>3.0120447405320072</v>
      </c>
      <c r="K488" s="1247">
        <f t="shared" si="326"/>
        <v>3.0558986910075565</v>
      </c>
      <c r="L488" s="1247">
        <f t="shared" si="326"/>
        <v>3.7740638110399192</v>
      </c>
      <c r="M488" s="1247">
        <f t="shared" si="326"/>
        <v>4.955140664478547</v>
      </c>
      <c r="N488" s="1559"/>
      <c r="O488" s="1246"/>
      <c r="P488" s="1246"/>
      <c r="Q488" s="1355"/>
      <c r="R488" s="1355"/>
      <c r="S488" s="1355"/>
      <c r="T488" s="947"/>
      <c r="U488" s="1164" t="str">
        <f>D488</f>
        <v>Distributor productivity (Rmb mn)</v>
      </c>
      <c r="V488" s="1248"/>
      <c r="W488" s="1248"/>
      <c r="X488" s="1248"/>
      <c r="Y488" s="1248"/>
      <c r="Z488" s="1248"/>
      <c r="AA488" s="1248"/>
      <c r="AB488" s="1248"/>
      <c r="AC488" s="1248"/>
      <c r="AD488" s="1248"/>
      <c r="AE488" s="1248"/>
      <c r="AF488" s="1248"/>
      <c r="AG488" s="1248"/>
      <c r="AH488" s="1248"/>
      <c r="AI488" s="1248"/>
      <c r="AJ488" s="1248"/>
      <c r="AK488" s="1248"/>
      <c r="AL488" s="1248"/>
      <c r="AM488" s="1248"/>
      <c r="AN488" s="1248"/>
      <c r="AO488" s="1248"/>
      <c r="AP488" s="1248"/>
      <c r="AQ488" s="1248"/>
      <c r="AR488" s="1248"/>
      <c r="AS488" s="1248"/>
      <c r="AT488" s="1248"/>
      <c r="AU488" s="1248"/>
      <c r="AV488" s="1248"/>
      <c r="AW488" s="1248"/>
      <c r="AX488" s="1248"/>
      <c r="AY488" s="947"/>
      <c r="AZ488" s="1248"/>
      <c r="BA488" s="1248"/>
      <c r="BB488" s="1248"/>
      <c r="BC488" s="1248"/>
      <c r="BD488" s="1248"/>
      <c r="BE488" s="1248"/>
      <c r="BF488" s="1248"/>
      <c r="BG488" s="1248"/>
      <c r="BH488" s="1248"/>
      <c r="BI488" s="1248"/>
      <c r="BJ488" s="1248"/>
      <c r="BK488" s="1248"/>
      <c r="BL488" s="1248"/>
      <c r="BM488" s="1248"/>
      <c r="BN488" s="1248"/>
      <c r="BO488" s="1248"/>
      <c r="BP488" s="1248"/>
      <c r="BQ488" s="1248"/>
      <c r="BR488" s="1248"/>
      <c r="BS488" s="1248"/>
      <c r="BT488" s="1248"/>
      <c r="BU488" s="1248"/>
      <c r="BV488" s="1248"/>
      <c r="BW488" s="1248"/>
      <c r="BX488" s="1248"/>
      <c r="BY488" s="1248"/>
      <c r="BZ488" s="1248"/>
      <c r="CA488" s="1248"/>
      <c r="CB488" s="1248"/>
      <c r="CC488" s="1248"/>
    </row>
    <row r="489" spans="2:81" ht="11.25" customHeight="1">
      <c r="B489" s="758" t="str">
        <f t="shared" ref="B489:B495" si="327">+B479</f>
        <v>Guangdong</v>
      </c>
      <c r="C489" s="343"/>
      <c r="D489" s="758" t="str">
        <f t="shared" ref="D489:D495" si="328">+D479</f>
        <v>广东</v>
      </c>
      <c r="E489" s="631"/>
      <c r="F489" s="344"/>
      <c r="G489" s="843">
        <f t="shared" ref="G489:M494" si="329">+G382/G479</f>
        <v>8.7480227488151652</v>
      </c>
      <c r="H489" s="843">
        <f t="shared" si="329"/>
        <v>12.173636714975844</v>
      </c>
      <c r="I489" s="843">
        <f t="shared" si="329"/>
        <v>12.392738288288287</v>
      </c>
      <c r="J489" s="843">
        <f t="shared" si="329"/>
        <v>12.847666762008032</v>
      </c>
      <c r="K489" s="843">
        <f t="shared" si="329"/>
        <v>12.656603773584905</v>
      </c>
      <c r="L489" s="843">
        <f t="shared" si="329"/>
        <v>13.058868520833334</v>
      </c>
      <c r="M489" s="843">
        <f t="shared" si="329"/>
        <v>16.514967581742422</v>
      </c>
      <c r="N489" s="1560"/>
      <c r="O489" s="344"/>
      <c r="P489" s="344"/>
      <c r="Q489" s="1200"/>
      <c r="R489" s="1200"/>
      <c r="S489" s="1200"/>
      <c r="T489" s="945"/>
      <c r="U489" s="789"/>
      <c r="V489" s="635"/>
      <c r="W489" s="635"/>
      <c r="X489" s="635"/>
      <c r="Y489" s="635"/>
      <c r="Z489" s="635"/>
      <c r="AA489" s="635"/>
      <c r="AB489" s="635"/>
      <c r="AC489" s="635"/>
      <c r="AD489" s="635"/>
      <c r="AE489" s="635"/>
      <c r="AF489" s="635"/>
      <c r="AG489" s="635"/>
      <c r="AH489" s="635"/>
      <c r="AI489" s="635"/>
      <c r="AJ489" s="635"/>
      <c r="AK489" s="635"/>
      <c r="AL489" s="635"/>
      <c r="AM489" s="635"/>
      <c r="AN489" s="635"/>
      <c r="AO489" s="635"/>
      <c r="AP489" s="635"/>
      <c r="AQ489" s="635"/>
      <c r="AR489" s="635"/>
      <c r="AS489" s="635"/>
      <c r="AT489" s="635"/>
      <c r="AU489" s="635"/>
      <c r="AV489" s="635"/>
      <c r="AW489" s="635"/>
      <c r="AX489" s="635"/>
      <c r="AY489" s="945"/>
      <c r="AZ489" s="635"/>
      <c r="BA489" s="635"/>
      <c r="BB489" s="635"/>
      <c r="BC489" s="635"/>
      <c r="BD489" s="635"/>
      <c r="BE489" s="635"/>
      <c r="BF489" s="635"/>
      <c r="BG489" s="635"/>
      <c r="BH489" s="635"/>
      <c r="BI489" s="635"/>
      <c r="BJ489" s="635"/>
      <c r="BK489" s="635"/>
      <c r="BL489" s="635"/>
      <c r="BM489" s="635"/>
      <c r="BN489" s="635"/>
      <c r="BO489" s="635"/>
      <c r="BP489" s="635"/>
      <c r="BQ489" s="635"/>
      <c r="BR489" s="635"/>
      <c r="BS489" s="635"/>
      <c r="BT489" s="635"/>
      <c r="BU489" s="635"/>
      <c r="BV489" s="635"/>
      <c r="BW489" s="635"/>
      <c r="BX489" s="635"/>
      <c r="BY489" s="635"/>
      <c r="BZ489" s="635"/>
      <c r="CA489" s="635"/>
      <c r="CB489" s="635"/>
      <c r="CC489" s="635"/>
    </row>
    <row r="490" spans="2:81" ht="11.25" customHeight="1">
      <c r="B490" s="758" t="str">
        <f t="shared" si="327"/>
        <v>Central China</v>
      </c>
      <c r="C490" s="343"/>
      <c r="D490" s="758" t="str">
        <f t="shared" si="328"/>
        <v>华中</v>
      </c>
      <c r="E490" s="631"/>
      <c r="F490" s="344"/>
      <c r="G490" s="843">
        <f t="shared" si="329"/>
        <v>1.2739441964285714</v>
      </c>
      <c r="H490" s="843">
        <f t="shared" si="329"/>
        <v>1.8905632653061226</v>
      </c>
      <c r="I490" s="843">
        <f t="shared" si="329"/>
        <v>1.8425907590759074</v>
      </c>
      <c r="J490" s="843">
        <f t="shared" si="329"/>
        <v>2.1096185040336133</v>
      </c>
      <c r="K490" s="843">
        <f t="shared" si="329"/>
        <v>2.3215859030837005</v>
      </c>
      <c r="L490" s="843">
        <f t="shared" si="329"/>
        <v>3.4232359702933981</v>
      </c>
      <c r="M490" s="843">
        <f t="shared" si="329"/>
        <v>4.835801781491841</v>
      </c>
      <c r="N490" s="1560"/>
      <c r="O490" s="344"/>
      <c r="P490" s="344"/>
      <c r="Q490" s="1200"/>
      <c r="R490" s="1200"/>
      <c r="S490" s="1200"/>
      <c r="T490" s="945"/>
      <c r="U490" s="789"/>
      <c r="V490" s="635"/>
      <c r="W490" s="635"/>
      <c r="X490" s="635"/>
      <c r="Y490" s="635"/>
      <c r="Z490" s="635"/>
      <c r="AA490" s="635"/>
      <c r="AB490" s="635"/>
      <c r="AC490" s="635"/>
      <c r="AD490" s="635"/>
      <c r="AE490" s="635"/>
      <c r="AF490" s="635"/>
      <c r="AG490" s="635"/>
      <c r="AH490" s="635"/>
      <c r="AI490" s="635"/>
      <c r="AJ490" s="635"/>
      <c r="AK490" s="635"/>
      <c r="AL490" s="635"/>
      <c r="AM490" s="635"/>
      <c r="AN490" s="635"/>
      <c r="AO490" s="635"/>
      <c r="AP490" s="635"/>
      <c r="AQ490" s="635"/>
      <c r="AR490" s="635"/>
      <c r="AS490" s="635"/>
      <c r="AT490" s="635"/>
      <c r="AU490" s="635"/>
      <c r="AV490" s="635"/>
      <c r="AW490" s="635"/>
      <c r="AX490" s="635"/>
      <c r="AY490" s="945"/>
      <c r="AZ490" s="635"/>
      <c r="BA490" s="635"/>
      <c r="BB490" s="635"/>
      <c r="BC490" s="635"/>
      <c r="BD490" s="635"/>
      <c r="BE490" s="635"/>
      <c r="BF490" s="635"/>
      <c r="BG490" s="635"/>
      <c r="BH490" s="635"/>
      <c r="BI490" s="635"/>
      <c r="BJ490" s="635"/>
      <c r="BK490" s="635"/>
      <c r="BL490" s="635"/>
      <c r="BM490" s="635"/>
      <c r="BN490" s="635"/>
      <c r="BO490" s="635"/>
      <c r="BP490" s="635"/>
      <c r="BQ490" s="635"/>
      <c r="BR490" s="635"/>
      <c r="BS490" s="635"/>
      <c r="BT490" s="635"/>
      <c r="BU490" s="635"/>
      <c r="BV490" s="635"/>
      <c r="BW490" s="635"/>
      <c r="BX490" s="635"/>
      <c r="BY490" s="635"/>
      <c r="BZ490" s="635"/>
      <c r="CA490" s="635"/>
      <c r="CB490" s="635"/>
      <c r="CC490" s="635"/>
    </row>
    <row r="491" spans="2:81" ht="11.25" customHeight="1">
      <c r="B491" s="758" t="str">
        <f t="shared" si="327"/>
        <v>Guangxi</v>
      </c>
      <c r="C491" s="343"/>
      <c r="D491" s="758" t="str">
        <f t="shared" si="328"/>
        <v>广西</v>
      </c>
      <c r="E491" s="631"/>
      <c r="F491" s="344"/>
      <c r="G491" s="843">
        <f t="shared" si="329"/>
        <v>4.5679222222222222</v>
      </c>
      <c r="H491" s="843">
        <f t="shared" si="329"/>
        <v>4.4480795698924736</v>
      </c>
      <c r="I491" s="843">
        <f t="shared" si="329"/>
        <v>5.259982828282828</v>
      </c>
      <c r="J491" s="843">
        <f t="shared" si="329"/>
        <v>6.9866806198019802</v>
      </c>
      <c r="K491" s="843">
        <f t="shared" si="329"/>
        <v>5.8116883116883118</v>
      </c>
      <c r="L491" s="843">
        <f t="shared" si="329"/>
        <v>7.4457030075757578</v>
      </c>
      <c r="M491" s="843">
        <f t="shared" si="329"/>
        <v>9.1580129995238106</v>
      </c>
      <c r="N491" s="1560"/>
      <c r="O491" s="344"/>
      <c r="P491" s="344"/>
      <c r="Q491" s="1200"/>
      <c r="R491" s="1200"/>
      <c r="S491" s="1200"/>
      <c r="T491" s="945"/>
      <c r="U491" s="789"/>
      <c r="V491" s="635"/>
      <c r="W491" s="635"/>
      <c r="X491" s="635"/>
      <c r="Y491" s="635"/>
      <c r="Z491" s="635"/>
      <c r="AA491" s="635"/>
      <c r="AB491" s="635"/>
      <c r="AC491" s="635"/>
      <c r="AD491" s="635"/>
      <c r="AE491" s="635"/>
      <c r="AF491" s="635"/>
      <c r="AG491" s="635"/>
      <c r="AH491" s="635"/>
      <c r="AI491" s="635"/>
      <c r="AJ491" s="635"/>
      <c r="AK491" s="635"/>
      <c r="AL491" s="635"/>
      <c r="AM491" s="635"/>
      <c r="AN491" s="635"/>
      <c r="AO491" s="635"/>
      <c r="AP491" s="635"/>
      <c r="AQ491" s="635"/>
      <c r="AR491" s="635"/>
      <c r="AS491" s="635"/>
      <c r="AT491" s="635"/>
      <c r="AU491" s="635"/>
      <c r="AV491" s="635"/>
      <c r="AW491" s="635"/>
      <c r="AX491" s="635"/>
      <c r="AY491" s="945"/>
      <c r="AZ491" s="635"/>
      <c r="BA491" s="635"/>
      <c r="BB491" s="635"/>
      <c r="BC491" s="635"/>
      <c r="BD491" s="635"/>
      <c r="BE491" s="635"/>
      <c r="BF491" s="635"/>
      <c r="BG491" s="635"/>
      <c r="BH491" s="635"/>
      <c r="BI491" s="635"/>
      <c r="BJ491" s="635"/>
      <c r="BK491" s="635"/>
      <c r="BL491" s="635"/>
      <c r="BM491" s="635"/>
      <c r="BN491" s="635"/>
      <c r="BO491" s="635"/>
      <c r="BP491" s="635"/>
      <c r="BQ491" s="635"/>
      <c r="BR491" s="635"/>
      <c r="BS491" s="635"/>
      <c r="BT491" s="635"/>
      <c r="BU491" s="635"/>
      <c r="BV491" s="635"/>
      <c r="BW491" s="635"/>
      <c r="BX491" s="635"/>
      <c r="BY491" s="635"/>
      <c r="BZ491" s="635"/>
      <c r="CA491" s="635"/>
      <c r="CB491" s="635"/>
      <c r="CC491" s="635"/>
    </row>
    <row r="492" spans="2:81" ht="11.25" customHeight="1">
      <c r="B492" s="758" t="str">
        <f t="shared" si="327"/>
        <v>East China</v>
      </c>
      <c r="C492" s="343"/>
      <c r="D492" s="758" t="str">
        <f t="shared" si="328"/>
        <v>华东</v>
      </c>
      <c r="E492" s="631"/>
      <c r="F492" s="344"/>
      <c r="G492" s="843">
        <f t="shared" si="329"/>
        <v>1.0739443548387095</v>
      </c>
      <c r="H492" s="843">
        <f t="shared" si="329"/>
        <v>1.6020569105691056</v>
      </c>
      <c r="I492" s="843">
        <f t="shared" si="329"/>
        <v>1.7274363321799309</v>
      </c>
      <c r="J492" s="843">
        <f t="shared" si="329"/>
        <v>2.9229655514015151</v>
      </c>
      <c r="K492" s="843">
        <f t="shared" si="329"/>
        <v>3.2651757188498403</v>
      </c>
      <c r="L492" s="843">
        <f t="shared" si="329"/>
        <v>5.0712953913043481</v>
      </c>
      <c r="M492" s="843">
        <f t="shared" si="329"/>
        <v>7.2626578370627053</v>
      </c>
      <c r="N492" s="1560"/>
      <c r="O492" s="344"/>
      <c r="P492" s="344"/>
      <c r="Q492" s="1200"/>
      <c r="R492" s="1200"/>
      <c r="S492" s="1200"/>
      <c r="T492" s="945"/>
      <c r="U492" s="789"/>
      <c r="V492" s="635"/>
      <c r="W492" s="635"/>
      <c r="X492" s="635"/>
      <c r="Y492" s="635"/>
      <c r="Z492" s="635"/>
      <c r="AA492" s="635"/>
      <c r="AB492" s="635"/>
      <c r="AC492" s="635"/>
      <c r="AD492" s="635"/>
      <c r="AE492" s="635"/>
      <c r="AF492" s="635"/>
      <c r="AG492" s="635"/>
      <c r="AH492" s="635"/>
      <c r="AI492" s="635"/>
      <c r="AJ492" s="635"/>
      <c r="AK492" s="635"/>
      <c r="AL492" s="635"/>
      <c r="AM492" s="635"/>
      <c r="AN492" s="635"/>
      <c r="AO492" s="635"/>
      <c r="AP492" s="635"/>
      <c r="AQ492" s="635"/>
      <c r="AR492" s="635"/>
      <c r="AS492" s="635"/>
      <c r="AT492" s="635"/>
      <c r="AU492" s="635"/>
      <c r="AV492" s="635"/>
      <c r="AW492" s="635"/>
      <c r="AX492" s="635"/>
      <c r="AY492" s="945"/>
      <c r="AZ492" s="635"/>
      <c r="BA492" s="635"/>
      <c r="BB492" s="635"/>
      <c r="BC492" s="635"/>
      <c r="BD492" s="635"/>
      <c r="BE492" s="635"/>
      <c r="BF492" s="635"/>
      <c r="BG492" s="635"/>
      <c r="BH492" s="635"/>
      <c r="BI492" s="635"/>
      <c r="BJ492" s="635"/>
      <c r="BK492" s="635"/>
      <c r="BL492" s="635"/>
      <c r="BM492" s="635"/>
      <c r="BN492" s="635"/>
      <c r="BO492" s="635"/>
      <c r="BP492" s="635"/>
      <c r="BQ492" s="635"/>
      <c r="BR492" s="635"/>
      <c r="BS492" s="635"/>
      <c r="BT492" s="635"/>
      <c r="BU492" s="635"/>
      <c r="BV492" s="635"/>
      <c r="BW492" s="635"/>
      <c r="BX492" s="635"/>
      <c r="BY492" s="635"/>
      <c r="BZ492" s="635"/>
      <c r="CA492" s="635"/>
      <c r="CB492" s="635"/>
      <c r="CC492" s="635"/>
    </row>
    <row r="493" spans="2:81" ht="11.25" customHeight="1">
      <c r="B493" s="758" t="str">
        <f t="shared" si="327"/>
        <v>Southwest</v>
      </c>
      <c r="C493" s="343"/>
      <c r="D493" s="758" t="str">
        <f t="shared" si="328"/>
        <v>西南</v>
      </c>
      <c r="E493" s="631"/>
      <c r="F493" s="344"/>
      <c r="G493" s="843">
        <f t="shared" si="329"/>
        <v>1.1651376344086022</v>
      </c>
      <c r="H493" s="843">
        <f t="shared" si="329"/>
        <v>1.1596927272727273</v>
      </c>
      <c r="I493" s="843">
        <f t="shared" si="329"/>
        <v>1.0469868327402136</v>
      </c>
      <c r="J493" s="843">
        <f t="shared" si="329"/>
        <v>1.1482383244680852</v>
      </c>
      <c r="K493" s="843">
        <f t="shared" si="329"/>
        <v>1.4622030237580994</v>
      </c>
      <c r="L493" s="843">
        <f t="shared" si="329"/>
        <v>2.4349695316593887</v>
      </c>
      <c r="M493" s="843">
        <f t="shared" si="329"/>
        <v>3.5415296647843939</v>
      </c>
      <c r="N493" s="1560"/>
      <c r="O493" s="344"/>
      <c r="P493" s="344"/>
      <c r="Q493" s="1200"/>
      <c r="R493" s="1200"/>
      <c r="S493" s="1200"/>
      <c r="T493" s="945"/>
      <c r="U493" s="789"/>
      <c r="V493" s="635"/>
      <c r="W493" s="635"/>
      <c r="X493" s="635"/>
      <c r="Y493" s="635"/>
      <c r="Z493" s="635"/>
      <c r="AA493" s="635"/>
      <c r="AB493" s="635"/>
      <c r="AC493" s="635"/>
      <c r="AD493" s="635"/>
      <c r="AE493" s="635"/>
      <c r="AF493" s="635"/>
      <c r="AG493" s="635"/>
      <c r="AH493" s="635"/>
      <c r="AI493" s="635"/>
      <c r="AJ493" s="635"/>
      <c r="AK493" s="635"/>
      <c r="AL493" s="635"/>
      <c r="AM493" s="635"/>
      <c r="AN493" s="635"/>
      <c r="AO493" s="635"/>
      <c r="AP493" s="635"/>
      <c r="AQ493" s="635"/>
      <c r="AR493" s="635"/>
      <c r="AS493" s="635"/>
      <c r="AT493" s="635"/>
      <c r="AU493" s="635"/>
      <c r="AV493" s="635"/>
      <c r="AW493" s="635"/>
      <c r="AX493" s="635"/>
      <c r="AY493" s="945"/>
      <c r="AZ493" s="635"/>
      <c r="BA493" s="635"/>
      <c r="BB493" s="635"/>
      <c r="BC493" s="635"/>
      <c r="BD493" s="635"/>
      <c r="BE493" s="635"/>
      <c r="BF493" s="635"/>
      <c r="BG493" s="635"/>
      <c r="BH493" s="635"/>
      <c r="BI493" s="635"/>
      <c r="BJ493" s="635"/>
      <c r="BK493" s="635"/>
      <c r="BL493" s="635"/>
      <c r="BM493" s="635"/>
      <c r="BN493" s="635"/>
      <c r="BO493" s="635"/>
      <c r="BP493" s="635"/>
      <c r="BQ493" s="635"/>
      <c r="BR493" s="635"/>
      <c r="BS493" s="635"/>
      <c r="BT493" s="635"/>
      <c r="BU493" s="635"/>
      <c r="BV493" s="635"/>
      <c r="BW493" s="635"/>
      <c r="BX493" s="635"/>
      <c r="BY493" s="635"/>
      <c r="BZ493" s="635"/>
      <c r="CA493" s="635"/>
      <c r="CB493" s="635"/>
      <c r="CC493" s="635"/>
    </row>
    <row r="494" spans="2:81" ht="11.25" customHeight="1">
      <c r="B494" s="758" t="str">
        <f t="shared" si="327"/>
        <v>North China</v>
      </c>
      <c r="C494" s="343"/>
      <c r="D494" s="758" t="str">
        <f t="shared" si="328"/>
        <v>华北</v>
      </c>
      <c r="E494" s="631"/>
      <c r="F494" s="344"/>
      <c r="G494" s="843">
        <f t="shared" si="329"/>
        <v>0.52412702702702707</v>
      </c>
      <c r="H494" s="843">
        <f t="shared" si="329"/>
        <v>0.71834228855721394</v>
      </c>
      <c r="I494" s="843">
        <f t="shared" si="329"/>
        <v>0.75313109540636047</v>
      </c>
      <c r="J494" s="843">
        <f t="shared" si="329"/>
        <v>0.55018098896272283</v>
      </c>
      <c r="K494" s="843">
        <f t="shared" si="329"/>
        <v>0.82392473118279574</v>
      </c>
      <c r="L494" s="843">
        <f t="shared" si="329"/>
        <v>1.1230829043381534</v>
      </c>
      <c r="M494" s="843">
        <f t="shared" si="329"/>
        <v>2.0024138097950375</v>
      </c>
      <c r="N494" s="1560"/>
      <c r="O494" s="344"/>
      <c r="P494" s="344"/>
      <c r="Q494" s="1200"/>
      <c r="R494" s="1200"/>
      <c r="S494" s="1200"/>
      <c r="T494" s="945"/>
      <c r="U494" s="789"/>
      <c r="V494" s="635"/>
      <c r="W494" s="635"/>
      <c r="X494" s="635"/>
      <c r="Y494" s="635"/>
      <c r="Z494" s="635"/>
      <c r="AA494" s="635"/>
      <c r="AB494" s="635"/>
      <c r="AC494" s="635"/>
      <c r="AD494" s="635"/>
      <c r="AE494" s="635"/>
      <c r="AF494" s="635"/>
      <c r="AG494" s="635"/>
      <c r="AH494" s="635"/>
      <c r="AI494" s="635"/>
      <c r="AJ494" s="635"/>
      <c r="AK494" s="635"/>
      <c r="AL494" s="635"/>
      <c r="AM494" s="635"/>
      <c r="AN494" s="635"/>
      <c r="AO494" s="635"/>
      <c r="AP494" s="635"/>
      <c r="AQ494" s="635"/>
      <c r="AR494" s="635"/>
      <c r="AS494" s="635"/>
      <c r="AT494" s="635"/>
      <c r="AU494" s="635"/>
      <c r="AV494" s="635"/>
      <c r="AW494" s="635"/>
      <c r="AX494" s="635"/>
      <c r="AY494" s="945"/>
      <c r="AZ494" s="635"/>
      <c r="BA494" s="635"/>
      <c r="BB494" s="635"/>
      <c r="BC494" s="635"/>
      <c r="BD494" s="635"/>
      <c r="BE494" s="635"/>
      <c r="BF494" s="635"/>
      <c r="BG494" s="635"/>
      <c r="BH494" s="635"/>
      <c r="BI494" s="635"/>
      <c r="BJ494" s="635"/>
      <c r="BK494" s="635"/>
      <c r="BL494" s="635"/>
      <c r="BM494" s="635"/>
      <c r="BN494" s="635"/>
      <c r="BO494" s="635"/>
      <c r="BP494" s="635"/>
      <c r="BQ494" s="635"/>
      <c r="BR494" s="635"/>
      <c r="BS494" s="635"/>
      <c r="BT494" s="635"/>
      <c r="BU494" s="635"/>
      <c r="BV494" s="635"/>
      <c r="BW494" s="635"/>
      <c r="BX494" s="635"/>
      <c r="BY494" s="635"/>
      <c r="BZ494" s="635"/>
      <c r="CA494" s="635"/>
      <c r="CB494" s="635"/>
      <c r="CC494" s="635"/>
    </row>
    <row r="495" spans="2:81" ht="11.25" customHeight="1">
      <c r="B495" s="758" t="str">
        <f t="shared" si="327"/>
        <v>North</v>
      </c>
      <c r="C495" s="343"/>
      <c r="D495" s="758" t="str">
        <f t="shared" si="328"/>
        <v>北方</v>
      </c>
      <c r="E495" s="631"/>
      <c r="F495" s="344"/>
      <c r="G495" s="843">
        <f>+G388/G485</f>
        <v>0.48526792452830192</v>
      </c>
      <c r="H495" s="843">
        <f>+H388/H485</f>
        <v>0.30006455696202533</v>
      </c>
      <c r="I495" s="843">
        <f>+I388/I485</f>
        <v>0.34277886178861788</v>
      </c>
      <c r="J495" s="843"/>
      <c r="K495" s="843"/>
      <c r="L495" s="843"/>
      <c r="M495" s="843"/>
      <c r="N495" s="1560"/>
      <c r="O495" s="344"/>
      <c r="P495" s="344"/>
      <c r="Q495" s="1200"/>
      <c r="R495" s="1200"/>
      <c r="S495" s="1200"/>
      <c r="T495" s="945"/>
      <c r="U495" s="789"/>
      <c r="V495" s="635"/>
      <c r="W495" s="635"/>
      <c r="X495" s="635"/>
      <c r="Y495" s="635"/>
      <c r="Z495" s="635"/>
      <c r="AA495" s="635"/>
      <c r="AB495" s="635"/>
      <c r="AC495" s="635"/>
      <c r="AD495" s="635"/>
      <c r="AE495" s="635"/>
      <c r="AF495" s="635"/>
      <c r="AG495" s="635"/>
      <c r="AH495" s="635"/>
      <c r="AI495" s="635"/>
      <c r="AJ495" s="635"/>
      <c r="AK495" s="635"/>
      <c r="AL495" s="635"/>
      <c r="AM495" s="635"/>
      <c r="AN495" s="635"/>
      <c r="AO495" s="635"/>
      <c r="AP495" s="635"/>
      <c r="AQ495" s="635"/>
      <c r="AR495" s="635"/>
      <c r="AS495" s="635"/>
      <c r="AT495" s="635"/>
      <c r="AU495" s="635"/>
      <c r="AV495" s="635"/>
      <c r="AW495" s="635"/>
      <c r="AX495" s="635"/>
      <c r="AY495" s="945"/>
      <c r="AZ495" s="635"/>
      <c r="BA495" s="635"/>
      <c r="BB495" s="635"/>
      <c r="BC495" s="635"/>
      <c r="BD495" s="635"/>
      <c r="BE495" s="635"/>
      <c r="BF495" s="635"/>
      <c r="BG495" s="635"/>
      <c r="BH495" s="635"/>
      <c r="BI495" s="635"/>
      <c r="BJ495" s="635"/>
      <c r="BK495" s="635"/>
      <c r="BL495" s="635"/>
      <c r="BM495" s="635"/>
      <c r="BN495" s="635"/>
      <c r="BO495" s="635"/>
      <c r="BP495" s="635"/>
      <c r="BQ495" s="635"/>
      <c r="BR495" s="635"/>
      <c r="BS495" s="635"/>
      <c r="BT495" s="635"/>
      <c r="BU495" s="635"/>
      <c r="BV495" s="635"/>
      <c r="BW495" s="635"/>
      <c r="BX495" s="635"/>
      <c r="BY495" s="635"/>
      <c r="BZ495" s="635"/>
      <c r="CA495" s="635"/>
      <c r="CB495" s="635"/>
      <c r="CC495" s="635"/>
    </row>
    <row r="496" spans="2:81" ht="11.25" customHeight="1">
      <c r="B496" s="758" t="s">
        <v>1244</v>
      </c>
      <c r="C496" s="343"/>
      <c r="D496" s="758" t="s">
        <v>1245</v>
      </c>
      <c r="E496" s="631"/>
      <c r="F496" s="344"/>
      <c r="G496" s="843"/>
      <c r="H496" s="843"/>
      <c r="I496" s="843"/>
      <c r="J496" s="843">
        <f>(J389+J390)/J486</f>
        <v>2.192895638132184</v>
      </c>
      <c r="K496" s="843">
        <f>(K389+K390)/K486</f>
        <v>2.2729079334455959</v>
      </c>
      <c r="L496" s="843">
        <f>(L389+L390)/L486</f>
        <v>2.9544533858064512</v>
      </c>
      <c r="M496" s="843">
        <f>(M389+M390)/M486</f>
        <v>3.7318055172602738</v>
      </c>
      <c r="N496" s="1560"/>
      <c r="O496" s="344"/>
      <c r="P496" s="344"/>
      <c r="Q496" s="1200"/>
      <c r="R496" s="1200"/>
      <c r="S496" s="1200"/>
      <c r="T496" s="945"/>
      <c r="U496" s="758" t="s">
        <v>1244</v>
      </c>
      <c r="V496" s="635"/>
      <c r="W496" s="1163">
        <f>+W9/W486</f>
        <v>12.082718052087378</v>
      </c>
      <c r="X496" s="1163">
        <f>+X9/X486</f>
        <v>2.0571294716983242</v>
      </c>
      <c r="Y496" s="635"/>
      <c r="Z496" s="635"/>
      <c r="AA496" s="635"/>
      <c r="AB496" s="635"/>
      <c r="AC496" s="635"/>
      <c r="AD496" s="635"/>
      <c r="AE496" s="635"/>
      <c r="AF496" s="635"/>
      <c r="AG496" s="635"/>
      <c r="AH496" s="635"/>
      <c r="AI496" s="635"/>
      <c r="AJ496" s="635"/>
      <c r="AK496" s="635"/>
      <c r="AL496" s="635"/>
      <c r="AM496" s="635"/>
      <c r="AN496" s="635"/>
      <c r="AO496" s="635"/>
      <c r="AP496" s="635"/>
      <c r="AQ496" s="635"/>
      <c r="AR496" s="635"/>
      <c r="AS496" s="635"/>
      <c r="AT496" s="635"/>
      <c r="AU496" s="635"/>
      <c r="AV496" s="635"/>
      <c r="AW496" s="635"/>
      <c r="AX496" s="635"/>
      <c r="AY496" s="945"/>
      <c r="AZ496" s="635"/>
      <c r="BA496" s="635"/>
      <c r="BB496" s="635"/>
      <c r="BC496" s="635"/>
      <c r="BD496" s="635"/>
      <c r="BE496" s="635"/>
      <c r="BF496" s="635"/>
      <c r="BG496" s="635"/>
      <c r="BH496" s="635"/>
      <c r="BI496" s="635"/>
      <c r="BJ496" s="635"/>
      <c r="BK496" s="635"/>
      <c r="BL496" s="635"/>
      <c r="BM496" s="635"/>
      <c r="BN496" s="635"/>
      <c r="BO496" s="635"/>
      <c r="BP496" s="635"/>
      <c r="BQ496" s="635"/>
      <c r="BR496" s="635"/>
      <c r="BS496" s="635"/>
      <c r="BT496" s="635"/>
      <c r="BU496" s="635"/>
      <c r="BV496" s="635"/>
      <c r="BW496" s="635"/>
      <c r="BX496" s="635"/>
      <c r="BY496" s="635"/>
      <c r="BZ496" s="635"/>
      <c r="CA496" s="635"/>
      <c r="CB496" s="635"/>
      <c r="CC496" s="635"/>
    </row>
    <row r="497" spans="2:81">
      <c r="B497" s="764"/>
      <c r="C497" s="343"/>
      <c r="D497" s="741"/>
      <c r="E497" s="631"/>
      <c r="F497" s="344"/>
      <c r="G497" s="344"/>
      <c r="H497" s="344"/>
      <c r="I497" s="344"/>
      <c r="J497" s="348"/>
      <c r="K497" s="348"/>
      <c r="L497" s="1617"/>
      <c r="M497" s="2188"/>
      <c r="N497" s="1617"/>
      <c r="O497" s="1617"/>
      <c r="P497" s="1617"/>
      <c r="Q497" s="630"/>
      <c r="R497" s="630"/>
      <c r="S497" s="630"/>
      <c r="T497" s="945"/>
      <c r="U497" s="789"/>
      <c r="V497" s="635"/>
      <c r="W497" s="635"/>
      <c r="X497" s="635"/>
      <c r="Y497" s="635"/>
      <c r="Z497" s="635"/>
      <c r="AA497" s="635"/>
      <c r="AB497" s="635"/>
      <c r="AC497" s="635"/>
      <c r="AD497" s="635"/>
      <c r="AE497" s="635"/>
      <c r="AF497" s="635"/>
      <c r="AG497" s="635"/>
      <c r="AH497" s="635"/>
      <c r="AI497" s="635"/>
      <c r="AJ497" s="635"/>
      <c r="AK497" s="635"/>
      <c r="AL497" s="635"/>
      <c r="AM497" s="635"/>
      <c r="AN497" s="635"/>
      <c r="AO497" s="635"/>
      <c r="AP497" s="635"/>
      <c r="AQ497" s="635"/>
      <c r="AR497" s="635"/>
      <c r="AS497" s="635"/>
      <c r="AT497" s="635"/>
      <c r="AU497" s="635"/>
      <c r="AV497" s="635"/>
      <c r="AW497" s="635"/>
      <c r="AX497" s="635"/>
      <c r="AY497" s="945"/>
      <c r="AZ497" s="635"/>
      <c r="BA497" s="635"/>
      <c r="BB497" s="635"/>
      <c r="BC497" s="635"/>
      <c r="BD497" s="635"/>
      <c r="BE497" s="635"/>
      <c r="BF497" s="635"/>
      <c r="BG497" s="635"/>
      <c r="BH497" s="635"/>
      <c r="BI497" s="635"/>
      <c r="BJ497" s="635"/>
      <c r="BK497" s="635"/>
      <c r="BL497" s="635"/>
      <c r="BM497" s="635"/>
      <c r="BN497" s="635"/>
      <c r="BO497" s="635"/>
      <c r="BP497" s="635"/>
      <c r="BQ497" s="635"/>
      <c r="BR497" s="635"/>
      <c r="BS497" s="635"/>
      <c r="BT497" s="635"/>
      <c r="BU497" s="635"/>
      <c r="BV497" s="635"/>
      <c r="BW497" s="635"/>
      <c r="BX497" s="635"/>
      <c r="BY497" s="635"/>
      <c r="BZ497" s="635"/>
      <c r="CA497" s="635"/>
      <c r="CB497" s="635"/>
      <c r="CC497" s="635"/>
    </row>
    <row r="498" spans="2:81" s="412" customFormat="1" ht="22.5">
      <c r="B498" s="906" t="s">
        <v>1163</v>
      </c>
      <c r="C498" s="906"/>
      <c r="D498" s="906" t="s">
        <v>1164</v>
      </c>
      <c r="E498" s="907"/>
      <c r="F498" s="907"/>
      <c r="G498" s="908"/>
      <c r="H498" s="908"/>
      <c r="I498" s="908"/>
      <c r="J498" s="908"/>
      <c r="K498" s="909"/>
      <c r="L498" s="909"/>
      <c r="M498" s="909"/>
      <c r="N498" s="1557"/>
      <c r="O498" s="909"/>
      <c r="P498" s="909"/>
      <c r="Q498" s="909"/>
      <c r="R498" s="909"/>
      <c r="S498" s="909"/>
      <c r="T498" s="953"/>
      <c r="U498" s="1161" t="str">
        <f>D498</f>
        <v>销售渠道分类</v>
      </c>
      <c r="V498" s="936"/>
      <c r="W498" s="936"/>
      <c r="X498" s="936"/>
      <c r="Y498" s="936"/>
      <c r="Z498" s="936"/>
      <c r="AA498" s="936"/>
      <c r="AB498" s="936"/>
      <c r="AC498" s="936"/>
      <c r="AD498" s="936"/>
      <c r="AE498" s="936"/>
      <c r="AF498" s="936"/>
      <c r="AG498" s="936"/>
      <c r="AH498" s="936"/>
      <c r="AI498" s="936"/>
      <c r="AJ498" s="936"/>
      <c r="AK498" s="936"/>
      <c r="AL498" s="936"/>
      <c r="AM498" s="936"/>
      <c r="AN498" s="936"/>
      <c r="AO498" s="936"/>
      <c r="AP498" s="936"/>
      <c r="AQ498" s="936"/>
      <c r="AR498" s="936"/>
      <c r="AS498" s="936"/>
      <c r="AT498" s="936"/>
      <c r="AU498" s="936"/>
      <c r="AV498" s="936"/>
      <c r="AW498" s="936"/>
      <c r="AX498" s="936"/>
      <c r="AY498" s="953"/>
    </row>
    <row r="499" spans="2:81" s="774" customFormat="1" hidden="1" outlineLevel="1">
      <c r="B499" s="310" t="s">
        <v>1167</v>
      </c>
      <c r="C499" s="343"/>
      <c r="D499" s="310" t="s">
        <v>1740</v>
      </c>
      <c r="E499" s="775"/>
      <c r="F499" s="776"/>
      <c r="G499" s="348">
        <f>294775.7/100</f>
        <v>2947.7570000000001</v>
      </c>
      <c r="H499" s="348">
        <f>407870.6/100</f>
        <v>4078.7059999999997</v>
      </c>
      <c r="I499" s="348">
        <f>480612.52/100</f>
        <v>4806.1252000000004</v>
      </c>
      <c r="J499" s="348">
        <v>6172.0586778400002</v>
      </c>
      <c r="K499" s="348">
        <v>7581.0232889999997</v>
      </c>
      <c r="L499" s="348">
        <v>9758.1752130000004</v>
      </c>
      <c r="M499" s="1923"/>
      <c r="N499" s="1551"/>
      <c r="O499" s="348"/>
      <c r="P499" s="348"/>
      <c r="Q499" s="630"/>
      <c r="R499" s="630"/>
      <c r="S499" s="630"/>
      <c r="T499" s="953"/>
      <c r="U499" s="789"/>
      <c r="V499" s="870"/>
      <c r="W499" s="870"/>
      <c r="X499" s="870"/>
      <c r="Y499" s="870"/>
      <c r="Z499" s="870"/>
      <c r="AA499" s="870"/>
      <c r="AB499" s="870"/>
      <c r="AC499" s="870"/>
      <c r="AD499" s="870"/>
      <c r="AE499" s="870"/>
      <c r="AF499" s="870"/>
      <c r="AG499" s="870"/>
      <c r="AH499" s="870"/>
      <c r="AI499" s="870"/>
      <c r="AJ499" s="870"/>
      <c r="AK499" s="870"/>
      <c r="AL499" s="870"/>
      <c r="AM499" s="870"/>
      <c r="AN499" s="870"/>
      <c r="AO499" s="870"/>
      <c r="AP499" s="870"/>
      <c r="AQ499" s="870"/>
      <c r="AR499" s="870"/>
      <c r="AS499" s="870"/>
      <c r="AT499" s="870"/>
      <c r="AU499" s="870"/>
      <c r="AV499" s="870"/>
      <c r="AW499" s="870"/>
      <c r="AX499" s="870"/>
      <c r="AY499" s="953"/>
      <c r="AZ499" s="36"/>
      <c r="BA499" s="36"/>
      <c r="BB499" s="36"/>
      <c r="BC499" s="36"/>
      <c r="BD499" s="36"/>
      <c r="BE499" s="36"/>
      <c r="BF499" s="36"/>
      <c r="BG499" s="36"/>
      <c r="BH499" s="36"/>
      <c r="BI499" s="36"/>
      <c r="BJ499" s="36"/>
      <c r="BK499" s="36"/>
      <c r="BL499" s="36"/>
      <c r="BM499" s="36"/>
      <c r="BN499" s="36"/>
      <c r="BO499" s="36"/>
      <c r="BP499" s="36"/>
      <c r="BQ499" s="36"/>
      <c r="BR499" s="36"/>
      <c r="BS499" s="36"/>
      <c r="BT499" s="36"/>
      <c r="BU499" s="36"/>
      <c r="BV499" s="36"/>
      <c r="BW499" s="36"/>
      <c r="BX499" s="36"/>
      <c r="BY499" s="36"/>
      <c r="BZ499" s="36"/>
      <c r="CA499" s="36"/>
      <c r="CB499" s="36"/>
      <c r="CC499" s="36"/>
    </row>
    <row r="500" spans="2:81" s="774" customFormat="1" collapsed="1">
      <c r="B500" s="310" t="s">
        <v>1167</v>
      </c>
      <c r="C500" s="343"/>
      <c r="D500" s="310" t="s">
        <v>1741</v>
      </c>
      <c r="E500" s="775"/>
      <c r="F500" s="776"/>
      <c r="G500" s="348"/>
      <c r="H500" s="348"/>
      <c r="I500" s="348"/>
      <c r="J500" s="348"/>
      <c r="K500" s="348"/>
      <c r="L500" s="348">
        <v>9911.8978000000006</v>
      </c>
      <c r="M500" s="1923">
        <f>13606585695.78*(10^(-6))</f>
        <v>13606.585695780001</v>
      </c>
      <c r="N500" s="1551"/>
      <c r="O500" s="348"/>
      <c r="P500" s="348"/>
      <c r="Q500" s="630"/>
      <c r="R500" s="630"/>
      <c r="S500" s="630"/>
      <c r="T500" s="953"/>
      <c r="U500" s="789"/>
      <c r="V500" s="870"/>
      <c r="W500" s="870"/>
      <c r="X500" s="870"/>
      <c r="Y500" s="870"/>
      <c r="Z500" s="870"/>
      <c r="AA500" s="870"/>
      <c r="AB500" s="870"/>
      <c r="AC500" s="870"/>
      <c r="AD500" s="870"/>
      <c r="AE500" s="870"/>
      <c r="AF500" s="870"/>
      <c r="AG500" s="870"/>
      <c r="AH500" s="870"/>
      <c r="AI500" s="870"/>
      <c r="AJ500" s="870"/>
      <c r="AK500" s="870"/>
      <c r="AL500" s="870"/>
      <c r="AM500" s="870"/>
      <c r="AN500" s="870"/>
      <c r="AO500" s="870"/>
      <c r="AP500" s="870"/>
      <c r="AQ500" s="870"/>
      <c r="AR500" s="870"/>
      <c r="AS500" s="870"/>
      <c r="AT500" s="870"/>
      <c r="AU500" s="870"/>
      <c r="AV500" s="870"/>
      <c r="AW500" s="870"/>
      <c r="AX500" s="870"/>
      <c r="AY500" s="953"/>
      <c r="AZ500" s="36"/>
      <c r="BA500" s="36"/>
      <c r="BB500" s="36"/>
      <c r="BC500" s="36"/>
      <c r="BD500" s="36"/>
      <c r="BE500" s="36"/>
      <c r="BF500" s="36"/>
      <c r="BG500" s="36"/>
      <c r="BH500" s="36"/>
      <c r="BI500" s="36"/>
      <c r="BJ500" s="36"/>
      <c r="BK500" s="36"/>
      <c r="BL500" s="36"/>
      <c r="BM500" s="36"/>
      <c r="BN500" s="36"/>
      <c r="BO500" s="36"/>
      <c r="BP500" s="36"/>
      <c r="BQ500" s="36"/>
      <c r="BR500" s="36"/>
      <c r="BS500" s="36"/>
      <c r="BT500" s="36"/>
      <c r="BU500" s="36"/>
      <c r="BV500" s="36"/>
      <c r="BW500" s="36"/>
      <c r="BX500" s="36"/>
      <c r="BY500" s="36"/>
      <c r="BZ500" s="36"/>
      <c r="CA500" s="36"/>
      <c r="CB500" s="36"/>
      <c r="CC500" s="36"/>
    </row>
    <row r="501" spans="2:81">
      <c r="B501" s="310" t="s">
        <v>1057</v>
      </c>
      <c r="C501" s="343"/>
      <c r="D501" s="310" t="s">
        <v>1165</v>
      </c>
      <c r="E501" s="790"/>
      <c r="F501" s="791"/>
      <c r="G501" s="348">
        <f>4431.99/100</f>
        <v>44.319899999999997</v>
      </c>
      <c r="H501" s="348">
        <f>4144.2/100</f>
        <v>41.442</v>
      </c>
      <c r="I501" s="348">
        <f>5670.17/100</f>
        <v>56.701700000000002</v>
      </c>
      <c r="J501" s="349">
        <f>J389</f>
        <v>106.83578068</v>
      </c>
      <c r="K501" s="349">
        <f>K389</f>
        <v>142.09815850999999</v>
      </c>
      <c r="L501" s="349">
        <f>L389</f>
        <v>205.30791936</v>
      </c>
      <c r="M501" s="349">
        <f>M389</f>
        <v>445.41769389999996</v>
      </c>
      <c r="N501" s="1551"/>
      <c r="O501" s="348"/>
      <c r="P501" s="348"/>
      <c r="Q501" s="630"/>
      <c r="R501" s="630"/>
      <c r="S501" s="630"/>
      <c r="T501" s="953"/>
      <c r="U501" s="1164"/>
      <c r="V501" s="1165"/>
      <c r="W501" s="794"/>
      <c r="X501" s="1165"/>
      <c r="Y501" s="794"/>
      <c r="Z501" s="794"/>
      <c r="AA501" s="794"/>
      <c r="AB501" s="794"/>
      <c r="AC501" s="794"/>
      <c r="AD501" s="794"/>
      <c r="AE501" s="794"/>
      <c r="AF501" s="794"/>
      <c r="AG501" s="794"/>
      <c r="AH501" s="794"/>
      <c r="AI501" s="794"/>
      <c r="AJ501" s="794"/>
      <c r="AK501" s="794"/>
      <c r="AL501" s="794"/>
      <c r="AM501" s="794"/>
      <c r="AN501" s="794"/>
      <c r="AO501" s="794"/>
      <c r="AP501" s="794"/>
      <c r="AQ501" s="794"/>
      <c r="AR501" s="794"/>
      <c r="AS501" s="794"/>
      <c r="AT501" s="794"/>
      <c r="AU501" s="794"/>
      <c r="AV501" s="794"/>
      <c r="AW501" s="794"/>
      <c r="AX501" s="794"/>
      <c r="AY501" s="945"/>
    </row>
    <row r="502" spans="2:81" ht="11.25" customHeight="1">
      <c r="B502" s="841" t="s">
        <v>1739</v>
      </c>
      <c r="C502" s="302"/>
      <c r="D502" s="789" t="s">
        <v>1736</v>
      </c>
      <c r="E502" s="631"/>
      <c r="F502" s="631"/>
      <c r="G502" s="631"/>
      <c r="H502" s="632"/>
      <c r="I502" s="632"/>
      <c r="J502" s="632"/>
      <c r="K502" s="632"/>
      <c r="L502" s="1923">
        <v>1106.3784000000001</v>
      </c>
      <c r="M502" s="1923">
        <f>1743528310.54*(10^(-6))</f>
        <v>1743.5283105399999</v>
      </c>
      <c r="N502" s="1553"/>
      <c r="O502" s="632"/>
      <c r="P502" s="632"/>
      <c r="Q502" s="635"/>
      <c r="R502" s="635"/>
      <c r="S502" s="635"/>
      <c r="T502" s="945"/>
      <c r="U502" s="789"/>
      <c r="V502" s="635"/>
      <c r="W502" s="635"/>
      <c r="X502" s="635"/>
      <c r="Y502" s="635"/>
      <c r="Z502" s="635"/>
      <c r="AA502" s="635"/>
      <c r="AB502" s="635"/>
      <c r="AC502" s="635"/>
      <c r="AD502" s="635"/>
      <c r="AE502" s="635"/>
      <c r="AF502" s="635"/>
      <c r="AG502" s="635"/>
      <c r="AH502" s="635"/>
      <c r="AI502" s="635"/>
      <c r="AJ502" s="635"/>
      <c r="AK502" s="635"/>
      <c r="AL502" s="635"/>
      <c r="AM502" s="635"/>
      <c r="AN502" s="635"/>
      <c r="AO502" s="635"/>
      <c r="AP502" s="635"/>
      <c r="AQ502" s="635"/>
      <c r="AR502" s="635"/>
      <c r="AS502" s="635"/>
      <c r="AT502" s="635"/>
      <c r="AU502" s="635"/>
      <c r="AV502" s="635"/>
      <c r="AW502" s="635"/>
      <c r="AX502" s="635"/>
      <c r="AY502" s="945"/>
    </row>
    <row r="503" spans="2:81">
      <c r="B503" s="310" t="s">
        <v>207</v>
      </c>
      <c r="C503" s="343"/>
      <c r="D503" s="310" t="s">
        <v>861</v>
      </c>
      <c r="E503" s="631"/>
      <c r="F503" s="750"/>
      <c r="G503" s="348">
        <f>1860.55/100</f>
        <v>18.605499999999999</v>
      </c>
      <c r="H503" s="348">
        <f>2294.93/100</f>
        <v>22.949299999999997</v>
      </c>
      <c r="I503" s="348">
        <f>2495.5/100</f>
        <v>24.954999999999998</v>
      </c>
      <c r="J503" s="348">
        <v>28.661080200000001</v>
      </c>
      <c r="K503" s="348">
        <v>32.966799999999999</v>
      </c>
      <c r="L503" s="348">
        <v>26.900128580000001</v>
      </c>
      <c r="M503" s="1923">
        <f>26232441.46*(10^(-6))</f>
        <v>26.23244146</v>
      </c>
      <c r="N503" s="1551"/>
      <c r="O503" s="348"/>
      <c r="P503" s="348"/>
      <c r="Q503" s="630"/>
      <c r="R503" s="630"/>
      <c r="S503" s="630"/>
      <c r="T503" s="945"/>
      <c r="U503" s="789"/>
      <c r="V503" s="1166"/>
      <c r="W503" s="635"/>
      <c r="X503" s="1166"/>
      <c r="Y503" s="635"/>
      <c r="Z503" s="635"/>
      <c r="AA503" s="635"/>
      <c r="AB503" s="635"/>
      <c r="AC503" s="635"/>
      <c r="AD503" s="635"/>
      <c r="AE503" s="635"/>
      <c r="AF503" s="635"/>
      <c r="AG503" s="635"/>
      <c r="AH503" s="635"/>
      <c r="AI503" s="635"/>
      <c r="AJ503" s="635"/>
      <c r="AK503" s="635"/>
      <c r="AL503" s="635"/>
      <c r="AM503" s="635"/>
      <c r="AN503" s="635"/>
      <c r="AO503" s="635"/>
      <c r="AP503" s="635"/>
      <c r="AQ503" s="635"/>
      <c r="AR503" s="635"/>
      <c r="AS503" s="635"/>
      <c r="AT503" s="635"/>
      <c r="AU503" s="635"/>
      <c r="AV503" s="635"/>
      <c r="AW503" s="635"/>
      <c r="AX503" s="635"/>
      <c r="AY503" s="945"/>
    </row>
    <row r="504" spans="2:81" hidden="1" outlineLevel="1">
      <c r="B504" s="310" t="s">
        <v>1168</v>
      </c>
      <c r="C504" s="343"/>
      <c r="D504" s="310" t="s">
        <v>1166</v>
      </c>
      <c r="E504" s="631"/>
      <c r="F504" s="777"/>
      <c r="G504" s="348">
        <f>1049.54/100</f>
        <v>10.4954</v>
      </c>
      <c r="H504" s="348">
        <f>4871.01/100</f>
        <v>48.710100000000004</v>
      </c>
      <c r="I504" s="348">
        <f>4788.12/100</f>
        <v>47.8812</v>
      </c>
      <c r="J504" s="349">
        <f>J390</f>
        <v>656.29190139000002</v>
      </c>
      <c r="K504" s="349">
        <f>K390</f>
        <v>735.24430380000001</v>
      </c>
      <c r="L504" s="349">
        <f>L390</f>
        <v>1260.10096</v>
      </c>
      <c r="M504" s="349">
        <f>M390</f>
        <v>2006.37853094</v>
      </c>
      <c r="N504" s="1551"/>
      <c r="O504" s="348"/>
      <c r="P504" s="348"/>
      <c r="Q504" s="630"/>
      <c r="R504" s="630"/>
      <c r="S504" s="945"/>
      <c r="T504" s="789"/>
      <c r="U504" s="1166"/>
      <c r="V504" s="635"/>
      <c r="W504" s="1166"/>
      <c r="X504" s="635"/>
      <c r="Y504" s="635"/>
      <c r="Z504" s="635"/>
      <c r="AA504" s="635"/>
      <c r="AB504" s="635"/>
      <c r="AC504" s="635"/>
      <c r="AD504" s="635"/>
      <c r="AE504" s="635"/>
      <c r="AF504" s="635"/>
      <c r="AG504" s="635"/>
      <c r="AH504" s="635"/>
      <c r="AI504" s="635"/>
      <c r="AJ504" s="635"/>
      <c r="AK504" s="635"/>
      <c r="AL504" s="635"/>
      <c r="AM504" s="635"/>
      <c r="AN504" s="635"/>
      <c r="AO504" s="635"/>
      <c r="AP504" s="635"/>
      <c r="AQ504" s="635"/>
      <c r="AR504" s="635"/>
      <c r="AS504" s="635"/>
      <c r="AT504" s="635"/>
      <c r="AU504" s="635"/>
      <c r="AV504" s="635"/>
      <c r="AW504" s="635"/>
      <c r="AX504" s="945"/>
      <c r="AY504" s="36"/>
    </row>
    <row r="505" spans="2:81" collapsed="1">
      <c r="B505" s="750"/>
      <c r="C505" s="750"/>
      <c r="D505" s="750"/>
      <c r="E505" s="631"/>
      <c r="F505" s="750"/>
      <c r="G505" s="348"/>
      <c r="H505" s="348"/>
      <c r="I505" s="348"/>
      <c r="J505" s="631"/>
      <c r="K505" s="631"/>
      <c r="L505" s="1982">
        <f>SUM(L500:L503)</f>
        <v>11250.484247940001</v>
      </c>
      <c r="M505" s="1982">
        <f>SUM(M500:M503)</f>
        <v>15821.764141680002</v>
      </c>
      <c r="N505" s="1554"/>
      <c r="O505" s="631"/>
      <c r="P505" s="631"/>
      <c r="Q505" s="635"/>
      <c r="R505" s="635"/>
      <c r="S505" s="635"/>
      <c r="T505" s="945"/>
      <c r="U505" s="789"/>
      <c r="V505" s="1166"/>
      <c r="W505" s="635"/>
      <c r="X505" s="1166"/>
      <c r="Y505" s="635"/>
      <c r="Z505" s="635"/>
      <c r="AA505" s="635"/>
      <c r="AB505" s="635"/>
      <c r="AC505" s="635"/>
      <c r="AD505" s="635"/>
      <c r="AE505" s="635"/>
      <c r="AF505" s="635"/>
      <c r="AG505" s="635"/>
      <c r="AH505" s="635"/>
      <c r="AI505" s="635"/>
      <c r="AJ505" s="635"/>
      <c r="AK505" s="635"/>
      <c r="AL505" s="635"/>
      <c r="AM505" s="635"/>
      <c r="AN505" s="635"/>
      <c r="AO505" s="635"/>
      <c r="AP505" s="635"/>
      <c r="AQ505" s="635"/>
      <c r="AR505" s="635"/>
      <c r="AS505" s="635"/>
      <c r="AT505" s="635"/>
      <c r="AU505" s="635"/>
      <c r="AV505" s="635"/>
      <c r="AW505" s="635"/>
      <c r="AX505" s="635"/>
      <c r="AY505" s="945"/>
    </row>
    <row r="506" spans="2:81">
      <c r="B506" s="1164" t="s">
        <v>1056</v>
      </c>
      <c r="C506" s="1164"/>
      <c r="D506" s="1164" t="s">
        <v>1092</v>
      </c>
      <c r="E506" s="631"/>
      <c r="F506" s="631"/>
      <c r="G506" s="631"/>
      <c r="H506" s="631"/>
      <c r="I506" s="631"/>
      <c r="J506" s="631"/>
      <c r="K506" s="631"/>
      <c r="L506" s="631"/>
      <c r="M506" s="631"/>
      <c r="N506" s="1554"/>
      <c r="O506" s="631"/>
      <c r="P506" s="631"/>
      <c r="Q506" s="635"/>
      <c r="R506" s="635"/>
      <c r="S506" s="635"/>
      <c r="T506" s="945"/>
      <c r="U506" s="789"/>
      <c r="V506" s="1166"/>
      <c r="W506" s="635"/>
      <c r="X506" s="1166"/>
      <c r="Y506" s="635"/>
      <c r="Z506" s="635"/>
      <c r="AA506" s="635"/>
      <c r="AB506" s="635"/>
      <c r="AC506" s="635"/>
      <c r="AD506" s="635"/>
      <c r="AE506" s="635"/>
      <c r="AF506" s="635"/>
      <c r="AG506" s="635"/>
      <c r="AH506" s="635"/>
      <c r="AI506" s="635"/>
      <c r="AJ506" s="635"/>
      <c r="AK506" s="635"/>
      <c r="AL506" s="635"/>
      <c r="AM506" s="635"/>
      <c r="AN506" s="635"/>
      <c r="AO506" s="635"/>
      <c r="AP506" s="635"/>
      <c r="AQ506" s="635"/>
      <c r="AR506" s="635"/>
      <c r="AS506" s="635"/>
      <c r="AT506" s="635"/>
      <c r="AU506" s="635"/>
      <c r="AV506" s="635"/>
      <c r="AW506" s="635"/>
      <c r="AX506" s="635"/>
      <c r="AY506" s="945"/>
    </row>
    <row r="507" spans="2:81" hidden="1" outlineLevel="1">
      <c r="B507" s="758" t="str">
        <f>+B499</f>
        <v>Whole sales</v>
      </c>
      <c r="C507" s="310"/>
      <c r="D507" s="758" t="str">
        <f>+D499</f>
        <v>经销 (Old)</v>
      </c>
      <c r="E507" s="631"/>
      <c r="F507" s="631"/>
      <c r="G507" s="631"/>
      <c r="H507" s="631">
        <f t="shared" ref="H507:M507" si="330">+H499/G499-1</f>
        <v>0.38366425726408226</v>
      </c>
      <c r="I507" s="631">
        <f t="shared" si="330"/>
        <v>0.17834558313347437</v>
      </c>
      <c r="J507" s="631">
        <f t="shared" si="330"/>
        <v>0.28420680298549028</v>
      </c>
      <c r="K507" s="631">
        <f t="shared" si="330"/>
        <v>0.22828114324620885</v>
      </c>
      <c r="L507" s="631">
        <f t="shared" si="330"/>
        <v>0.28718443948840378</v>
      </c>
      <c r="M507" s="631">
        <f t="shared" si="330"/>
        <v>-1</v>
      </c>
      <c r="N507" s="1554"/>
      <c r="O507" s="631"/>
      <c r="P507" s="631"/>
      <c r="Q507" s="635"/>
      <c r="R507" s="635"/>
      <c r="S507" s="635"/>
      <c r="T507" s="945"/>
      <c r="U507" s="789"/>
      <c r="V507" s="1166"/>
      <c r="W507" s="635"/>
      <c r="X507" s="1166"/>
      <c r="Y507" s="635"/>
      <c r="Z507" s="635"/>
      <c r="AA507" s="635"/>
      <c r="AB507" s="635"/>
      <c r="AC507" s="635"/>
      <c r="AD507" s="635"/>
      <c r="AE507" s="635"/>
      <c r="AF507" s="635"/>
      <c r="AG507" s="635"/>
      <c r="AH507" s="635"/>
      <c r="AI507" s="635"/>
      <c r="AJ507" s="635"/>
      <c r="AK507" s="635"/>
      <c r="AL507" s="635"/>
      <c r="AM507" s="635"/>
      <c r="AN507" s="635"/>
      <c r="AO507" s="635"/>
      <c r="AP507" s="635"/>
      <c r="AQ507" s="635"/>
      <c r="AR507" s="635"/>
      <c r="AS507" s="635"/>
      <c r="AT507" s="635"/>
      <c r="AU507" s="635"/>
      <c r="AV507" s="635"/>
      <c r="AW507" s="635"/>
      <c r="AX507" s="635"/>
      <c r="AY507" s="945"/>
    </row>
    <row r="508" spans="2:81" collapsed="1">
      <c r="B508" s="758" t="str">
        <f>+B500</f>
        <v>Whole sales</v>
      </c>
      <c r="C508" s="310"/>
      <c r="D508" s="758" t="str">
        <f>+D500</f>
        <v>经销 (New)</v>
      </c>
      <c r="E508" s="631"/>
      <c r="F508" s="631"/>
      <c r="G508" s="631"/>
      <c r="H508" s="631" t="e">
        <f>+H500/G500-1</f>
        <v>#DIV/0!</v>
      </c>
      <c r="I508" s="631"/>
      <c r="J508" s="631"/>
      <c r="K508" s="631"/>
      <c r="L508" s="631"/>
      <c r="M508" s="631">
        <f>+M500/L500-1</f>
        <v>0.3727528239627329</v>
      </c>
      <c r="N508" s="1554"/>
      <c r="O508" s="631"/>
      <c r="P508" s="631"/>
      <c r="Q508" s="635"/>
      <c r="R508" s="635"/>
      <c r="S508" s="635"/>
      <c r="T508" s="945"/>
      <c r="U508" s="789"/>
      <c r="V508" s="1166"/>
      <c r="W508" s="635"/>
      <c r="X508" s="1166"/>
      <c r="Y508" s="635"/>
      <c r="Z508" s="635"/>
      <c r="AA508" s="635"/>
      <c r="AB508" s="635"/>
      <c r="AC508" s="635"/>
      <c r="AD508" s="635"/>
      <c r="AE508" s="635"/>
      <c r="AF508" s="635"/>
      <c r="AG508" s="635"/>
      <c r="AH508" s="635"/>
      <c r="AI508" s="635"/>
      <c r="AJ508" s="635"/>
      <c r="AK508" s="635"/>
      <c r="AL508" s="635"/>
      <c r="AM508" s="635"/>
      <c r="AN508" s="635"/>
      <c r="AO508" s="635"/>
      <c r="AP508" s="635"/>
      <c r="AQ508" s="635"/>
      <c r="AR508" s="635"/>
      <c r="AS508" s="635"/>
      <c r="AT508" s="635"/>
      <c r="AU508" s="635"/>
      <c r="AV508" s="635"/>
      <c r="AW508" s="635"/>
      <c r="AX508" s="635"/>
      <c r="AY508" s="945"/>
    </row>
    <row r="509" spans="2:81">
      <c r="B509" s="758" t="str">
        <f>+B501</f>
        <v>Online</v>
      </c>
      <c r="C509" s="310"/>
      <c r="D509" s="758" t="str">
        <f>+D501</f>
        <v>线上销售</v>
      </c>
      <c r="E509" s="631"/>
      <c r="F509" s="631"/>
      <c r="G509" s="631"/>
      <c r="H509" s="631">
        <f>+H501/G501-1</f>
        <v>-6.4934713300345837E-2</v>
      </c>
      <c r="I509" s="631">
        <f>+I501/H501-1</f>
        <v>0.36821823271077658</v>
      </c>
      <c r="J509" s="631">
        <f>+J501/I501-1</f>
        <v>0.88417244421243102</v>
      </c>
      <c r="K509" s="631">
        <f>+K501/J501-1</f>
        <v>0.33006149817559405</v>
      </c>
      <c r="L509" s="631">
        <f>+L501/K501-1</f>
        <v>0.44483166786114059</v>
      </c>
      <c r="M509" s="631">
        <f>+M501/L501-1</f>
        <v>1.1695105346568546</v>
      </c>
      <c r="N509" s="1554"/>
      <c r="O509" s="631"/>
      <c r="P509" s="631"/>
      <c r="Q509" s="635"/>
      <c r="R509" s="635"/>
      <c r="S509" s="635"/>
      <c r="T509" s="945"/>
      <c r="U509" s="789"/>
      <c r="V509" s="1166"/>
      <c r="W509" s="635"/>
      <c r="X509" s="1166"/>
      <c r="Y509" s="635"/>
      <c r="Z509" s="635"/>
      <c r="AA509" s="635"/>
      <c r="AB509" s="635"/>
      <c r="AC509" s="635"/>
      <c r="AD509" s="635"/>
      <c r="AE509" s="635"/>
      <c r="AF509" s="635"/>
      <c r="AG509" s="635"/>
      <c r="AH509" s="635"/>
      <c r="AI509" s="635"/>
      <c r="AJ509" s="635"/>
      <c r="AK509" s="635"/>
      <c r="AL509" s="635"/>
      <c r="AM509" s="635"/>
      <c r="AN509" s="635"/>
      <c r="AO509" s="635"/>
      <c r="AP509" s="635"/>
      <c r="AQ509" s="635"/>
      <c r="AR509" s="635"/>
      <c r="AS509" s="635"/>
      <c r="AT509" s="635"/>
      <c r="AU509" s="635"/>
      <c r="AV509" s="635"/>
      <c r="AW509" s="635"/>
      <c r="AX509" s="635"/>
      <c r="AY509" s="945"/>
    </row>
    <row r="510" spans="2:81" ht="11.25" customHeight="1">
      <c r="B510" s="841" t="s">
        <v>1739</v>
      </c>
      <c r="C510" s="302"/>
      <c r="D510" s="789" t="s">
        <v>1736</v>
      </c>
      <c r="E510" s="631"/>
      <c r="F510" s="631"/>
      <c r="G510" s="631"/>
      <c r="H510" s="632"/>
      <c r="I510" s="632"/>
      <c r="J510" s="632"/>
      <c r="K510" s="632"/>
      <c r="L510" s="632"/>
      <c r="M510" s="631">
        <f>+M502/L502-1</f>
        <v>0.57588787935483898</v>
      </c>
      <c r="N510" s="1553"/>
      <c r="O510" s="632"/>
      <c r="P510" s="632"/>
      <c r="Q510" s="635"/>
      <c r="R510" s="635"/>
      <c r="S510" s="635"/>
      <c r="T510" s="945"/>
      <c r="U510" s="789"/>
      <c r="V510" s="635"/>
      <c r="W510" s="635"/>
      <c r="X510" s="635"/>
      <c r="Y510" s="635"/>
      <c r="Z510" s="635"/>
      <c r="AA510" s="635"/>
      <c r="AB510" s="635"/>
      <c r="AC510" s="635"/>
      <c r="AD510" s="635"/>
      <c r="AE510" s="635"/>
      <c r="AF510" s="635"/>
      <c r="AG510" s="635"/>
      <c r="AH510" s="635"/>
      <c r="AI510" s="635"/>
      <c r="AJ510" s="635"/>
      <c r="AK510" s="635"/>
      <c r="AL510" s="635"/>
      <c r="AM510" s="635"/>
      <c r="AN510" s="635"/>
      <c r="AO510" s="635"/>
      <c r="AP510" s="635"/>
      <c r="AQ510" s="635"/>
      <c r="AR510" s="635"/>
      <c r="AS510" s="635"/>
      <c r="AT510" s="635"/>
      <c r="AU510" s="635"/>
      <c r="AV510" s="635"/>
      <c r="AW510" s="635"/>
      <c r="AX510" s="635"/>
      <c r="AY510" s="945"/>
    </row>
    <row r="511" spans="2:81">
      <c r="B511" s="758" t="str">
        <f>+B503</f>
        <v>Others</v>
      </c>
      <c r="C511" s="310"/>
      <c r="D511" s="758" t="str">
        <f>+D503</f>
        <v>其他</v>
      </c>
      <c r="E511" s="790"/>
      <c r="F511" s="792"/>
      <c r="G511" s="793"/>
      <c r="H511" s="631">
        <f>+H503/G503-1</f>
        <v>0.23346859799521646</v>
      </c>
      <c r="I511" s="631">
        <f>+I503/H503-1</f>
        <v>8.7397001215723469E-2</v>
      </c>
      <c r="J511" s="631">
        <f>+J503/I503-1</f>
        <v>0.14851052694850742</v>
      </c>
      <c r="K511" s="631">
        <f>+K503/J503-1</f>
        <v>0.15022880400718464</v>
      </c>
      <c r="L511" s="631">
        <f>+L503/K503-1</f>
        <v>-0.18402366684057903</v>
      </c>
      <c r="M511" s="631">
        <f>+M503/L503-1</f>
        <v>-2.4820963885519132E-2</v>
      </c>
      <c r="N511" s="1554"/>
      <c r="O511" s="631"/>
      <c r="P511" s="631"/>
      <c r="Q511" s="635"/>
      <c r="R511" s="635"/>
      <c r="S511" s="635"/>
      <c r="T511" s="945"/>
      <c r="U511" s="1164"/>
      <c r="V511" s="1165"/>
      <c r="W511" s="794"/>
      <c r="X511" s="1165"/>
      <c r="Y511" s="794"/>
      <c r="Z511" s="794"/>
      <c r="AA511" s="794"/>
      <c r="AB511" s="794"/>
      <c r="AC511" s="794"/>
      <c r="AD511" s="794"/>
      <c r="AE511" s="794"/>
      <c r="AF511" s="794"/>
      <c r="AG511" s="794"/>
      <c r="AH511" s="794"/>
      <c r="AI511" s="794"/>
      <c r="AJ511" s="794"/>
      <c r="AK511" s="794"/>
      <c r="AL511" s="794"/>
      <c r="AM511" s="794"/>
      <c r="AN511" s="794"/>
      <c r="AO511" s="794"/>
      <c r="AP511" s="794"/>
      <c r="AQ511" s="794"/>
      <c r="AR511" s="794"/>
      <c r="AS511" s="794"/>
      <c r="AT511" s="794"/>
      <c r="AU511" s="794"/>
      <c r="AV511" s="794"/>
      <c r="AW511" s="794"/>
      <c r="AX511" s="794"/>
      <c r="AY511" s="945"/>
    </row>
    <row r="512" spans="2:81" hidden="1" outlineLevel="1">
      <c r="B512" s="758" t="str">
        <f>+B504</f>
        <v>Direct sales</v>
      </c>
      <c r="C512" s="310"/>
      <c r="D512" s="758" t="str">
        <f>+D504</f>
        <v>直营</v>
      </c>
      <c r="E512" s="790"/>
      <c r="F512" s="792"/>
      <c r="G512" s="793"/>
      <c r="H512" s="631">
        <f>+H504/G504-1</f>
        <v>3.6410903824532657</v>
      </c>
      <c r="I512" s="631">
        <f>+I504/H504-1</f>
        <v>-1.7017004686913029E-2</v>
      </c>
      <c r="J512" s="750">
        <v>0.43290000000000001</v>
      </c>
      <c r="K512" s="631">
        <f>+K504/J504-1</f>
        <v>0.12030074154927406</v>
      </c>
      <c r="L512" s="631">
        <f>+L504/K504-1</f>
        <v>0.71385341373929312</v>
      </c>
      <c r="M512" s="631">
        <f>+M504/L504-1</f>
        <v>0.59223633234911599</v>
      </c>
      <c r="N512" s="1554"/>
      <c r="O512" s="631"/>
      <c r="P512" s="631"/>
      <c r="Q512" s="635"/>
      <c r="R512" s="635"/>
      <c r="S512" s="635"/>
      <c r="T512" s="945"/>
      <c r="U512" s="1164"/>
      <c r="V512" s="1165"/>
      <c r="W512" s="794"/>
      <c r="X512" s="1165"/>
      <c r="Y512" s="794"/>
      <c r="Z512" s="794"/>
      <c r="AA512" s="794"/>
      <c r="AB512" s="794"/>
      <c r="AC512" s="794"/>
      <c r="AD512" s="794"/>
      <c r="AE512" s="794"/>
      <c r="AF512" s="794"/>
      <c r="AG512" s="794"/>
      <c r="AH512" s="794"/>
      <c r="AI512" s="794"/>
      <c r="AJ512" s="794"/>
      <c r="AK512" s="794"/>
      <c r="AL512" s="794"/>
      <c r="AM512" s="794"/>
      <c r="AN512" s="794"/>
      <c r="AO512" s="794"/>
      <c r="AP512" s="794"/>
      <c r="AQ512" s="794"/>
      <c r="AR512" s="794"/>
      <c r="AS512" s="794"/>
      <c r="AT512" s="794"/>
      <c r="AU512" s="794"/>
      <c r="AV512" s="794"/>
      <c r="AW512" s="794"/>
      <c r="AX512" s="794"/>
      <c r="AY512" s="945"/>
    </row>
    <row r="513" spans="2:81" collapsed="1">
      <c r="B513" s="1196"/>
      <c r="C513" s="302"/>
      <c r="D513" s="1197"/>
      <c r="E513" s="635"/>
      <c r="F513" s="873"/>
      <c r="G513" s="873"/>
      <c r="H513" s="873"/>
      <c r="I513" s="873"/>
      <c r="J513" s="873"/>
      <c r="K513" s="873"/>
      <c r="L513" s="873"/>
      <c r="M513" s="873"/>
      <c r="N513" s="1561"/>
      <c r="O513" s="873"/>
      <c r="P513" s="873"/>
      <c r="Q513" s="873"/>
      <c r="R513" s="873"/>
      <c r="S513" s="873"/>
      <c r="T513" s="945"/>
      <c r="U513" s="789"/>
      <c r="V513" s="635"/>
      <c r="W513" s="635"/>
      <c r="X513" s="635"/>
      <c r="Y513" s="635"/>
      <c r="Z513" s="635"/>
      <c r="AA513" s="635"/>
      <c r="AB513" s="635"/>
      <c r="AC513" s="635"/>
      <c r="AD513" s="635"/>
      <c r="AE513" s="635"/>
      <c r="AF513" s="635"/>
      <c r="AG513" s="635"/>
      <c r="AH513" s="635"/>
      <c r="AI513" s="635"/>
      <c r="AJ513" s="635"/>
      <c r="AK513" s="635"/>
      <c r="AL513" s="635"/>
      <c r="AM513" s="635"/>
      <c r="AN513" s="635"/>
      <c r="AO513" s="635"/>
      <c r="AP513" s="635"/>
      <c r="AQ513" s="635"/>
      <c r="AR513" s="635"/>
      <c r="AS513" s="635"/>
      <c r="AT513" s="635"/>
      <c r="AU513" s="635"/>
      <c r="AV513" s="635"/>
      <c r="AW513" s="635"/>
      <c r="AX513" s="635"/>
      <c r="AY513" s="945"/>
      <c r="AZ513" s="635"/>
      <c r="BA513" s="635"/>
      <c r="BB513" s="635"/>
      <c r="BC513" s="635"/>
      <c r="BD513" s="635"/>
      <c r="BE513" s="635"/>
      <c r="BF513" s="635"/>
      <c r="BG513" s="635"/>
      <c r="BH513" s="635"/>
      <c r="BI513" s="635"/>
      <c r="BJ513" s="635"/>
      <c r="BK513" s="635"/>
      <c r="BL513" s="635"/>
      <c r="BM513" s="635"/>
      <c r="BN513" s="635"/>
      <c r="BO513" s="635"/>
      <c r="BP513" s="635"/>
      <c r="BQ513" s="635"/>
      <c r="BR513" s="635"/>
      <c r="BS513" s="635"/>
      <c r="BT513" s="635"/>
      <c r="BU513" s="635"/>
      <c r="BV513" s="635"/>
      <c r="BW513" s="635"/>
      <c r="BX513" s="635"/>
      <c r="BY513" s="635"/>
      <c r="BZ513" s="635"/>
      <c r="CA513" s="635"/>
      <c r="CB513" s="635"/>
      <c r="CC513" s="635"/>
    </row>
    <row r="514" spans="2:81" s="412" customFormat="1" ht="22.5">
      <c r="B514" s="906" t="s">
        <v>1249</v>
      </c>
      <c r="C514" s="906"/>
      <c r="D514" s="906"/>
      <c r="E514" s="907"/>
      <c r="F514" s="907"/>
      <c r="G514" s="908"/>
      <c r="H514" s="908"/>
      <c r="I514" s="908"/>
      <c r="J514" s="908"/>
      <c r="K514" s="909"/>
      <c r="L514" s="909"/>
      <c r="M514" s="909"/>
      <c r="N514" s="1557"/>
      <c r="O514" s="909"/>
      <c r="P514" s="909"/>
      <c r="Q514" s="909"/>
      <c r="R514" s="909"/>
      <c r="S514" s="909"/>
      <c r="T514" s="953"/>
      <c r="U514" s="1161">
        <f>D514</f>
        <v>0</v>
      </c>
      <c r="V514" s="936"/>
      <c r="W514" s="936"/>
      <c r="X514" s="936"/>
      <c r="Y514" s="936"/>
      <c r="Z514" s="936"/>
      <c r="AA514" s="936"/>
      <c r="AB514" s="936"/>
      <c r="AC514" s="936"/>
      <c r="AD514" s="936"/>
      <c r="AE514" s="936"/>
      <c r="AF514" s="936"/>
      <c r="AG514" s="936"/>
      <c r="AH514" s="936"/>
      <c r="AI514" s="936"/>
      <c r="AJ514" s="936"/>
      <c r="AK514" s="936"/>
      <c r="AL514" s="936"/>
      <c r="AM514" s="936"/>
      <c r="AN514" s="936"/>
      <c r="AO514" s="936"/>
      <c r="AP514" s="936"/>
      <c r="AQ514" s="936"/>
      <c r="AR514" s="936"/>
      <c r="AS514" s="936"/>
      <c r="AT514" s="936"/>
      <c r="AU514" s="936"/>
      <c r="AV514" s="936"/>
      <c r="AW514" s="936"/>
      <c r="AX514" s="936"/>
      <c r="AY514" s="953"/>
    </row>
    <row r="515" spans="2:81">
      <c r="B515" s="351" t="s">
        <v>1250</v>
      </c>
      <c r="C515" s="343"/>
      <c r="D515" s="310"/>
      <c r="E515" s="635"/>
      <c r="F515" s="348"/>
      <c r="G515" s="348"/>
      <c r="H515" s="348"/>
      <c r="I515" s="348"/>
      <c r="J515" s="348"/>
      <c r="K515" s="348"/>
      <c r="L515" s="873"/>
      <c r="M515" s="873"/>
      <c r="N515" s="1561"/>
      <c r="O515" s="873"/>
      <c r="P515" s="873"/>
      <c r="Q515" s="873"/>
      <c r="R515" s="873"/>
      <c r="S515" s="873"/>
      <c r="T515" s="945"/>
      <c r="U515" s="789"/>
      <c r="V515" s="635"/>
      <c r="W515" s="635"/>
      <c r="X515" s="635"/>
      <c r="Y515" s="635"/>
      <c r="Z515" s="635"/>
      <c r="AA515" s="635"/>
      <c r="AB515" s="635"/>
      <c r="AC515" s="635"/>
      <c r="AD515" s="635"/>
      <c r="AE515" s="635"/>
      <c r="AF515" s="635"/>
      <c r="AG515" s="635"/>
      <c r="AH515" s="635"/>
      <c r="AI515" s="635"/>
      <c r="AJ515" s="635"/>
      <c r="AK515" s="635"/>
      <c r="AL515" s="635"/>
      <c r="AM515" s="635"/>
      <c r="AN515" s="635"/>
      <c r="AO515" s="635"/>
      <c r="AP515" s="635"/>
      <c r="AQ515" s="635"/>
      <c r="AR515" s="635"/>
      <c r="AS515" s="635"/>
      <c r="AT515" s="635"/>
      <c r="AU515" s="635"/>
      <c r="AV515" s="635"/>
      <c r="AW515" s="635"/>
      <c r="AX515" s="635"/>
      <c r="AY515" s="945"/>
      <c r="AZ515" s="635"/>
      <c r="BA515" s="635"/>
      <c r="BB515" s="635"/>
      <c r="BC515" s="635"/>
      <c r="BD515" s="635"/>
      <c r="BE515" s="635"/>
      <c r="BF515" s="635"/>
      <c r="BG515" s="635"/>
      <c r="BH515" s="635"/>
      <c r="BI515" s="635"/>
      <c r="BJ515" s="635"/>
      <c r="BK515" s="635"/>
      <c r="BL515" s="635"/>
      <c r="BM515" s="635"/>
      <c r="BN515" s="635"/>
      <c r="BO515" s="635"/>
      <c r="BP515" s="635"/>
      <c r="BQ515" s="635"/>
      <c r="BR515" s="635"/>
      <c r="BS515" s="635"/>
      <c r="BT515" s="635"/>
      <c r="BU515" s="635"/>
      <c r="BV515" s="635"/>
      <c r="BW515" s="635"/>
      <c r="BX515" s="635"/>
      <c r="BY515" s="635"/>
      <c r="BZ515" s="635"/>
      <c r="CA515" s="635"/>
      <c r="CB515" s="635"/>
      <c r="CC515" s="635"/>
    </row>
    <row r="516" spans="2:81" hidden="1" outlineLevel="1">
      <c r="B516" s="310" t="s">
        <v>1167</v>
      </c>
      <c r="C516" s="343"/>
      <c r="D516" s="310" t="s">
        <v>1740</v>
      </c>
      <c r="E516" s="635"/>
      <c r="F516" s="348"/>
      <c r="G516" s="348"/>
      <c r="H516" s="348"/>
      <c r="I516" s="348"/>
      <c r="J516" s="348"/>
      <c r="K516" s="348">
        <v>-4347.5065629999999</v>
      </c>
      <c r="L516" s="348">
        <v>-5509.8419450000001</v>
      </c>
      <c r="M516" s="1923"/>
      <c r="N516" s="2124"/>
      <c r="O516" s="873"/>
      <c r="P516" s="873"/>
      <c r="Q516" s="873"/>
      <c r="R516" s="873"/>
      <c r="S516" s="873"/>
      <c r="T516" s="945"/>
      <c r="U516" s="789"/>
      <c r="V516" s="635"/>
      <c r="W516" s="635"/>
      <c r="X516" s="635"/>
      <c r="Y516" s="635"/>
      <c r="Z516" s="635"/>
      <c r="AA516" s="635"/>
      <c r="AB516" s="635"/>
      <c r="AC516" s="635"/>
      <c r="AD516" s="635"/>
      <c r="AE516" s="635"/>
      <c r="AF516" s="635"/>
      <c r="AG516" s="635"/>
      <c r="AH516" s="635"/>
      <c r="AI516" s="635"/>
      <c r="AJ516" s="635"/>
      <c r="AK516" s="635"/>
      <c r="AL516" s="635"/>
      <c r="AM516" s="635"/>
      <c r="AN516" s="635"/>
      <c r="AO516" s="635"/>
      <c r="AP516" s="635"/>
      <c r="AQ516" s="635"/>
      <c r="AR516" s="635"/>
      <c r="AS516" s="635"/>
      <c r="AT516" s="635"/>
      <c r="AU516" s="635"/>
      <c r="AV516" s="635"/>
      <c r="AW516" s="635"/>
      <c r="AX516" s="635"/>
      <c r="AY516" s="945"/>
      <c r="AZ516" s="635"/>
      <c r="BA516" s="635"/>
      <c r="BB516" s="635"/>
      <c r="BC516" s="635"/>
      <c r="BD516" s="635"/>
      <c r="BE516" s="635"/>
      <c r="BF516" s="635"/>
      <c r="BG516" s="635"/>
      <c r="BH516" s="635"/>
      <c r="BI516" s="635"/>
      <c r="BJ516" s="635"/>
      <c r="BK516" s="635"/>
      <c r="BL516" s="635"/>
      <c r="BM516" s="635"/>
      <c r="BN516" s="635"/>
      <c r="BO516" s="635"/>
      <c r="BP516" s="635"/>
      <c r="BQ516" s="635"/>
      <c r="BR516" s="635"/>
      <c r="BS516" s="635"/>
      <c r="BT516" s="635"/>
      <c r="BU516" s="635"/>
      <c r="BV516" s="635"/>
      <c r="BW516" s="635"/>
      <c r="BX516" s="635"/>
      <c r="BY516" s="635"/>
      <c r="BZ516" s="635"/>
      <c r="CA516" s="635"/>
      <c r="CB516" s="635"/>
      <c r="CC516" s="635"/>
    </row>
    <row r="517" spans="2:81" collapsed="1">
      <c r="B517" s="310" t="s">
        <v>1167</v>
      </c>
      <c r="C517" s="343"/>
      <c r="D517" s="310" t="s">
        <v>1741</v>
      </c>
      <c r="E517" s="635"/>
      <c r="F517" s="348"/>
      <c r="G517" s="348"/>
      <c r="H517" s="348"/>
      <c r="I517" s="348"/>
      <c r="J517" s="348"/>
      <c r="K517" s="348"/>
      <c r="L517" s="348">
        <f>M517/(1+34.94%)</f>
        <v>-5609.2922752779014</v>
      </c>
      <c r="M517" s="1923">
        <v>-7569.1789962599996</v>
      </c>
      <c r="N517" s="2125"/>
      <c r="O517" s="873"/>
      <c r="P517" s="873"/>
      <c r="Q517" s="873"/>
      <c r="R517" s="873"/>
      <c r="S517" s="873"/>
      <c r="T517" s="945"/>
      <c r="U517" s="789"/>
      <c r="V517" s="635"/>
      <c r="W517" s="635"/>
      <c r="X517" s="635"/>
      <c r="Y517" s="635"/>
      <c r="Z517" s="635"/>
      <c r="AA517" s="635"/>
      <c r="AB517" s="635"/>
      <c r="AC517" s="635"/>
      <c r="AD517" s="635"/>
      <c r="AE517" s="635"/>
      <c r="AF517" s="635"/>
      <c r="AG517" s="635"/>
      <c r="AH517" s="635"/>
      <c r="AI517" s="635"/>
      <c r="AJ517" s="635"/>
      <c r="AK517" s="635"/>
      <c r="AL517" s="635"/>
      <c r="AM517" s="635"/>
      <c r="AN517" s="635"/>
      <c r="AO517" s="635"/>
      <c r="AP517" s="635"/>
      <c r="AQ517" s="635"/>
      <c r="AR517" s="635"/>
      <c r="AS517" s="635"/>
      <c r="AT517" s="635"/>
      <c r="AU517" s="635"/>
      <c r="AV517" s="635"/>
      <c r="AW517" s="635"/>
      <c r="AX517" s="635"/>
      <c r="AY517" s="945"/>
      <c r="AZ517" s="635"/>
      <c r="BA517" s="635"/>
      <c r="BB517" s="635"/>
      <c r="BC517" s="635"/>
      <c r="BD517" s="635"/>
      <c r="BE517" s="635"/>
      <c r="BF517" s="635"/>
      <c r="BG517" s="635"/>
      <c r="BH517" s="635"/>
      <c r="BI517" s="635"/>
      <c r="BJ517" s="635"/>
      <c r="BK517" s="635"/>
      <c r="BL517" s="635"/>
      <c r="BM517" s="635"/>
      <c r="BN517" s="635"/>
      <c r="BO517" s="635"/>
      <c r="BP517" s="635"/>
      <c r="BQ517" s="635"/>
      <c r="BR517" s="635"/>
      <c r="BS517" s="635"/>
      <c r="BT517" s="635"/>
      <c r="BU517" s="635"/>
      <c r="BV517" s="635"/>
      <c r="BW517" s="635"/>
      <c r="BX517" s="635"/>
      <c r="BY517" s="635"/>
      <c r="BZ517" s="635"/>
      <c r="CA517" s="635"/>
      <c r="CB517" s="635"/>
      <c r="CC517" s="635"/>
    </row>
    <row r="518" spans="2:81">
      <c r="B518" s="310" t="s">
        <v>1057</v>
      </c>
      <c r="C518" s="343"/>
      <c r="D518" s="310" t="s">
        <v>1165</v>
      </c>
      <c r="E518" s="635"/>
      <c r="F518" s="348"/>
      <c r="G518" s="348"/>
      <c r="H518" s="348"/>
      <c r="I518" s="348"/>
      <c r="J518" s="348"/>
      <c r="K518" s="349">
        <f>K452</f>
        <v>-84.351299999999995</v>
      </c>
      <c r="L518" s="349">
        <f>L452</f>
        <v>-117.596405</v>
      </c>
      <c r="M518" s="349">
        <f>M452</f>
        <v>-225.41870387</v>
      </c>
      <c r="N518" s="1561"/>
      <c r="O518" s="873"/>
      <c r="P518" s="873"/>
      <c r="Q518" s="873"/>
      <c r="R518" s="873"/>
      <c r="S518" s="873"/>
      <c r="T518" s="945"/>
      <c r="U518" s="789"/>
      <c r="V518" s="635"/>
      <c r="W518" s="635"/>
      <c r="X518" s="635"/>
      <c r="Y518" s="635"/>
      <c r="Z518" s="635"/>
      <c r="AA518" s="635"/>
      <c r="AB518" s="635"/>
      <c r="AC518" s="635"/>
      <c r="AD518" s="635"/>
      <c r="AE518" s="635"/>
      <c r="AF518" s="635"/>
      <c r="AG518" s="635"/>
      <c r="AH518" s="635"/>
      <c r="AI518" s="635"/>
      <c r="AJ518" s="635"/>
      <c r="AK518" s="635"/>
      <c r="AL518" s="635"/>
      <c r="AM518" s="635"/>
      <c r="AN518" s="635"/>
      <c r="AO518" s="635"/>
      <c r="AP518" s="635"/>
      <c r="AQ518" s="635"/>
      <c r="AR518" s="635"/>
      <c r="AS518" s="635"/>
      <c r="AT518" s="635"/>
      <c r="AU518" s="635"/>
      <c r="AV518" s="635"/>
      <c r="AW518" s="635"/>
      <c r="AX518" s="635"/>
      <c r="AY518" s="945"/>
      <c r="AZ518" s="635"/>
      <c r="BA518" s="635"/>
      <c r="BB518" s="635"/>
      <c r="BC518" s="635"/>
      <c r="BD518" s="635"/>
      <c r="BE518" s="635"/>
      <c r="BF518" s="635"/>
      <c r="BG518" s="635"/>
      <c r="BH518" s="635"/>
      <c r="BI518" s="635"/>
      <c r="BJ518" s="635"/>
      <c r="BK518" s="635"/>
      <c r="BL518" s="635"/>
      <c r="BM518" s="635"/>
      <c r="BN518" s="635"/>
      <c r="BO518" s="635"/>
      <c r="BP518" s="635"/>
      <c r="BQ518" s="635"/>
      <c r="BR518" s="635"/>
      <c r="BS518" s="635"/>
      <c r="BT518" s="635"/>
      <c r="BU518" s="635"/>
      <c r="BV518" s="635"/>
      <c r="BW518" s="635"/>
      <c r="BX518" s="635"/>
      <c r="BY518" s="635"/>
      <c r="BZ518" s="635"/>
      <c r="CA518" s="635"/>
      <c r="CB518" s="635"/>
      <c r="CC518" s="635"/>
    </row>
    <row r="519" spans="2:81">
      <c r="B519" s="841" t="s">
        <v>1739</v>
      </c>
      <c r="C519" s="302"/>
      <c r="D519" s="789" t="s">
        <v>1736</v>
      </c>
      <c r="E519" s="635"/>
      <c r="F519" s="348"/>
      <c r="G519" s="348"/>
      <c r="H519" s="348"/>
      <c r="I519" s="348"/>
      <c r="J519" s="348"/>
      <c r="K519" s="349"/>
      <c r="L519" s="348">
        <f>M519/(1+40.08 %)</f>
        <v>-659.09103349514567</v>
      </c>
      <c r="M519" s="1923">
        <v>-923.25471972000003</v>
      </c>
      <c r="N519" s="1561"/>
      <c r="O519" s="873"/>
      <c r="P519" s="873"/>
      <c r="Q519" s="873"/>
      <c r="R519" s="873"/>
      <c r="S519" s="873"/>
      <c r="T519" s="945"/>
      <c r="U519" s="789"/>
      <c r="V519" s="635"/>
      <c r="W519" s="635"/>
      <c r="X519" s="635"/>
      <c r="Y519" s="635"/>
      <c r="Z519" s="635"/>
      <c r="AA519" s="635"/>
      <c r="AB519" s="635"/>
      <c r="AC519" s="635"/>
      <c r="AD519" s="635"/>
      <c r="AE519" s="635"/>
      <c r="AF519" s="635"/>
      <c r="AG519" s="635"/>
      <c r="AH519" s="635"/>
      <c r="AI519" s="635"/>
      <c r="AJ519" s="635"/>
      <c r="AK519" s="635"/>
      <c r="AL519" s="635"/>
      <c r="AM519" s="635"/>
      <c r="AN519" s="635"/>
      <c r="AO519" s="635"/>
      <c r="AP519" s="635"/>
      <c r="AQ519" s="635"/>
      <c r="AR519" s="635"/>
      <c r="AS519" s="635"/>
      <c r="AT519" s="635"/>
      <c r="AU519" s="635"/>
      <c r="AV519" s="635"/>
      <c r="AW519" s="635"/>
      <c r="AX519" s="635"/>
      <c r="AY519" s="945"/>
      <c r="AZ519" s="635"/>
      <c r="BA519" s="635"/>
      <c r="BB519" s="635"/>
      <c r="BC519" s="635"/>
      <c r="BD519" s="635"/>
      <c r="BE519" s="635"/>
      <c r="BF519" s="635"/>
      <c r="BG519" s="635"/>
      <c r="BH519" s="635"/>
      <c r="BI519" s="635"/>
      <c r="BJ519" s="635"/>
      <c r="BK519" s="635"/>
      <c r="BL519" s="635"/>
      <c r="BM519" s="635"/>
      <c r="BN519" s="635"/>
      <c r="BO519" s="635"/>
      <c r="BP519" s="635"/>
      <c r="BQ519" s="635"/>
      <c r="BR519" s="635"/>
      <c r="BS519" s="635"/>
      <c r="BT519" s="635"/>
      <c r="BU519" s="635"/>
      <c r="BV519" s="635"/>
      <c r="BW519" s="635"/>
      <c r="BX519" s="635"/>
      <c r="BY519" s="635"/>
      <c r="BZ519" s="635"/>
      <c r="CA519" s="635"/>
      <c r="CB519" s="635"/>
      <c r="CC519" s="635"/>
    </row>
    <row r="520" spans="2:81">
      <c r="B520" s="310" t="s">
        <v>207</v>
      </c>
      <c r="C520" s="343"/>
      <c r="D520" s="310" t="s">
        <v>861</v>
      </c>
      <c r="E520" s="635"/>
      <c r="F520" s="348"/>
      <c r="G520" s="348"/>
      <c r="H520" s="348"/>
      <c r="I520" s="348"/>
      <c r="J520" s="348"/>
      <c r="K520" s="348">
        <v>-24.304839000000001</v>
      </c>
      <c r="L520" s="348">
        <v>-18.988987999999999</v>
      </c>
      <c r="M520" s="1923">
        <v>-12.688397520000001</v>
      </c>
      <c r="N520" s="1561"/>
      <c r="O520" s="873"/>
      <c r="P520" s="873"/>
      <c r="Q520" s="873"/>
      <c r="R520" s="873"/>
      <c r="S520" s="873"/>
      <c r="T520" s="945"/>
      <c r="U520" s="789"/>
      <c r="V520" s="635"/>
      <c r="W520" s="635"/>
      <c r="X520" s="635"/>
      <c r="Y520" s="635"/>
      <c r="Z520" s="635"/>
      <c r="AA520" s="635"/>
      <c r="AB520" s="635"/>
      <c r="AC520" s="635"/>
      <c r="AD520" s="635"/>
      <c r="AE520" s="635"/>
      <c r="AF520" s="635"/>
      <c r="AG520" s="635"/>
      <c r="AH520" s="635"/>
      <c r="AI520" s="635"/>
      <c r="AJ520" s="635"/>
      <c r="AK520" s="635"/>
      <c r="AL520" s="635"/>
      <c r="AM520" s="635"/>
      <c r="AN520" s="635"/>
      <c r="AO520" s="635"/>
      <c r="AP520" s="635"/>
      <c r="AQ520" s="635"/>
      <c r="AR520" s="635"/>
      <c r="AS520" s="635"/>
      <c r="AT520" s="635"/>
      <c r="AU520" s="635"/>
      <c r="AV520" s="635"/>
      <c r="AW520" s="635"/>
      <c r="AX520" s="635"/>
      <c r="AY520" s="945"/>
      <c r="AZ520" s="635"/>
      <c r="BA520" s="635"/>
      <c r="BB520" s="635"/>
      <c r="BC520" s="635"/>
      <c r="BD520" s="635"/>
      <c r="BE520" s="635"/>
      <c r="BF520" s="635"/>
      <c r="BG520" s="635"/>
      <c r="BH520" s="635"/>
      <c r="BI520" s="635"/>
      <c r="BJ520" s="635"/>
      <c r="BK520" s="635"/>
      <c r="BL520" s="635"/>
      <c r="BM520" s="635"/>
      <c r="BN520" s="635"/>
      <c r="BO520" s="635"/>
      <c r="BP520" s="635"/>
      <c r="BQ520" s="635"/>
      <c r="BR520" s="635"/>
      <c r="BS520" s="635"/>
      <c r="BT520" s="635"/>
      <c r="BU520" s="635"/>
      <c r="BV520" s="635"/>
      <c r="BW520" s="635"/>
      <c r="BX520" s="635"/>
      <c r="BY520" s="635"/>
      <c r="BZ520" s="635"/>
      <c r="CA520" s="635"/>
      <c r="CB520" s="635"/>
      <c r="CC520" s="635"/>
    </row>
    <row r="521" spans="2:81" hidden="1" outlineLevel="1">
      <c r="B521" s="310" t="s">
        <v>1168</v>
      </c>
      <c r="C521" s="343"/>
      <c r="D521" s="310" t="s">
        <v>1166</v>
      </c>
      <c r="E521" s="635"/>
      <c r="F521" s="348"/>
      <c r="G521" s="348"/>
      <c r="H521" s="348"/>
      <c r="I521" s="348"/>
      <c r="J521" s="348"/>
      <c r="K521" s="349">
        <f>K453</f>
        <v>-445.39454599999999</v>
      </c>
      <c r="L521" s="349">
        <f>L453</f>
        <v>-758.51688899999999</v>
      </c>
      <c r="M521" s="349">
        <f>M453</f>
        <v>-1060.6090528099999</v>
      </c>
      <c r="N521" s="1561"/>
      <c r="O521" s="873"/>
      <c r="P521" s="873"/>
      <c r="Q521" s="873"/>
      <c r="R521" s="873"/>
      <c r="S521" s="873"/>
      <c r="T521" s="945"/>
      <c r="U521" s="789"/>
      <c r="V521" s="635"/>
      <c r="W521" s="635"/>
      <c r="X521" s="635"/>
      <c r="Y521" s="635"/>
      <c r="Z521" s="635"/>
      <c r="AA521" s="635"/>
      <c r="AB521" s="635"/>
      <c r="AC521" s="635"/>
      <c r="AD521" s="635"/>
      <c r="AE521" s="635"/>
      <c r="AF521" s="635"/>
      <c r="AG521" s="635"/>
      <c r="AH521" s="635"/>
      <c r="AI521" s="635"/>
      <c r="AJ521" s="635"/>
      <c r="AK521" s="635"/>
      <c r="AL521" s="635"/>
      <c r="AM521" s="635"/>
      <c r="AN521" s="635"/>
      <c r="AO521" s="635"/>
      <c r="AP521" s="635"/>
      <c r="AQ521" s="635"/>
      <c r="AR521" s="635"/>
      <c r="AS521" s="635"/>
      <c r="AT521" s="635"/>
      <c r="AU521" s="635"/>
      <c r="AV521" s="635"/>
      <c r="AW521" s="635"/>
      <c r="AX521" s="635"/>
      <c r="AY521" s="945"/>
      <c r="AZ521" s="635"/>
      <c r="BA521" s="635"/>
      <c r="BB521" s="635"/>
      <c r="BC521" s="635"/>
      <c r="BD521" s="635"/>
      <c r="BE521" s="635"/>
      <c r="BF521" s="635"/>
      <c r="BG521" s="635"/>
      <c r="BH521" s="635"/>
      <c r="BI521" s="635"/>
      <c r="BJ521" s="635"/>
      <c r="BK521" s="635"/>
      <c r="BL521" s="635"/>
      <c r="BM521" s="635"/>
      <c r="BN521" s="635"/>
      <c r="BO521" s="635"/>
      <c r="BP521" s="635"/>
      <c r="BQ521" s="635"/>
      <c r="BR521" s="635"/>
      <c r="BS521" s="635"/>
      <c r="BT521" s="635"/>
      <c r="BU521" s="635"/>
      <c r="BV521" s="635"/>
      <c r="BW521" s="635"/>
      <c r="BX521" s="635"/>
      <c r="BY521" s="635"/>
      <c r="BZ521" s="635"/>
      <c r="CA521" s="635"/>
      <c r="CB521" s="635"/>
      <c r="CC521" s="635"/>
    </row>
    <row r="522" spans="2:81" collapsed="1">
      <c r="B522" s="750"/>
      <c r="C522" s="750"/>
      <c r="D522" s="750"/>
      <c r="E522" s="635"/>
      <c r="F522" s="873"/>
      <c r="G522" s="873"/>
      <c r="H522" s="873"/>
      <c r="I522" s="873"/>
      <c r="J522" s="873"/>
      <c r="K522" s="873"/>
      <c r="L522" s="873"/>
      <c r="M522" s="873"/>
      <c r="N522" s="1561"/>
      <c r="O522" s="873"/>
      <c r="P522" s="873"/>
      <c r="Q522" s="873"/>
      <c r="R522" s="873"/>
      <c r="S522" s="873"/>
      <c r="T522" s="945"/>
      <c r="U522" s="789"/>
      <c r="V522" s="635"/>
      <c r="W522" s="635"/>
      <c r="X522" s="635"/>
      <c r="Y522" s="635"/>
      <c r="Z522" s="635"/>
      <c r="AA522" s="635"/>
      <c r="AB522" s="635"/>
      <c r="AC522" s="635"/>
      <c r="AD522" s="635"/>
      <c r="AE522" s="635"/>
      <c r="AF522" s="635"/>
      <c r="AG522" s="635"/>
      <c r="AH522" s="635"/>
      <c r="AI522" s="635"/>
      <c r="AJ522" s="635"/>
      <c r="AK522" s="635"/>
      <c r="AL522" s="635"/>
      <c r="AM522" s="635"/>
      <c r="AN522" s="635"/>
      <c r="AO522" s="635"/>
      <c r="AP522" s="635"/>
      <c r="AQ522" s="635"/>
      <c r="AR522" s="635"/>
      <c r="AS522" s="635"/>
      <c r="AT522" s="635"/>
      <c r="AU522" s="635"/>
      <c r="AV522" s="635"/>
      <c r="AW522" s="635"/>
      <c r="AX522" s="635"/>
      <c r="AY522" s="945"/>
      <c r="AZ522" s="635"/>
      <c r="BA522" s="635"/>
      <c r="BB522" s="635"/>
      <c r="BC522" s="635"/>
      <c r="BD522" s="635"/>
      <c r="BE522" s="635"/>
      <c r="BF522" s="635"/>
      <c r="BG522" s="635"/>
      <c r="BH522" s="635"/>
      <c r="BI522" s="635"/>
      <c r="BJ522" s="635"/>
      <c r="BK522" s="635"/>
      <c r="BL522" s="635"/>
      <c r="BM522" s="635"/>
      <c r="BN522" s="635"/>
      <c r="BO522" s="635"/>
      <c r="BP522" s="635"/>
      <c r="BQ522" s="635"/>
      <c r="BR522" s="635"/>
      <c r="BS522" s="635"/>
      <c r="BT522" s="635"/>
      <c r="BU522" s="635"/>
      <c r="BV522" s="635"/>
      <c r="BW522" s="635"/>
      <c r="BX522" s="635"/>
      <c r="BY522" s="635"/>
      <c r="BZ522" s="635"/>
      <c r="CA522" s="635"/>
      <c r="CB522" s="635"/>
      <c r="CC522" s="635"/>
    </row>
    <row r="523" spans="2:81">
      <c r="B523" s="351" t="s">
        <v>940</v>
      </c>
      <c r="C523" s="343"/>
      <c r="D523" s="310"/>
      <c r="E523" s="635"/>
      <c r="F523" s="348"/>
      <c r="G523" s="348"/>
      <c r="H523" s="348"/>
      <c r="I523" s="348"/>
      <c r="J523" s="348"/>
      <c r="K523" s="348"/>
      <c r="L523" s="348"/>
      <c r="M523" s="348"/>
      <c r="N523" s="1561"/>
      <c r="O523" s="873"/>
      <c r="P523" s="873"/>
      <c r="Q523" s="873"/>
      <c r="R523" s="873"/>
      <c r="S523" s="873"/>
      <c r="T523" s="945"/>
      <c r="U523" s="789"/>
      <c r="V523" s="635"/>
      <c r="W523" s="635"/>
      <c r="X523" s="635"/>
      <c r="Y523" s="635"/>
      <c r="Z523" s="635"/>
      <c r="AA523" s="635"/>
      <c r="AB523" s="635"/>
      <c r="AC523" s="635"/>
      <c r="AD523" s="635"/>
      <c r="AE523" s="635"/>
      <c r="AF523" s="635"/>
      <c r="AG523" s="635"/>
      <c r="AH523" s="635"/>
      <c r="AI523" s="635"/>
      <c r="AJ523" s="635"/>
      <c r="AK523" s="635"/>
      <c r="AL523" s="635"/>
      <c r="AM523" s="635"/>
      <c r="AN523" s="635"/>
      <c r="AO523" s="635"/>
      <c r="AP523" s="635"/>
      <c r="AQ523" s="635"/>
      <c r="AR523" s="635"/>
      <c r="AS523" s="635"/>
      <c r="AT523" s="635"/>
      <c r="AU523" s="635"/>
      <c r="AV523" s="635"/>
      <c r="AW523" s="635"/>
      <c r="AX523" s="635"/>
      <c r="AY523" s="945"/>
      <c r="AZ523" s="635"/>
      <c r="BA523" s="635"/>
      <c r="BB523" s="635"/>
      <c r="BC523" s="635"/>
      <c r="BD523" s="635"/>
      <c r="BE523" s="635"/>
      <c r="BF523" s="635"/>
      <c r="BG523" s="635"/>
      <c r="BH523" s="635"/>
      <c r="BI523" s="635"/>
      <c r="BJ523" s="635"/>
      <c r="BK523" s="635"/>
      <c r="BL523" s="635"/>
      <c r="BM523" s="635"/>
      <c r="BN523" s="635"/>
      <c r="BO523" s="635"/>
      <c r="BP523" s="635"/>
      <c r="BQ523" s="635"/>
      <c r="BR523" s="635"/>
      <c r="BS523" s="635"/>
      <c r="BT523" s="635"/>
      <c r="BU523" s="635"/>
      <c r="BV523" s="635"/>
      <c r="BW523" s="635"/>
      <c r="BX523" s="635"/>
      <c r="BY523" s="635"/>
      <c r="BZ523" s="635"/>
      <c r="CA523" s="635"/>
      <c r="CB523" s="635"/>
      <c r="CC523" s="635"/>
    </row>
    <row r="524" spans="2:81" hidden="1" outlineLevel="1">
      <c r="B524" s="310" t="s">
        <v>1167</v>
      </c>
      <c r="C524" s="343"/>
      <c r="D524" s="310" t="s">
        <v>1740</v>
      </c>
      <c r="E524" s="635"/>
      <c r="F524" s="348"/>
      <c r="G524" s="348"/>
      <c r="H524" s="348"/>
      <c r="I524" s="348"/>
      <c r="J524" s="348"/>
      <c r="K524" s="349">
        <f>K499+K516</f>
        <v>3233.5167259999998</v>
      </c>
      <c r="L524" s="349">
        <f>L499+L516</f>
        <v>4248.3332680000003</v>
      </c>
      <c r="M524" s="349">
        <f>M499+M517</f>
        <v>-7569.1789962599996</v>
      </c>
      <c r="N524" s="1561"/>
      <c r="O524" s="873"/>
      <c r="P524" s="873"/>
      <c r="Q524" s="873"/>
      <c r="R524" s="873"/>
      <c r="S524" s="873"/>
      <c r="T524" s="945"/>
      <c r="U524" s="789"/>
      <c r="V524" s="635"/>
      <c r="W524" s="635"/>
      <c r="X524" s="635"/>
      <c r="Y524" s="635"/>
      <c r="Z524" s="635"/>
      <c r="AA524" s="635"/>
      <c r="AB524" s="635"/>
      <c r="AC524" s="635"/>
      <c r="AD524" s="635"/>
      <c r="AE524" s="635"/>
      <c r="AF524" s="635"/>
      <c r="AG524" s="635"/>
      <c r="AH524" s="635"/>
      <c r="AI524" s="635"/>
      <c r="AJ524" s="635"/>
      <c r="AK524" s="635"/>
      <c r="AL524" s="635"/>
      <c r="AM524" s="635"/>
      <c r="AN524" s="635"/>
      <c r="AO524" s="635"/>
      <c r="AP524" s="635"/>
      <c r="AQ524" s="635"/>
      <c r="AR524" s="635"/>
      <c r="AS524" s="635"/>
      <c r="AT524" s="635"/>
      <c r="AU524" s="635"/>
      <c r="AV524" s="635"/>
      <c r="AW524" s="635"/>
      <c r="AX524" s="635"/>
      <c r="AY524" s="945"/>
      <c r="AZ524" s="635"/>
      <c r="BA524" s="635"/>
      <c r="BB524" s="635"/>
      <c r="BC524" s="635"/>
      <c r="BD524" s="635"/>
      <c r="BE524" s="635"/>
      <c r="BF524" s="635"/>
      <c r="BG524" s="635"/>
      <c r="BH524" s="635"/>
      <c r="BI524" s="635"/>
      <c r="BJ524" s="635"/>
      <c r="BK524" s="635"/>
      <c r="BL524" s="635"/>
      <c r="BM524" s="635"/>
      <c r="BN524" s="635"/>
      <c r="BO524" s="635"/>
      <c r="BP524" s="635"/>
      <c r="BQ524" s="635"/>
      <c r="BR524" s="635"/>
      <c r="BS524" s="635"/>
      <c r="BT524" s="635"/>
      <c r="BU524" s="635"/>
      <c r="BV524" s="635"/>
      <c r="BW524" s="635"/>
      <c r="BX524" s="635"/>
      <c r="BY524" s="635"/>
      <c r="BZ524" s="635"/>
      <c r="CA524" s="635"/>
      <c r="CB524" s="635"/>
      <c r="CC524" s="635"/>
    </row>
    <row r="525" spans="2:81" collapsed="1">
      <c r="B525" s="310" t="s">
        <v>1167</v>
      </c>
      <c r="C525" s="343"/>
      <c r="D525" s="310" t="s">
        <v>1741</v>
      </c>
      <c r="E525" s="635"/>
      <c r="F525" s="348"/>
      <c r="G525" s="348"/>
      <c r="H525" s="348"/>
      <c r="I525" s="348"/>
      <c r="J525" s="348"/>
      <c r="K525" s="349"/>
      <c r="L525" s="349">
        <f t="shared" ref="L525:M529" si="331">L500+L517</f>
        <v>4302.6055247220993</v>
      </c>
      <c r="M525" s="349">
        <f t="shared" si="331"/>
        <v>6037.406699520001</v>
      </c>
      <c r="N525" s="1561"/>
      <c r="O525" s="873"/>
      <c r="P525" s="873"/>
      <c r="Q525" s="873"/>
      <c r="R525" s="873"/>
      <c r="S525" s="873"/>
      <c r="T525" s="945"/>
      <c r="U525" s="789"/>
      <c r="V525" s="635"/>
      <c r="W525" s="635"/>
      <c r="X525" s="635"/>
      <c r="Y525" s="635"/>
      <c r="Z525" s="635"/>
      <c r="AA525" s="635"/>
      <c r="AB525" s="635"/>
      <c r="AC525" s="635"/>
      <c r="AD525" s="635"/>
      <c r="AE525" s="635"/>
      <c r="AF525" s="635"/>
      <c r="AG525" s="635"/>
      <c r="AH525" s="635"/>
      <c r="AI525" s="635"/>
      <c r="AJ525" s="635"/>
      <c r="AK525" s="635"/>
      <c r="AL525" s="635"/>
      <c r="AM525" s="635"/>
      <c r="AN525" s="635"/>
      <c r="AO525" s="635"/>
      <c r="AP525" s="635"/>
      <c r="AQ525" s="635"/>
      <c r="AR525" s="635"/>
      <c r="AS525" s="635"/>
      <c r="AT525" s="635"/>
      <c r="AU525" s="635"/>
      <c r="AV525" s="635"/>
      <c r="AW525" s="635"/>
      <c r="AX525" s="635"/>
      <c r="AY525" s="945"/>
      <c r="AZ525" s="635"/>
      <c r="BA525" s="635"/>
      <c r="BB525" s="635"/>
      <c r="BC525" s="635"/>
      <c r="BD525" s="635"/>
      <c r="BE525" s="635"/>
      <c r="BF525" s="635"/>
      <c r="BG525" s="635"/>
      <c r="BH525" s="635"/>
      <c r="BI525" s="635"/>
      <c r="BJ525" s="635"/>
      <c r="BK525" s="635"/>
      <c r="BL525" s="635"/>
      <c r="BM525" s="635"/>
      <c r="BN525" s="635"/>
      <c r="BO525" s="635"/>
      <c r="BP525" s="635"/>
      <c r="BQ525" s="635"/>
      <c r="BR525" s="635"/>
      <c r="BS525" s="635"/>
      <c r="BT525" s="635"/>
      <c r="BU525" s="635"/>
      <c r="BV525" s="635"/>
      <c r="BW525" s="635"/>
      <c r="BX525" s="635"/>
      <c r="BY525" s="635"/>
      <c r="BZ525" s="635"/>
      <c r="CA525" s="635"/>
      <c r="CB525" s="635"/>
      <c r="CC525" s="635"/>
    </row>
    <row r="526" spans="2:81">
      <c r="B526" s="310" t="s">
        <v>1057</v>
      </c>
      <c r="C526" s="343"/>
      <c r="D526" s="310" t="s">
        <v>1165</v>
      </c>
      <c r="E526" s="635"/>
      <c r="F526" s="348"/>
      <c r="G526" s="348"/>
      <c r="H526" s="348"/>
      <c r="I526" s="348"/>
      <c r="J526" s="348"/>
      <c r="K526" s="349">
        <f>K501+K518</f>
        <v>57.746858509999996</v>
      </c>
      <c r="L526" s="349">
        <f t="shared" si="331"/>
        <v>87.711514359999995</v>
      </c>
      <c r="M526" s="349">
        <f t="shared" si="331"/>
        <v>219.99899002999996</v>
      </c>
      <c r="N526" s="1561"/>
      <c r="O526" s="873"/>
      <c r="P526" s="873"/>
      <c r="Q526" s="873"/>
      <c r="R526" s="873"/>
      <c r="S526" s="873"/>
      <c r="T526" s="945"/>
      <c r="U526" s="789"/>
      <c r="V526" s="635"/>
      <c r="W526" s="635"/>
      <c r="X526" s="635"/>
      <c r="Y526" s="635"/>
      <c r="Z526" s="635"/>
      <c r="AA526" s="635"/>
      <c r="AB526" s="635"/>
      <c r="AC526" s="635"/>
      <c r="AD526" s="635"/>
      <c r="AE526" s="635"/>
      <c r="AF526" s="635"/>
      <c r="AG526" s="635"/>
      <c r="AH526" s="635"/>
      <c r="AI526" s="635"/>
      <c r="AJ526" s="635"/>
      <c r="AK526" s="635"/>
      <c r="AL526" s="635"/>
      <c r="AM526" s="635"/>
      <c r="AN526" s="635"/>
      <c r="AO526" s="635"/>
      <c r="AP526" s="635"/>
      <c r="AQ526" s="635"/>
      <c r="AR526" s="635"/>
      <c r="AS526" s="635"/>
      <c r="AT526" s="635"/>
      <c r="AU526" s="635"/>
      <c r="AV526" s="635"/>
      <c r="AW526" s="635"/>
      <c r="AX526" s="635"/>
      <c r="AY526" s="945"/>
      <c r="AZ526" s="635"/>
      <c r="BA526" s="635"/>
      <c r="BB526" s="635"/>
      <c r="BC526" s="635"/>
      <c r="BD526" s="635"/>
      <c r="BE526" s="635"/>
      <c r="BF526" s="635"/>
      <c r="BG526" s="635"/>
      <c r="BH526" s="635"/>
      <c r="BI526" s="635"/>
      <c r="BJ526" s="635"/>
      <c r="BK526" s="635"/>
      <c r="BL526" s="635"/>
      <c r="BM526" s="635"/>
      <c r="BN526" s="635"/>
      <c r="BO526" s="635"/>
      <c r="BP526" s="635"/>
      <c r="BQ526" s="635"/>
      <c r="BR526" s="635"/>
      <c r="BS526" s="635"/>
      <c r="BT526" s="635"/>
      <c r="BU526" s="635"/>
      <c r="BV526" s="635"/>
      <c r="BW526" s="635"/>
      <c r="BX526" s="635"/>
      <c r="BY526" s="635"/>
      <c r="BZ526" s="635"/>
      <c r="CA526" s="635"/>
      <c r="CB526" s="635"/>
      <c r="CC526" s="635"/>
    </row>
    <row r="527" spans="2:81">
      <c r="B527" s="841" t="s">
        <v>1739</v>
      </c>
      <c r="C527" s="302"/>
      <c r="D527" s="789" t="s">
        <v>1736</v>
      </c>
      <c r="E527" s="635"/>
      <c r="F527" s="348"/>
      <c r="G527" s="348"/>
      <c r="H527" s="348"/>
      <c r="I527" s="348"/>
      <c r="J527" s="348"/>
      <c r="K527" s="349"/>
      <c r="L527" s="349">
        <f t="shared" si="331"/>
        <v>447.28736650485439</v>
      </c>
      <c r="M527" s="349">
        <f t="shared" si="331"/>
        <v>820.27359081999987</v>
      </c>
      <c r="N527" s="1561"/>
      <c r="O527" s="873"/>
      <c r="P527" s="873"/>
      <c r="Q527" s="873"/>
      <c r="R527" s="873"/>
      <c r="S527" s="873"/>
      <c r="T527" s="945"/>
      <c r="U527" s="789"/>
      <c r="V527" s="635"/>
      <c r="W527" s="635"/>
      <c r="X527" s="635"/>
      <c r="Y527" s="635"/>
      <c r="Z527" s="635"/>
      <c r="AA527" s="635"/>
      <c r="AB527" s="635"/>
      <c r="AC527" s="635"/>
      <c r="AD527" s="635"/>
      <c r="AE527" s="635"/>
      <c r="AF527" s="635"/>
      <c r="AG527" s="635"/>
      <c r="AH527" s="635"/>
      <c r="AI527" s="635"/>
      <c r="AJ527" s="635"/>
      <c r="AK527" s="635"/>
      <c r="AL527" s="635"/>
      <c r="AM527" s="635"/>
      <c r="AN527" s="635"/>
      <c r="AO527" s="635"/>
      <c r="AP527" s="635"/>
      <c r="AQ527" s="635"/>
      <c r="AR527" s="635"/>
      <c r="AS527" s="635"/>
      <c r="AT527" s="635"/>
      <c r="AU527" s="635"/>
      <c r="AV527" s="635"/>
      <c r="AW527" s="635"/>
      <c r="AX527" s="635"/>
      <c r="AY527" s="945"/>
      <c r="AZ527" s="635"/>
      <c r="BA527" s="635"/>
      <c r="BB527" s="635"/>
      <c r="BC527" s="635"/>
      <c r="BD527" s="635"/>
      <c r="BE527" s="635"/>
      <c r="BF527" s="635"/>
      <c r="BG527" s="635"/>
      <c r="BH527" s="635"/>
      <c r="BI527" s="635"/>
      <c r="BJ527" s="635"/>
      <c r="BK527" s="635"/>
      <c r="BL527" s="635"/>
      <c r="BM527" s="635"/>
      <c r="BN527" s="635"/>
      <c r="BO527" s="635"/>
      <c r="BP527" s="635"/>
      <c r="BQ527" s="635"/>
      <c r="BR527" s="635"/>
      <c r="BS527" s="635"/>
      <c r="BT527" s="635"/>
      <c r="BU527" s="635"/>
      <c r="BV527" s="635"/>
      <c r="BW527" s="635"/>
      <c r="BX527" s="635"/>
      <c r="BY527" s="635"/>
      <c r="BZ527" s="635"/>
      <c r="CA527" s="635"/>
      <c r="CB527" s="635"/>
      <c r="CC527" s="635"/>
    </row>
    <row r="528" spans="2:81">
      <c r="B528" s="310" t="s">
        <v>207</v>
      </c>
      <c r="C528" s="343"/>
      <c r="D528" s="310" t="s">
        <v>861</v>
      </c>
      <c r="E528" s="635"/>
      <c r="F528" s="348"/>
      <c r="G528" s="348"/>
      <c r="H528" s="348"/>
      <c r="I528" s="348"/>
      <c r="J528" s="348"/>
      <c r="K528" s="349">
        <f>K503+K520</f>
        <v>8.661960999999998</v>
      </c>
      <c r="L528" s="349">
        <f t="shared" si="331"/>
        <v>7.9111405800000014</v>
      </c>
      <c r="M528" s="349">
        <f t="shared" si="331"/>
        <v>13.54404394</v>
      </c>
      <c r="N528" s="1561"/>
      <c r="O528" s="873"/>
      <c r="P528" s="873"/>
      <c r="Q528" s="873"/>
      <c r="R528" s="873"/>
      <c r="S528" s="873"/>
      <c r="T528" s="945"/>
      <c r="U528" s="789"/>
      <c r="V528" s="635"/>
      <c r="W528" s="635"/>
      <c r="X528" s="635"/>
      <c r="Y528" s="635"/>
      <c r="Z528" s="635"/>
      <c r="AA528" s="635"/>
      <c r="AB528" s="635"/>
      <c r="AC528" s="635"/>
      <c r="AD528" s="635"/>
      <c r="AE528" s="635"/>
      <c r="AF528" s="635"/>
      <c r="AG528" s="635"/>
      <c r="AH528" s="635"/>
      <c r="AI528" s="635"/>
      <c r="AJ528" s="635"/>
      <c r="AK528" s="635"/>
      <c r="AL528" s="635"/>
      <c r="AM528" s="635"/>
      <c r="AN528" s="635"/>
      <c r="AO528" s="635"/>
      <c r="AP528" s="635"/>
      <c r="AQ528" s="635"/>
      <c r="AR528" s="635"/>
      <c r="AS528" s="635"/>
      <c r="AT528" s="635"/>
      <c r="AU528" s="635"/>
      <c r="AV528" s="635"/>
      <c r="AW528" s="635"/>
      <c r="AX528" s="635"/>
      <c r="AY528" s="945"/>
      <c r="AZ528" s="635"/>
      <c r="BA528" s="635"/>
      <c r="BB528" s="635"/>
      <c r="BC528" s="635"/>
      <c r="BD528" s="635"/>
      <c r="BE528" s="635"/>
      <c r="BF528" s="635"/>
      <c r="BG528" s="635"/>
      <c r="BH528" s="635"/>
      <c r="BI528" s="635"/>
      <c r="BJ528" s="635"/>
      <c r="BK528" s="635"/>
      <c r="BL528" s="635"/>
      <c r="BM528" s="635"/>
      <c r="BN528" s="635"/>
      <c r="BO528" s="635"/>
      <c r="BP528" s="635"/>
      <c r="BQ528" s="635"/>
      <c r="BR528" s="635"/>
      <c r="BS528" s="635"/>
      <c r="BT528" s="635"/>
      <c r="BU528" s="635"/>
      <c r="BV528" s="635"/>
      <c r="BW528" s="635"/>
      <c r="BX528" s="635"/>
      <c r="BY528" s="635"/>
      <c r="BZ528" s="635"/>
      <c r="CA528" s="635"/>
      <c r="CB528" s="635"/>
      <c r="CC528" s="635"/>
    </row>
    <row r="529" spans="2:81" hidden="1" outlineLevel="1">
      <c r="B529" s="310" t="s">
        <v>1168</v>
      </c>
      <c r="C529" s="343"/>
      <c r="D529" s="310" t="s">
        <v>1166</v>
      </c>
      <c r="E529" s="635"/>
      <c r="F529" s="348"/>
      <c r="G529" s="348"/>
      <c r="H529" s="348"/>
      <c r="I529" s="348"/>
      <c r="J529" s="348"/>
      <c r="K529" s="349">
        <f>K504+K521</f>
        <v>289.84975780000002</v>
      </c>
      <c r="L529" s="349">
        <f t="shared" si="331"/>
        <v>501.58407099999999</v>
      </c>
      <c r="M529" s="349">
        <f t="shared" si="331"/>
        <v>945.76947813000015</v>
      </c>
      <c r="N529" s="1561"/>
      <c r="O529" s="873"/>
      <c r="P529" s="873"/>
      <c r="Q529" s="873"/>
      <c r="R529" s="873"/>
      <c r="S529" s="873"/>
      <c r="T529" s="945"/>
      <c r="U529" s="789"/>
      <c r="V529" s="635"/>
      <c r="W529" s="635"/>
      <c r="X529" s="635"/>
      <c r="Y529" s="635"/>
      <c r="Z529" s="635"/>
      <c r="AA529" s="635"/>
      <c r="AB529" s="635"/>
      <c r="AC529" s="635"/>
      <c r="AD529" s="635"/>
      <c r="AE529" s="635"/>
      <c r="AF529" s="635"/>
      <c r="AG529" s="635"/>
      <c r="AH529" s="635"/>
      <c r="AI529" s="635"/>
      <c r="AJ529" s="635"/>
      <c r="AK529" s="635"/>
      <c r="AL529" s="635"/>
      <c r="AM529" s="635"/>
      <c r="AN529" s="635"/>
      <c r="AO529" s="635"/>
      <c r="AP529" s="635"/>
      <c r="AQ529" s="635"/>
      <c r="AR529" s="635"/>
      <c r="AS529" s="635"/>
      <c r="AT529" s="635"/>
      <c r="AU529" s="635"/>
      <c r="AV529" s="635"/>
      <c r="AW529" s="635"/>
      <c r="AX529" s="635"/>
      <c r="AY529" s="945"/>
      <c r="AZ529" s="635"/>
      <c r="BA529" s="635"/>
      <c r="BB529" s="635"/>
      <c r="BC529" s="635"/>
      <c r="BD529" s="635"/>
      <c r="BE529" s="635"/>
      <c r="BF529" s="635"/>
      <c r="BG529" s="635"/>
      <c r="BH529" s="635"/>
      <c r="BI529" s="635"/>
      <c r="BJ529" s="635"/>
      <c r="BK529" s="635"/>
      <c r="BL529" s="635"/>
      <c r="BM529" s="635"/>
      <c r="BN529" s="635"/>
      <c r="BO529" s="635"/>
      <c r="BP529" s="635"/>
      <c r="BQ529" s="635"/>
      <c r="BR529" s="635"/>
      <c r="BS529" s="635"/>
      <c r="BT529" s="635"/>
      <c r="BU529" s="635"/>
      <c r="BV529" s="635"/>
      <c r="BW529" s="635"/>
      <c r="BX529" s="635"/>
      <c r="BY529" s="635"/>
      <c r="BZ529" s="635"/>
      <c r="CA529" s="635"/>
      <c r="CB529" s="635"/>
      <c r="CC529" s="635"/>
    </row>
    <row r="530" spans="2:81" collapsed="1">
      <c r="B530" s="310"/>
      <c r="C530" s="343"/>
      <c r="D530" s="310"/>
      <c r="E530" s="635"/>
      <c r="F530" s="348"/>
      <c r="G530" s="348"/>
      <c r="H530" s="348"/>
      <c r="I530" s="348"/>
      <c r="J530" s="348"/>
      <c r="K530" s="348"/>
      <c r="L530" s="348"/>
      <c r="M530" s="348"/>
      <c r="N530" s="1561"/>
      <c r="O530" s="873"/>
      <c r="P530" s="873"/>
      <c r="Q530" s="873"/>
      <c r="R530" s="873"/>
      <c r="S530" s="873"/>
      <c r="T530" s="945"/>
      <c r="U530" s="789"/>
      <c r="V530" s="635"/>
      <c r="W530" s="635"/>
      <c r="X530" s="635"/>
      <c r="Y530" s="635"/>
      <c r="Z530" s="635"/>
      <c r="AA530" s="635"/>
      <c r="AB530" s="635"/>
      <c r="AC530" s="635"/>
      <c r="AD530" s="635"/>
      <c r="AE530" s="635"/>
      <c r="AF530" s="635"/>
      <c r="AG530" s="635"/>
      <c r="AH530" s="635"/>
      <c r="AI530" s="635"/>
      <c r="AJ530" s="635"/>
      <c r="AK530" s="635"/>
      <c r="AL530" s="635"/>
      <c r="AM530" s="635"/>
      <c r="AN530" s="635"/>
      <c r="AO530" s="635"/>
      <c r="AP530" s="635"/>
      <c r="AQ530" s="635"/>
      <c r="AR530" s="635"/>
      <c r="AS530" s="635"/>
      <c r="AT530" s="635"/>
      <c r="AU530" s="635"/>
      <c r="AV530" s="635"/>
      <c r="AW530" s="635"/>
      <c r="AX530" s="635"/>
      <c r="AY530" s="945"/>
      <c r="AZ530" s="635"/>
      <c r="BA530" s="635"/>
      <c r="BB530" s="635"/>
      <c r="BC530" s="635"/>
      <c r="BD530" s="635"/>
      <c r="BE530" s="635"/>
      <c r="BF530" s="635"/>
      <c r="BG530" s="635"/>
      <c r="BH530" s="635"/>
      <c r="BI530" s="635"/>
      <c r="BJ530" s="635"/>
      <c r="BK530" s="635"/>
      <c r="BL530" s="635"/>
      <c r="BM530" s="635"/>
      <c r="BN530" s="635"/>
      <c r="BO530" s="635"/>
      <c r="BP530" s="635"/>
      <c r="BQ530" s="635"/>
      <c r="BR530" s="635"/>
      <c r="BS530" s="635"/>
      <c r="BT530" s="635"/>
      <c r="BU530" s="635"/>
      <c r="BV530" s="635"/>
      <c r="BW530" s="635"/>
      <c r="BX530" s="635"/>
      <c r="BY530" s="635"/>
      <c r="BZ530" s="635"/>
      <c r="CA530" s="635"/>
      <c r="CB530" s="635"/>
      <c r="CC530" s="635"/>
    </row>
    <row r="531" spans="2:81">
      <c r="B531" s="351" t="s">
        <v>1251</v>
      </c>
      <c r="C531" s="343"/>
      <c r="D531" s="310"/>
      <c r="E531" s="635"/>
      <c r="F531" s="348"/>
      <c r="G531" s="348"/>
      <c r="H531" s="348"/>
      <c r="I531" s="348"/>
      <c r="J531" s="348"/>
      <c r="K531" s="348"/>
      <c r="L531" s="348"/>
      <c r="M531" s="348"/>
      <c r="N531" s="1561"/>
      <c r="O531" s="873"/>
      <c r="P531" s="873"/>
      <c r="Q531" s="873"/>
      <c r="R531" s="873"/>
      <c r="S531" s="873"/>
      <c r="T531" s="945"/>
      <c r="U531" s="789"/>
      <c r="V531" s="635"/>
      <c r="W531" s="635"/>
      <c r="X531" s="635"/>
      <c r="Y531" s="635"/>
      <c r="Z531" s="635"/>
      <c r="AA531" s="635"/>
      <c r="AB531" s="635"/>
      <c r="AC531" s="635"/>
      <c r="AD531" s="635"/>
      <c r="AE531" s="635"/>
      <c r="AF531" s="635"/>
      <c r="AG531" s="635"/>
      <c r="AH531" s="635"/>
      <c r="AI531" s="635"/>
      <c r="AJ531" s="635"/>
      <c r="AK531" s="635"/>
      <c r="AL531" s="635"/>
      <c r="AM531" s="635"/>
      <c r="AN531" s="635"/>
      <c r="AO531" s="635"/>
      <c r="AP531" s="635"/>
      <c r="AQ531" s="635"/>
      <c r="AR531" s="635"/>
      <c r="AS531" s="635"/>
      <c r="AT531" s="635"/>
      <c r="AU531" s="635"/>
      <c r="AV531" s="635"/>
      <c r="AW531" s="635"/>
      <c r="AX531" s="635"/>
      <c r="AY531" s="945"/>
      <c r="AZ531" s="635"/>
      <c r="BA531" s="635"/>
      <c r="BB531" s="635"/>
      <c r="BC531" s="635"/>
      <c r="BD531" s="635"/>
      <c r="BE531" s="635"/>
      <c r="BF531" s="635"/>
      <c r="BG531" s="635"/>
      <c r="BH531" s="635"/>
      <c r="BI531" s="635"/>
      <c r="BJ531" s="635"/>
      <c r="BK531" s="635"/>
      <c r="BL531" s="635"/>
      <c r="BM531" s="635"/>
      <c r="BN531" s="635"/>
      <c r="BO531" s="635"/>
      <c r="BP531" s="635"/>
      <c r="BQ531" s="635"/>
      <c r="BR531" s="635"/>
      <c r="BS531" s="635"/>
      <c r="BT531" s="635"/>
      <c r="BU531" s="635"/>
      <c r="BV531" s="635"/>
      <c r="BW531" s="635"/>
      <c r="BX531" s="635"/>
      <c r="BY531" s="635"/>
      <c r="BZ531" s="635"/>
      <c r="CA531" s="635"/>
      <c r="CB531" s="635"/>
      <c r="CC531" s="635"/>
    </row>
    <row r="532" spans="2:81" hidden="1" outlineLevel="1">
      <c r="B532" s="310" t="s">
        <v>1167</v>
      </c>
      <c r="C532" s="343"/>
      <c r="D532" s="310" t="s">
        <v>1740</v>
      </c>
      <c r="E532" s="635"/>
      <c r="F532" s="348"/>
      <c r="G532" s="348"/>
      <c r="H532" s="348"/>
      <c r="I532" s="348"/>
      <c r="J532" s="348"/>
      <c r="K532" s="1198">
        <f>K524/K499</f>
        <v>0.42652773942691946</v>
      </c>
      <c r="L532" s="1198">
        <f>L524/L499</f>
        <v>0.43536144568713026</v>
      </c>
      <c r="M532" s="1198" t="e">
        <f>M524/M499</f>
        <v>#DIV/0!</v>
      </c>
      <c r="N532" s="1561"/>
      <c r="O532" s="873"/>
      <c r="P532" s="873"/>
      <c r="Q532" s="873"/>
      <c r="R532" s="873"/>
      <c r="S532" s="873"/>
      <c r="T532" s="945"/>
      <c r="U532" s="789"/>
      <c r="V532" s="635"/>
      <c r="W532" s="635"/>
      <c r="X532" s="635"/>
      <c r="Y532" s="635"/>
      <c r="Z532" s="635"/>
      <c r="AA532" s="635"/>
      <c r="AB532" s="635"/>
      <c r="AC532" s="635"/>
      <c r="AD532" s="635"/>
      <c r="AE532" s="635"/>
      <c r="AF532" s="635"/>
      <c r="AG532" s="635"/>
      <c r="AH532" s="635"/>
      <c r="AI532" s="635"/>
      <c r="AJ532" s="635"/>
      <c r="AK532" s="635"/>
      <c r="AL532" s="635"/>
      <c r="AM532" s="635"/>
      <c r="AN532" s="635"/>
      <c r="AO532" s="635"/>
      <c r="AP532" s="635"/>
      <c r="AQ532" s="635"/>
      <c r="AR532" s="635"/>
      <c r="AS532" s="635"/>
      <c r="AT532" s="635"/>
      <c r="AU532" s="635"/>
      <c r="AV532" s="635"/>
      <c r="AW532" s="635"/>
      <c r="AX532" s="635"/>
      <c r="AY532" s="945"/>
      <c r="AZ532" s="635"/>
      <c r="BA532" s="635"/>
      <c r="BB532" s="635"/>
      <c r="BC532" s="635"/>
      <c r="BD532" s="635"/>
      <c r="BE532" s="635"/>
      <c r="BF532" s="635"/>
      <c r="BG532" s="635"/>
      <c r="BH532" s="635"/>
      <c r="BI532" s="635"/>
      <c r="BJ532" s="635"/>
      <c r="BK532" s="635"/>
      <c r="BL532" s="635"/>
      <c r="BM532" s="635"/>
      <c r="BN532" s="635"/>
      <c r="BO532" s="635"/>
      <c r="BP532" s="635"/>
      <c r="BQ532" s="635"/>
      <c r="BR532" s="635"/>
      <c r="BS532" s="635"/>
      <c r="BT532" s="635"/>
      <c r="BU532" s="635"/>
      <c r="BV532" s="635"/>
      <c r="BW532" s="635"/>
      <c r="BX532" s="635"/>
      <c r="BY532" s="635"/>
      <c r="BZ532" s="635"/>
      <c r="CA532" s="635"/>
      <c r="CB532" s="635"/>
      <c r="CC532" s="635"/>
    </row>
    <row r="533" spans="2:81" collapsed="1">
      <c r="B533" s="310" t="s">
        <v>1167</v>
      </c>
      <c r="C533" s="343"/>
      <c r="D533" s="310" t="s">
        <v>1741</v>
      </c>
      <c r="E533" s="635"/>
      <c r="F533" s="348"/>
      <c r="G533" s="348"/>
      <c r="H533" s="348"/>
      <c r="I533" s="348"/>
      <c r="J533" s="348"/>
      <c r="K533" s="1198"/>
      <c r="L533" s="1198">
        <f t="shared" ref="L533:M537" si="332">L525/L500</f>
        <v>0.43408493625934069</v>
      </c>
      <c r="M533" s="1198">
        <f t="shared" si="332"/>
        <v>0.44371209901632164</v>
      </c>
      <c r="N533" s="1561"/>
      <c r="O533" s="873"/>
      <c r="P533" s="873"/>
      <c r="Q533" s="873"/>
      <c r="R533" s="873"/>
      <c r="S533" s="873"/>
      <c r="T533" s="945"/>
      <c r="U533" s="789"/>
      <c r="V533" s="635"/>
      <c r="W533" s="635"/>
      <c r="X533" s="635"/>
      <c r="Y533" s="635"/>
      <c r="Z533" s="635"/>
      <c r="AA533" s="635"/>
      <c r="AB533" s="635"/>
      <c r="AC533" s="635"/>
      <c r="AD533" s="635"/>
      <c r="AE533" s="635"/>
      <c r="AF533" s="635"/>
      <c r="AG533" s="635"/>
      <c r="AH533" s="635"/>
      <c r="AI533" s="635"/>
      <c r="AJ533" s="635"/>
      <c r="AK533" s="635"/>
      <c r="AL533" s="635"/>
      <c r="AM533" s="635"/>
      <c r="AN533" s="635"/>
      <c r="AO533" s="635"/>
      <c r="AP533" s="635"/>
      <c r="AQ533" s="635"/>
      <c r="AR533" s="635"/>
      <c r="AS533" s="635"/>
      <c r="AT533" s="635"/>
      <c r="AU533" s="635"/>
      <c r="AV533" s="635"/>
      <c r="AW533" s="635"/>
      <c r="AX533" s="635"/>
      <c r="AY533" s="945"/>
      <c r="AZ533" s="635"/>
      <c r="BA533" s="635"/>
      <c r="BB533" s="635"/>
      <c r="BC533" s="635"/>
      <c r="BD533" s="635"/>
      <c r="BE533" s="635"/>
      <c r="BF533" s="635"/>
      <c r="BG533" s="635"/>
      <c r="BH533" s="635"/>
      <c r="BI533" s="635"/>
      <c r="BJ533" s="635"/>
      <c r="BK533" s="635"/>
      <c r="BL533" s="635"/>
      <c r="BM533" s="635"/>
      <c r="BN533" s="635"/>
      <c r="BO533" s="635"/>
      <c r="BP533" s="635"/>
      <c r="BQ533" s="635"/>
      <c r="BR533" s="635"/>
      <c r="BS533" s="635"/>
      <c r="BT533" s="635"/>
      <c r="BU533" s="635"/>
      <c r="BV533" s="635"/>
      <c r="BW533" s="635"/>
      <c r="BX533" s="635"/>
      <c r="BY533" s="635"/>
      <c r="BZ533" s="635"/>
      <c r="CA533" s="635"/>
      <c r="CB533" s="635"/>
      <c r="CC533" s="635"/>
    </row>
    <row r="534" spans="2:81">
      <c r="B534" s="310" t="s">
        <v>1057</v>
      </c>
      <c r="C534" s="343"/>
      <c r="D534" s="310" t="s">
        <v>1165</v>
      </c>
      <c r="E534" s="635"/>
      <c r="F534" s="348"/>
      <c r="G534" s="348"/>
      <c r="H534" s="348"/>
      <c r="I534" s="348"/>
      <c r="J534" s="348"/>
      <c r="K534" s="1198">
        <f>K526/K501</f>
        <v>0.40638709970288694</v>
      </c>
      <c r="L534" s="1198">
        <f t="shared" si="332"/>
        <v>0.42721934269959178</v>
      </c>
      <c r="M534" s="1198">
        <f t="shared" si="332"/>
        <v>0.49391614442553239</v>
      </c>
      <c r="N534" s="1561"/>
      <c r="O534" s="873"/>
      <c r="P534" s="873"/>
      <c r="Q534" s="873"/>
      <c r="R534" s="873"/>
      <c r="S534" s="873"/>
      <c r="T534" s="945"/>
      <c r="U534" s="789"/>
      <c r="V534" s="635"/>
      <c r="W534" s="635"/>
      <c r="X534" s="635"/>
      <c r="Y534" s="635"/>
      <c r="Z534" s="635"/>
      <c r="AA534" s="635"/>
      <c r="AB534" s="635"/>
      <c r="AC534" s="635"/>
      <c r="AD534" s="635"/>
      <c r="AE534" s="635"/>
      <c r="AF534" s="635"/>
      <c r="AG534" s="635"/>
      <c r="AH534" s="635"/>
      <c r="AI534" s="635"/>
      <c r="AJ534" s="635"/>
      <c r="AK534" s="635"/>
      <c r="AL534" s="635"/>
      <c r="AM534" s="635"/>
      <c r="AN534" s="635"/>
      <c r="AO534" s="635"/>
      <c r="AP534" s="635"/>
      <c r="AQ534" s="635"/>
      <c r="AR534" s="635"/>
      <c r="AS534" s="635"/>
      <c r="AT534" s="635"/>
      <c r="AU534" s="635"/>
      <c r="AV534" s="635"/>
      <c r="AW534" s="635"/>
      <c r="AX534" s="635"/>
      <c r="AY534" s="945"/>
      <c r="AZ534" s="635"/>
      <c r="BA534" s="635"/>
      <c r="BB534" s="635"/>
      <c r="BC534" s="635"/>
      <c r="BD534" s="635"/>
      <c r="BE534" s="635"/>
      <c r="BF534" s="635"/>
      <c r="BG534" s="635"/>
      <c r="BH534" s="635"/>
      <c r="BI534" s="635"/>
      <c r="BJ534" s="635"/>
      <c r="BK534" s="635"/>
      <c r="BL534" s="635"/>
      <c r="BM534" s="635"/>
      <c r="BN534" s="635"/>
      <c r="BO534" s="635"/>
      <c r="BP534" s="635"/>
      <c r="BQ534" s="635"/>
      <c r="BR534" s="635"/>
      <c r="BS534" s="635"/>
      <c r="BT534" s="635"/>
      <c r="BU534" s="635"/>
      <c r="BV534" s="635"/>
      <c r="BW534" s="635"/>
      <c r="BX534" s="635"/>
      <c r="BY534" s="635"/>
      <c r="BZ534" s="635"/>
      <c r="CA534" s="635"/>
      <c r="CB534" s="635"/>
      <c r="CC534" s="635"/>
    </row>
    <row r="535" spans="2:81">
      <c r="B535" s="841" t="s">
        <v>1739</v>
      </c>
      <c r="C535" s="302"/>
      <c r="D535" s="789" t="s">
        <v>1736</v>
      </c>
      <c r="E535" s="635"/>
      <c r="F535" s="348"/>
      <c r="G535" s="348"/>
      <c r="H535" s="348"/>
      <c r="I535" s="348"/>
      <c r="J535" s="348"/>
      <c r="K535" s="1198"/>
      <c r="L535" s="1198">
        <f t="shared" si="332"/>
        <v>0.40428063897926275</v>
      </c>
      <c r="M535" s="1198">
        <f t="shared" si="332"/>
        <v>0.470467606325215</v>
      </c>
      <c r="N535" s="1561"/>
      <c r="O535" s="873"/>
      <c r="P535" s="873"/>
      <c r="Q535" s="873"/>
      <c r="R535" s="873"/>
      <c r="S535" s="873"/>
      <c r="T535" s="945"/>
      <c r="U535" s="789"/>
      <c r="V535" s="635"/>
      <c r="W535" s="635"/>
      <c r="X535" s="635"/>
      <c r="Y535" s="635"/>
      <c r="Z535" s="635"/>
      <c r="AA535" s="635"/>
      <c r="AB535" s="635"/>
      <c r="AC535" s="635"/>
      <c r="AD535" s="635"/>
      <c r="AE535" s="635"/>
      <c r="AF535" s="635"/>
      <c r="AG535" s="635"/>
      <c r="AH535" s="635"/>
      <c r="AI535" s="635"/>
      <c r="AJ535" s="635"/>
      <c r="AK535" s="635"/>
      <c r="AL535" s="635"/>
      <c r="AM535" s="635"/>
      <c r="AN535" s="635"/>
      <c r="AO535" s="635"/>
      <c r="AP535" s="635"/>
      <c r="AQ535" s="635"/>
      <c r="AR535" s="635"/>
      <c r="AS535" s="635"/>
      <c r="AT535" s="635"/>
      <c r="AU535" s="635"/>
      <c r="AV535" s="635"/>
      <c r="AW535" s="635"/>
      <c r="AX535" s="635"/>
      <c r="AY535" s="945"/>
      <c r="AZ535" s="635"/>
      <c r="BA535" s="635"/>
      <c r="BB535" s="635"/>
      <c r="BC535" s="635"/>
      <c r="BD535" s="635"/>
      <c r="BE535" s="635"/>
      <c r="BF535" s="635"/>
      <c r="BG535" s="635"/>
      <c r="BH535" s="635"/>
      <c r="BI535" s="635"/>
      <c r="BJ535" s="635"/>
      <c r="BK535" s="635"/>
      <c r="BL535" s="635"/>
      <c r="BM535" s="635"/>
      <c r="BN535" s="635"/>
      <c r="BO535" s="635"/>
      <c r="BP535" s="635"/>
      <c r="BQ535" s="635"/>
      <c r="BR535" s="635"/>
      <c r="BS535" s="635"/>
      <c r="BT535" s="635"/>
      <c r="BU535" s="635"/>
      <c r="BV535" s="635"/>
      <c r="BW535" s="635"/>
      <c r="BX535" s="635"/>
      <c r="BY535" s="635"/>
      <c r="BZ535" s="635"/>
      <c r="CA535" s="635"/>
      <c r="CB535" s="635"/>
      <c r="CC535" s="635"/>
    </row>
    <row r="536" spans="2:81">
      <c r="B536" s="310" t="s">
        <v>207</v>
      </c>
      <c r="C536" s="343"/>
      <c r="D536" s="310" t="s">
        <v>861</v>
      </c>
      <c r="E536" s="635"/>
      <c r="F536" s="348"/>
      <c r="G536" s="348"/>
      <c r="H536" s="348"/>
      <c r="I536" s="348"/>
      <c r="J536" s="348"/>
      <c r="K536" s="1198">
        <f>K528/K503</f>
        <v>0.26274800708591667</v>
      </c>
      <c r="L536" s="1198">
        <f t="shared" si="332"/>
        <v>0.2940930396102962</v>
      </c>
      <c r="M536" s="1198">
        <f t="shared" si="332"/>
        <v>0.51630893604212769</v>
      </c>
      <c r="N536" s="1561"/>
      <c r="O536" s="873"/>
      <c r="P536" s="873"/>
      <c r="Q536" s="873"/>
      <c r="R536" s="873"/>
      <c r="S536" s="873"/>
      <c r="T536" s="945"/>
      <c r="U536" s="789"/>
      <c r="V536" s="635"/>
      <c r="W536" s="635"/>
      <c r="X536" s="635"/>
      <c r="Y536" s="635"/>
      <c r="Z536" s="635"/>
      <c r="AA536" s="635"/>
      <c r="AB536" s="635"/>
      <c r="AC536" s="635"/>
      <c r="AD536" s="635"/>
      <c r="AE536" s="635"/>
      <c r="AF536" s="635"/>
      <c r="AG536" s="635"/>
      <c r="AH536" s="635"/>
      <c r="AI536" s="635"/>
      <c r="AJ536" s="635"/>
      <c r="AK536" s="635"/>
      <c r="AL536" s="635"/>
      <c r="AM536" s="635"/>
      <c r="AN536" s="635"/>
      <c r="AO536" s="635"/>
      <c r="AP536" s="635"/>
      <c r="AQ536" s="635"/>
      <c r="AR536" s="635"/>
      <c r="AS536" s="635"/>
      <c r="AT536" s="635"/>
      <c r="AU536" s="635"/>
      <c r="AV536" s="635"/>
      <c r="AW536" s="635"/>
      <c r="AX536" s="635"/>
      <c r="AY536" s="945"/>
      <c r="AZ536" s="635"/>
      <c r="BA536" s="635"/>
      <c r="BB536" s="635"/>
      <c r="BC536" s="635"/>
      <c r="BD536" s="635"/>
      <c r="BE536" s="635"/>
      <c r="BF536" s="635"/>
      <c r="BG536" s="635"/>
      <c r="BH536" s="635"/>
      <c r="BI536" s="635"/>
      <c r="BJ536" s="635"/>
      <c r="BK536" s="635"/>
      <c r="BL536" s="635"/>
      <c r="BM536" s="635"/>
      <c r="BN536" s="635"/>
      <c r="BO536" s="635"/>
      <c r="BP536" s="635"/>
      <c r="BQ536" s="635"/>
      <c r="BR536" s="635"/>
      <c r="BS536" s="635"/>
      <c r="BT536" s="635"/>
      <c r="BU536" s="635"/>
      <c r="BV536" s="635"/>
      <c r="BW536" s="635"/>
      <c r="BX536" s="635"/>
      <c r="BY536" s="635"/>
      <c r="BZ536" s="635"/>
      <c r="CA536" s="635"/>
      <c r="CB536" s="635"/>
      <c r="CC536" s="635"/>
    </row>
    <row r="537" spans="2:81" hidden="1" outlineLevel="1">
      <c r="B537" s="310" t="s">
        <v>1168</v>
      </c>
      <c r="C537" s="343"/>
      <c r="D537" s="310" t="s">
        <v>1166</v>
      </c>
      <c r="E537" s="635"/>
      <c r="F537" s="348"/>
      <c r="G537" s="348"/>
      <c r="H537" s="348"/>
      <c r="I537" s="348"/>
      <c r="J537" s="348"/>
      <c r="K537" s="1198">
        <f>K529/K504</f>
        <v>0.39422237792520798</v>
      </c>
      <c r="L537" s="1198">
        <f t="shared" si="332"/>
        <v>0.39805070142951088</v>
      </c>
      <c r="M537" s="1198">
        <f t="shared" si="332"/>
        <v>0.47138137871067709</v>
      </c>
      <c r="N537" s="1561"/>
      <c r="O537" s="873"/>
      <c r="P537" s="873"/>
      <c r="Q537" s="873"/>
      <c r="R537" s="873"/>
      <c r="S537" s="873"/>
      <c r="T537" s="945"/>
      <c r="U537" s="789"/>
      <c r="V537" s="635"/>
      <c r="W537" s="635"/>
      <c r="X537" s="635"/>
      <c r="Y537" s="635"/>
      <c r="Z537" s="635"/>
      <c r="AA537" s="635"/>
      <c r="AB537" s="635"/>
      <c r="AC537" s="635"/>
      <c r="AD537" s="635"/>
      <c r="AE537" s="635"/>
      <c r="AF537" s="635"/>
      <c r="AG537" s="635"/>
      <c r="AH537" s="635"/>
      <c r="AI537" s="635"/>
      <c r="AJ537" s="635"/>
      <c r="AK537" s="635"/>
      <c r="AL537" s="635"/>
      <c r="AM537" s="635"/>
      <c r="AN537" s="635"/>
      <c r="AO537" s="635"/>
      <c r="AP537" s="635"/>
      <c r="AQ537" s="635"/>
      <c r="AR537" s="635"/>
      <c r="AS537" s="635"/>
      <c r="AT537" s="635"/>
      <c r="AU537" s="635"/>
      <c r="AV537" s="635"/>
      <c r="AW537" s="635"/>
      <c r="AX537" s="635"/>
      <c r="AY537" s="945"/>
      <c r="AZ537" s="635"/>
      <c r="BA537" s="635"/>
      <c r="BB537" s="635"/>
      <c r="BC537" s="635"/>
      <c r="BD537" s="635"/>
      <c r="BE537" s="635"/>
      <c r="BF537" s="635"/>
      <c r="BG537" s="635"/>
      <c r="BH537" s="635"/>
      <c r="BI537" s="635"/>
      <c r="BJ537" s="635"/>
      <c r="BK537" s="635"/>
      <c r="BL537" s="635"/>
      <c r="BM537" s="635"/>
      <c r="BN537" s="635"/>
      <c r="BO537" s="635"/>
      <c r="BP537" s="635"/>
      <c r="BQ537" s="635"/>
      <c r="BR537" s="635"/>
      <c r="BS537" s="635"/>
      <c r="BT537" s="635"/>
      <c r="BU537" s="635"/>
      <c r="BV537" s="635"/>
      <c r="BW537" s="635"/>
      <c r="BX537" s="635"/>
      <c r="BY537" s="635"/>
      <c r="BZ537" s="635"/>
      <c r="CA537" s="635"/>
      <c r="CB537" s="635"/>
      <c r="CC537" s="635"/>
    </row>
    <row r="538" spans="2:81" collapsed="1">
      <c r="B538" s="310"/>
      <c r="C538" s="343"/>
      <c r="D538" s="310"/>
      <c r="E538" s="635"/>
      <c r="F538" s="348"/>
      <c r="G538" s="348"/>
      <c r="H538" s="348"/>
      <c r="I538" s="348"/>
      <c r="J538" s="348"/>
      <c r="K538" s="348"/>
      <c r="L538" s="873"/>
      <c r="M538" s="873"/>
      <c r="N538" s="1561"/>
      <c r="O538" s="873"/>
      <c r="P538" s="873"/>
      <c r="Q538" s="873"/>
      <c r="R538" s="873"/>
      <c r="S538" s="873"/>
      <c r="T538" s="945"/>
      <c r="U538" s="789"/>
      <c r="V538" s="635"/>
      <c r="W538" s="635"/>
      <c r="X538" s="635"/>
      <c r="Y538" s="635"/>
      <c r="Z538" s="635"/>
      <c r="AA538" s="635"/>
      <c r="AB538" s="635"/>
      <c r="AC538" s="635"/>
      <c r="AD538" s="635"/>
      <c r="AE538" s="635"/>
      <c r="AF538" s="635"/>
      <c r="AG538" s="635"/>
      <c r="AH538" s="635"/>
      <c r="AI538" s="635"/>
      <c r="AJ538" s="635"/>
      <c r="AK538" s="635"/>
      <c r="AL538" s="635"/>
      <c r="AM538" s="635"/>
      <c r="AN538" s="635"/>
      <c r="AO538" s="635"/>
      <c r="AP538" s="635"/>
      <c r="AQ538" s="635"/>
      <c r="AR538" s="635"/>
      <c r="AS538" s="635"/>
      <c r="AT538" s="635"/>
      <c r="AU538" s="635"/>
      <c r="AV538" s="635"/>
      <c r="AW538" s="635"/>
      <c r="AX538" s="635"/>
      <c r="AY538" s="945"/>
      <c r="AZ538" s="635"/>
      <c r="BA538" s="635"/>
      <c r="BB538" s="635"/>
      <c r="BC538" s="635"/>
      <c r="BD538" s="635"/>
      <c r="BE538" s="635"/>
      <c r="BF538" s="635"/>
      <c r="BG538" s="635"/>
      <c r="BH538" s="635"/>
      <c r="BI538" s="635"/>
      <c r="BJ538" s="635"/>
      <c r="BK538" s="635"/>
      <c r="BL538" s="635"/>
      <c r="BM538" s="635"/>
      <c r="BN538" s="635"/>
      <c r="BO538" s="635"/>
      <c r="BP538" s="635"/>
      <c r="BQ538" s="635"/>
      <c r="BR538" s="635"/>
      <c r="BS538" s="635"/>
      <c r="BT538" s="635"/>
      <c r="BU538" s="635"/>
      <c r="BV538" s="635"/>
      <c r="BW538" s="635"/>
      <c r="BX538" s="635"/>
      <c r="BY538" s="635"/>
      <c r="BZ538" s="635"/>
      <c r="CA538" s="635"/>
      <c r="CB538" s="635"/>
      <c r="CC538" s="635"/>
    </row>
    <row r="539" spans="2:81">
      <c r="B539" s="310"/>
      <c r="C539" s="343"/>
      <c r="D539" s="310"/>
      <c r="E539" s="635"/>
      <c r="F539" s="348"/>
      <c r="G539" s="348"/>
      <c r="H539" s="348"/>
      <c r="I539" s="348"/>
      <c r="J539" s="348"/>
      <c r="K539" s="348"/>
      <c r="L539" s="873"/>
      <c r="M539" s="873"/>
      <c r="N539" s="1561"/>
      <c r="O539" s="873"/>
      <c r="P539" s="873"/>
      <c r="Q539" s="873"/>
      <c r="R539" s="873"/>
      <c r="S539" s="873"/>
      <c r="T539" s="945"/>
      <c r="U539" s="789"/>
      <c r="V539" s="635"/>
      <c r="W539" s="635"/>
      <c r="X539" s="635"/>
      <c r="Y539" s="635"/>
      <c r="Z539" s="635"/>
      <c r="AA539" s="635"/>
      <c r="AB539" s="635"/>
      <c r="AC539" s="635"/>
      <c r="AD539" s="635"/>
      <c r="AE539" s="635"/>
      <c r="AF539" s="635"/>
      <c r="AG539" s="635"/>
      <c r="AH539" s="635"/>
      <c r="AI539" s="635"/>
      <c r="AJ539" s="635"/>
      <c r="AK539" s="635"/>
      <c r="AL539" s="635"/>
      <c r="AM539" s="635"/>
      <c r="AN539" s="635"/>
      <c r="AO539" s="635"/>
      <c r="AP539" s="635"/>
      <c r="AQ539" s="635"/>
      <c r="AR539" s="635"/>
      <c r="AS539" s="635"/>
      <c r="AT539" s="635"/>
      <c r="AU539" s="635"/>
      <c r="AV539" s="635"/>
      <c r="AW539" s="635"/>
      <c r="AX539" s="635"/>
      <c r="AY539" s="945"/>
      <c r="AZ539" s="635"/>
      <c r="BA539" s="635"/>
      <c r="BB539" s="635"/>
      <c r="BC539" s="635"/>
      <c r="BD539" s="635"/>
      <c r="BE539" s="635"/>
      <c r="BF539" s="635"/>
      <c r="BG539" s="635"/>
      <c r="BH539" s="635"/>
      <c r="BI539" s="635"/>
      <c r="BJ539" s="635"/>
      <c r="BK539" s="635"/>
      <c r="BL539" s="635"/>
      <c r="BM539" s="635"/>
      <c r="BN539" s="635"/>
      <c r="BO539" s="635"/>
      <c r="BP539" s="635"/>
      <c r="BQ539" s="635"/>
      <c r="BR539" s="635"/>
      <c r="BS539" s="635"/>
      <c r="BT539" s="635"/>
      <c r="BU539" s="635"/>
      <c r="BV539" s="635"/>
      <c r="BW539" s="635"/>
      <c r="BX539" s="635"/>
      <c r="BY539" s="635"/>
      <c r="BZ539" s="635"/>
      <c r="CA539" s="635"/>
      <c r="CB539" s="635"/>
      <c r="CC539" s="635"/>
    </row>
    <row r="540" spans="2:81" s="412" customFormat="1" ht="33.75">
      <c r="B540" s="906" t="s">
        <v>1252</v>
      </c>
      <c r="C540" s="906"/>
      <c r="D540" s="906"/>
      <c r="E540" s="907"/>
      <c r="F540" s="907"/>
      <c r="G540" s="908"/>
      <c r="H540" s="908"/>
      <c r="I540" s="908"/>
      <c r="J540" s="908"/>
      <c r="K540" s="909"/>
      <c r="L540" s="909"/>
      <c r="M540" s="909"/>
      <c r="N540" s="1557"/>
      <c r="O540" s="909"/>
      <c r="P540" s="909"/>
      <c r="Q540" s="909"/>
      <c r="R540" s="909"/>
      <c r="S540" s="909"/>
      <c r="T540" s="953"/>
      <c r="U540" s="1161">
        <f>D540</f>
        <v>0</v>
      </c>
      <c r="V540" s="936"/>
      <c r="W540" s="936"/>
      <c r="X540" s="936"/>
      <c r="Y540" s="936"/>
      <c r="Z540" s="936"/>
      <c r="AA540" s="936"/>
      <c r="AB540" s="936"/>
      <c r="AC540" s="936"/>
      <c r="AD540" s="936"/>
      <c r="AE540" s="936"/>
      <c r="AF540" s="936"/>
      <c r="AG540" s="936"/>
      <c r="AH540" s="936"/>
      <c r="AI540" s="936"/>
      <c r="AJ540" s="936"/>
      <c r="AK540" s="936"/>
      <c r="AL540" s="936"/>
      <c r="AM540" s="936"/>
      <c r="AN540" s="936"/>
      <c r="AO540" s="936"/>
      <c r="AP540" s="936"/>
      <c r="AQ540" s="936"/>
      <c r="AR540" s="936"/>
      <c r="AS540" s="936"/>
      <c r="AT540" s="936"/>
      <c r="AU540" s="936"/>
      <c r="AV540" s="936"/>
      <c r="AW540" s="936"/>
      <c r="AX540" s="936"/>
      <c r="AY540" s="953"/>
    </row>
    <row r="541" spans="2:81" hidden="1" outlineLevel="1">
      <c r="B541" s="310" t="s">
        <v>1167</v>
      </c>
      <c r="C541" s="343"/>
      <c r="D541" s="310" t="s">
        <v>1740</v>
      </c>
      <c r="E541" s="635"/>
      <c r="F541" s="630"/>
      <c r="G541" s="630"/>
      <c r="H541" s="630"/>
      <c r="I541" s="630"/>
      <c r="J541" s="630">
        <v>1509.9749999999999</v>
      </c>
      <c r="K541" s="630">
        <v>1827.9690000000001</v>
      </c>
      <c r="L541" s="630">
        <v>2480.94</v>
      </c>
      <c r="M541" s="1924"/>
      <c r="N541" s="1561"/>
      <c r="O541" s="873"/>
      <c r="P541" s="873"/>
      <c r="Q541" s="873"/>
      <c r="R541" s="873"/>
      <c r="S541" s="873"/>
      <c r="T541" s="945"/>
      <c r="U541" s="789"/>
      <c r="V541" s="635"/>
      <c r="W541" s="635"/>
      <c r="X541" s="635"/>
      <c r="Y541" s="635"/>
      <c r="Z541" s="635"/>
      <c r="AA541" s="635"/>
      <c r="AB541" s="635"/>
      <c r="AC541" s="635"/>
      <c r="AD541" s="635"/>
      <c r="AE541" s="635"/>
      <c r="AF541" s="635"/>
      <c r="AG541" s="635"/>
      <c r="AH541" s="635"/>
      <c r="AI541" s="635"/>
      <c r="AJ541" s="635"/>
      <c r="AK541" s="635"/>
      <c r="AL541" s="635"/>
      <c r="AM541" s="635"/>
      <c r="AN541" s="635"/>
      <c r="AO541" s="635"/>
      <c r="AP541" s="635"/>
      <c r="AQ541" s="635"/>
      <c r="AR541" s="635"/>
      <c r="AS541" s="635"/>
      <c r="AT541" s="635"/>
      <c r="AU541" s="635"/>
      <c r="AV541" s="635"/>
      <c r="AW541" s="635"/>
      <c r="AX541" s="635"/>
      <c r="AY541" s="945"/>
      <c r="AZ541" s="635"/>
      <c r="BA541" s="635"/>
      <c r="BB541" s="635"/>
      <c r="BC541" s="635"/>
      <c r="BD541" s="635"/>
      <c r="BE541" s="635"/>
      <c r="BF541" s="635"/>
      <c r="BG541" s="635"/>
      <c r="BH541" s="635"/>
      <c r="BI541" s="635"/>
      <c r="BJ541" s="635"/>
      <c r="BK541" s="635"/>
      <c r="BL541" s="635"/>
      <c r="BM541" s="635"/>
      <c r="BN541" s="635"/>
      <c r="BO541" s="635"/>
      <c r="BP541" s="635"/>
      <c r="BQ541" s="635"/>
      <c r="BR541" s="635"/>
      <c r="BS541" s="635"/>
      <c r="BT541" s="635"/>
      <c r="BU541" s="635"/>
      <c r="BV541" s="635"/>
      <c r="BW541" s="635"/>
      <c r="BX541" s="635"/>
      <c r="BY541" s="635"/>
      <c r="BZ541" s="635"/>
      <c r="CA541" s="635"/>
      <c r="CB541" s="635"/>
      <c r="CC541" s="635"/>
    </row>
    <row r="542" spans="2:81" collapsed="1">
      <c r="B542" s="310" t="s">
        <v>1167</v>
      </c>
      <c r="C542" s="343"/>
      <c r="D542" s="310" t="s">
        <v>1741</v>
      </c>
      <c r="E542" s="635"/>
      <c r="F542" s="630"/>
      <c r="G542" s="630"/>
      <c r="H542" s="630"/>
      <c r="I542" s="630"/>
      <c r="J542" s="630"/>
      <c r="K542" s="630"/>
      <c r="L542" s="630">
        <v>2527.462</v>
      </c>
      <c r="M542" s="1924">
        <v>3659.078</v>
      </c>
      <c r="N542" s="1561"/>
      <c r="O542" s="873"/>
      <c r="P542" s="873"/>
      <c r="Q542" s="873"/>
      <c r="R542" s="873"/>
      <c r="S542" s="873"/>
      <c r="T542" s="945"/>
      <c r="U542" s="789"/>
      <c r="V542" s="635"/>
      <c r="W542" s="635"/>
      <c r="X542" s="635"/>
      <c r="Y542" s="635"/>
      <c r="Z542" s="635"/>
      <c r="AA542" s="635"/>
      <c r="AB542" s="635"/>
      <c r="AC542" s="635"/>
      <c r="AD542" s="635"/>
      <c r="AE542" s="635"/>
      <c r="AF542" s="635"/>
      <c r="AG542" s="635"/>
      <c r="AH542" s="635"/>
      <c r="AI542" s="635"/>
      <c r="AJ542" s="635"/>
      <c r="AK542" s="635"/>
      <c r="AL542" s="635"/>
      <c r="AM542" s="635"/>
      <c r="AN542" s="635"/>
      <c r="AO542" s="635"/>
      <c r="AP542" s="635"/>
      <c r="AQ542" s="635"/>
      <c r="AR542" s="635"/>
      <c r="AS542" s="635"/>
      <c r="AT542" s="635"/>
      <c r="AU542" s="635"/>
      <c r="AV542" s="635"/>
      <c r="AW542" s="635"/>
      <c r="AX542" s="635"/>
      <c r="AY542" s="945"/>
      <c r="AZ542" s="635"/>
      <c r="BA542" s="635"/>
      <c r="BB542" s="635"/>
      <c r="BC542" s="635"/>
      <c r="BD542" s="635"/>
      <c r="BE542" s="635"/>
      <c r="BF542" s="635"/>
      <c r="BG542" s="635"/>
      <c r="BH542" s="635"/>
      <c r="BI542" s="635"/>
      <c r="BJ542" s="635"/>
      <c r="BK542" s="635"/>
      <c r="BL542" s="635"/>
      <c r="BM542" s="635"/>
      <c r="BN542" s="635"/>
      <c r="BO542" s="635"/>
      <c r="BP542" s="635"/>
      <c r="BQ542" s="635"/>
      <c r="BR542" s="635"/>
      <c r="BS542" s="635"/>
      <c r="BT542" s="635"/>
      <c r="BU542" s="635"/>
      <c r="BV542" s="635"/>
      <c r="BW542" s="635"/>
      <c r="BX542" s="635"/>
      <c r="BY542" s="635"/>
      <c r="BZ542" s="635"/>
      <c r="CA542" s="635"/>
      <c r="CB542" s="635"/>
      <c r="CC542" s="635"/>
    </row>
    <row r="543" spans="2:81">
      <c r="B543" s="310" t="s">
        <v>1057</v>
      </c>
      <c r="C543" s="343"/>
      <c r="D543" s="310" t="s">
        <v>1165</v>
      </c>
      <c r="E543" s="635"/>
      <c r="F543" s="630"/>
      <c r="G543" s="630"/>
      <c r="H543" s="630"/>
      <c r="I543" s="630"/>
      <c r="J543" s="630">
        <v>30.754999999999999</v>
      </c>
      <c r="K543" s="630">
        <v>30.754999999999999</v>
      </c>
      <c r="L543" s="630">
        <v>43.968000000000004</v>
      </c>
      <c r="M543" s="1924">
        <v>100.684</v>
      </c>
      <c r="N543" s="1561"/>
      <c r="O543" s="873"/>
      <c r="P543" s="873"/>
      <c r="Q543" s="873"/>
      <c r="R543" s="873"/>
      <c r="S543" s="873"/>
      <c r="T543" s="945"/>
      <c r="U543" s="789"/>
      <c r="V543" s="635"/>
      <c r="W543" s="635"/>
      <c r="X543" s="635"/>
      <c r="Y543" s="635"/>
      <c r="Z543" s="635"/>
      <c r="AA543" s="635"/>
      <c r="AB543" s="635"/>
      <c r="AC543" s="635"/>
      <c r="AD543" s="635"/>
      <c r="AE543" s="635"/>
      <c r="AF543" s="635"/>
      <c r="AG543" s="635"/>
      <c r="AH543" s="635"/>
      <c r="AI543" s="635"/>
      <c r="AJ543" s="635"/>
      <c r="AK543" s="635"/>
      <c r="AL543" s="635"/>
      <c r="AM543" s="635"/>
      <c r="AN543" s="635"/>
      <c r="AO543" s="635"/>
      <c r="AP543" s="635"/>
      <c r="AQ543" s="635"/>
      <c r="AR543" s="635"/>
      <c r="AS543" s="635"/>
      <c r="AT543" s="635"/>
      <c r="AU543" s="635"/>
      <c r="AV543" s="635"/>
      <c r="AW543" s="635"/>
      <c r="AX543" s="635"/>
      <c r="AY543" s="945"/>
      <c r="AZ543" s="635"/>
      <c r="BA543" s="635"/>
      <c r="BB543" s="635"/>
      <c r="BC543" s="635"/>
      <c r="BD543" s="635"/>
      <c r="BE543" s="635"/>
      <c r="BF543" s="635"/>
      <c r="BG543" s="635"/>
      <c r="BH543" s="635"/>
      <c r="BI543" s="635"/>
      <c r="BJ543" s="635"/>
      <c r="BK543" s="635"/>
      <c r="BL543" s="635"/>
      <c r="BM543" s="635"/>
      <c r="BN543" s="635"/>
      <c r="BO543" s="635"/>
      <c r="BP543" s="635"/>
      <c r="BQ543" s="635"/>
      <c r="BR543" s="635"/>
      <c r="BS543" s="635"/>
      <c r="BT543" s="635"/>
      <c r="BU543" s="635"/>
      <c r="BV543" s="635"/>
      <c r="BW543" s="635"/>
      <c r="BX543" s="635"/>
      <c r="BY543" s="635"/>
      <c r="BZ543" s="635"/>
      <c r="CA543" s="635"/>
      <c r="CB543" s="635"/>
      <c r="CC543" s="635"/>
    </row>
    <row r="544" spans="2:81">
      <c r="B544" s="841" t="s">
        <v>1739</v>
      </c>
      <c r="C544" s="302"/>
      <c r="D544" s="789" t="s">
        <v>1736</v>
      </c>
      <c r="E544" s="635"/>
      <c r="F544" s="630"/>
      <c r="G544" s="630"/>
      <c r="H544" s="630"/>
      <c r="I544" s="630"/>
      <c r="J544" s="630"/>
      <c r="K544" s="630"/>
      <c r="L544" s="630">
        <v>275.62900000000002</v>
      </c>
      <c r="M544" s="1924">
        <f>447587*(0.001)</f>
        <v>447.58699999999999</v>
      </c>
      <c r="N544" s="1561"/>
      <c r="O544" s="873"/>
      <c r="P544" s="873"/>
      <c r="Q544" s="873"/>
      <c r="R544" s="873"/>
      <c r="S544" s="873"/>
      <c r="T544" s="945"/>
      <c r="U544" s="789"/>
      <c r="V544" s="635"/>
      <c r="W544" s="635"/>
      <c r="X544" s="635"/>
      <c r="Y544" s="635"/>
      <c r="Z544" s="635"/>
      <c r="AA544" s="635"/>
      <c r="AB544" s="635"/>
      <c r="AC544" s="635"/>
      <c r="AD544" s="635"/>
      <c r="AE544" s="635"/>
      <c r="AF544" s="635"/>
      <c r="AG544" s="635"/>
      <c r="AH544" s="635"/>
      <c r="AI544" s="635"/>
      <c r="AJ544" s="635"/>
      <c r="AK544" s="635"/>
      <c r="AL544" s="635"/>
      <c r="AM544" s="635"/>
      <c r="AN544" s="635"/>
      <c r="AO544" s="635"/>
      <c r="AP544" s="635"/>
      <c r="AQ544" s="635"/>
      <c r="AR544" s="635"/>
      <c r="AS544" s="635"/>
      <c r="AT544" s="635"/>
      <c r="AU544" s="635"/>
      <c r="AV544" s="635"/>
      <c r="AW544" s="635"/>
      <c r="AX544" s="635"/>
      <c r="AY544" s="945"/>
      <c r="AZ544" s="635"/>
      <c r="BA544" s="635"/>
      <c r="BB544" s="635"/>
      <c r="BC544" s="635"/>
      <c r="BD544" s="635"/>
      <c r="BE544" s="635"/>
      <c r="BF544" s="635"/>
      <c r="BG544" s="635"/>
      <c r="BH544" s="635"/>
      <c r="BI544" s="635"/>
      <c r="BJ544" s="635"/>
      <c r="BK544" s="635"/>
      <c r="BL544" s="635"/>
      <c r="BM544" s="635"/>
      <c r="BN544" s="635"/>
      <c r="BO544" s="635"/>
      <c r="BP544" s="635"/>
      <c r="BQ544" s="635"/>
      <c r="BR544" s="635"/>
      <c r="BS544" s="635"/>
      <c r="BT544" s="635"/>
      <c r="BU544" s="635"/>
      <c r="BV544" s="635"/>
      <c r="BW544" s="635"/>
      <c r="BX544" s="635"/>
      <c r="BY544" s="635"/>
      <c r="BZ544" s="635"/>
      <c r="CA544" s="635"/>
      <c r="CB544" s="635"/>
      <c r="CC544" s="635"/>
    </row>
    <row r="545" spans="2:81">
      <c r="B545" s="310" t="s">
        <v>207</v>
      </c>
      <c r="C545" s="343"/>
      <c r="D545" s="310" t="s">
        <v>861</v>
      </c>
      <c r="E545" s="635"/>
      <c r="F545" s="630"/>
      <c r="G545" s="630"/>
      <c r="H545" s="630"/>
      <c r="I545" s="630"/>
      <c r="J545" s="630">
        <v>12.522</v>
      </c>
      <c r="K545" s="630">
        <v>12.827</v>
      </c>
      <c r="L545" s="630">
        <v>10.092000000000001</v>
      </c>
      <c r="M545" s="1924">
        <f>9139*(0.001)</f>
        <v>9.1389999999999993</v>
      </c>
      <c r="N545" s="1561"/>
      <c r="O545" s="873"/>
      <c r="P545" s="873"/>
      <c r="Q545" s="873"/>
      <c r="R545" s="873"/>
      <c r="S545" s="873"/>
      <c r="T545" s="945"/>
      <c r="U545" s="789"/>
      <c r="V545" s="635"/>
      <c r="W545" s="635"/>
      <c r="X545" s="635"/>
      <c r="Y545" s="635"/>
      <c r="Z545" s="635"/>
      <c r="AA545" s="635"/>
      <c r="AB545" s="635"/>
      <c r="AC545" s="635"/>
      <c r="AD545" s="635"/>
      <c r="AE545" s="635"/>
      <c r="AF545" s="635"/>
      <c r="AG545" s="635"/>
      <c r="AH545" s="635"/>
      <c r="AI545" s="635"/>
      <c r="AJ545" s="635"/>
      <c r="AK545" s="635"/>
      <c r="AL545" s="635"/>
      <c r="AM545" s="635"/>
      <c r="AN545" s="635"/>
      <c r="AO545" s="635"/>
      <c r="AP545" s="635"/>
      <c r="AQ545" s="635"/>
      <c r="AR545" s="635"/>
      <c r="AS545" s="635"/>
      <c r="AT545" s="635"/>
      <c r="AU545" s="635"/>
      <c r="AV545" s="635"/>
      <c r="AW545" s="635"/>
      <c r="AX545" s="635"/>
      <c r="AY545" s="945"/>
      <c r="AZ545" s="635"/>
      <c r="BA545" s="635"/>
      <c r="BB545" s="635"/>
      <c r="BC545" s="635"/>
      <c r="BD545" s="635"/>
      <c r="BE545" s="635"/>
      <c r="BF545" s="635"/>
      <c r="BG545" s="635"/>
      <c r="BH545" s="635"/>
      <c r="BI545" s="635"/>
      <c r="BJ545" s="635"/>
      <c r="BK545" s="635"/>
      <c r="BL545" s="635"/>
      <c r="BM545" s="635"/>
      <c r="BN545" s="635"/>
      <c r="BO545" s="635"/>
      <c r="BP545" s="635"/>
      <c r="BQ545" s="635"/>
      <c r="BR545" s="635"/>
      <c r="BS545" s="635"/>
      <c r="BT545" s="635"/>
      <c r="BU545" s="635"/>
      <c r="BV545" s="635"/>
      <c r="BW545" s="635"/>
      <c r="BX545" s="635"/>
      <c r="BY545" s="635"/>
      <c r="BZ545" s="635"/>
      <c r="CA545" s="635"/>
      <c r="CB545" s="635"/>
      <c r="CC545" s="635"/>
    </row>
    <row r="546" spans="2:81" hidden="1" outlineLevel="1">
      <c r="B546" s="310" t="s">
        <v>1168</v>
      </c>
      <c r="C546" s="343"/>
      <c r="D546" s="310" t="s">
        <v>1166</v>
      </c>
      <c r="E546" s="635"/>
      <c r="F546" s="630"/>
      <c r="G546" s="630"/>
      <c r="H546" s="630"/>
      <c r="I546" s="630"/>
      <c r="J546" s="630">
        <v>149.26</v>
      </c>
      <c r="K546" s="630">
        <v>184.011</v>
      </c>
      <c r="L546" s="630">
        <v>322.15100000000001</v>
      </c>
      <c r="M546" s="873"/>
      <c r="N546" s="1561"/>
      <c r="O546" s="873"/>
      <c r="P546" s="873"/>
      <c r="Q546" s="873"/>
      <c r="R546" s="873"/>
      <c r="S546" s="873"/>
      <c r="T546" s="945"/>
      <c r="U546" s="789"/>
      <c r="V546" s="635"/>
      <c r="W546" s="635"/>
      <c r="X546" s="635"/>
      <c r="Y546" s="635"/>
      <c r="Z546" s="635"/>
      <c r="AA546" s="635"/>
      <c r="AB546" s="635"/>
      <c r="AC546" s="635"/>
      <c r="AD546" s="635"/>
      <c r="AE546" s="635"/>
      <c r="AF546" s="635"/>
      <c r="AG546" s="635"/>
      <c r="AH546" s="635"/>
      <c r="AI546" s="635"/>
      <c r="AJ546" s="635"/>
      <c r="AK546" s="635"/>
      <c r="AL546" s="635"/>
      <c r="AM546" s="635"/>
      <c r="AN546" s="635"/>
      <c r="AO546" s="635"/>
      <c r="AP546" s="635"/>
      <c r="AQ546" s="635"/>
      <c r="AR546" s="635"/>
      <c r="AS546" s="635"/>
      <c r="AT546" s="635"/>
      <c r="AU546" s="635"/>
      <c r="AV546" s="635"/>
      <c r="AW546" s="635"/>
      <c r="AX546" s="635"/>
      <c r="AY546" s="945"/>
      <c r="AZ546" s="635"/>
      <c r="BA546" s="635"/>
      <c r="BB546" s="635"/>
      <c r="BC546" s="635"/>
      <c r="BD546" s="635"/>
      <c r="BE546" s="635"/>
      <c r="BF546" s="635"/>
      <c r="BG546" s="635"/>
      <c r="BH546" s="635"/>
      <c r="BI546" s="635"/>
      <c r="BJ546" s="635"/>
      <c r="BK546" s="635"/>
      <c r="BL546" s="635"/>
      <c r="BM546" s="635"/>
      <c r="BN546" s="635"/>
      <c r="BO546" s="635"/>
      <c r="BP546" s="635"/>
      <c r="BQ546" s="635"/>
      <c r="BR546" s="635"/>
      <c r="BS546" s="635"/>
      <c r="BT546" s="635"/>
      <c r="BU546" s="635"/>
      <c r="BV546" s="635"/>
      <c r="BW546" s="635"/>
      <c r="BX546" s="635"/>
      <c r="BY546" s="635"/>
      <c r="BZ546" s="635"/>
      <c r="CA546" s="635"/>
      <c r="CB546" s="635"/>
      <c r="CC546" s="635"/>
    </row>
    <row r="547" spans="2:81" collapsed="1">
      <c r="B547" s="789"/>
      <c r="C547" s="302"/>
      <c r="D547" s="789"/>
      <c r="E547" s="635"/>
      <c r="F547" s="630"/>
      <c r="G547" s="630"/>
      <c r="H547" s="630"/>
      <c r="I547" s="630"/>
      <c r="J547" s="630"/>
      <c r="K547" s="630"/>
      <c r="L547" s="630"/>
      <c r="M547" s="630"/>
      <c r="N547" s="1561"/>
      <c r="O547" s="873"/>
      <c r="P547" s="873"/>
      <c r="Q547" s="873"/>
      <c r="R547" s="873"/>
      <c r="S547" s="873"/>
      <c r="T547" s="945"/>
      <c r="U547" s="789"/>
      <c r="V547" s="635"/>
      <c r="W547" s="635"/>
      <c r="X547" s="635"/>
      <c r="Y547" s="635"/>
      <c r="Z547" s="635"/>
      <c r="AA547" s="635"/>
      <c r="AB547" s="635"/>
      <c r="AC547" s="635"/>
      <c r="AD547" s="635"/>
      <c r="AE547" s="635"/>
      <c r="AF547" s="635"/>
      <c r="AG547" s="635"/>
      <c r="AH547" s="635"/>
      <c r="AI547" s="635"/>
      <c r="AJ547" s="635"/>
      <c r="AK547" s="635"/>
      <c r="AL547" s="635"/>
      <c r="AM547" s="635"/>
      <c r="AN547" s="635"/>
      <c r="AO547" s="635"/>
      <c r="AP547" s="635"/>
      <c r="AQ547" s="635"/>
      <c r="AR547" s="635"/>
      <c r="AS547" s="635"/>
      <c r="AT547" s="635"/>
      <c r="AU547" s="635"/>
      <c r="AV547" s="635"/>
      <c r="AW547" s="635"/>
      <c r="AX547" s="635"/>
      <c r="AY547" s="945"/>
      <c r="AZ547" s="635"/>
      <c r="BA547" s="635"/>
      <c r="BB547" s="635"/>
      <c r="BC547" s="635"/>
      <c r="BD547" s="635"/>
      <c r="BE547" s="635"/>
      <c r="BF547" s="635"/>
      <c r="BG547" s="635"/>
      <c r="BH547" s="635"/>
      <c r="BI547" s="635"/>
      <c r="BJ547" s="635"/>
      <c r="BK547" s="635"/>
      <c r="BL547" s="635"/>
      <c r="BM547" s="635"/>
      <c r="BN547" s="635"/>
      <c r="BO547" s="635"/>
      <c r="BP547" s="635"/>
      <c r="BQ547" s="635"/>
      <c r="BR547" s="635"/>
      <c r="BS547" s="635"/>
      <c r="BT547" s="635"/>
      <c r="BU547" s="635"/>
      <c r="BV547" s="635"/>
      <c r="BW547" s="635"/>
      <c r="BX547" s="635"/>
      <c r="BY547" s="635"/>
      <c r="BZ547" s="635"/>
      <c r="CA547" s="635"/>
      <c r="CB547" s="635"/>
      <c r="CC547" s="635"/>
    </row>
    <row r="548" spans="2:81">
      <c r="B548" s="789" t="s">
        <v>1056</v>
      </c>
      <c r="C548" s="789"/>
      <c r="D548" s="789" t="s">
        <v>1092</v>
      </c>
      <c r="E548" s="635"/>
      <c r="F548" s="630"/>
      <c r="G548" s="630"/>
      <c r="H548" s="630"/>
      <c r="I548" s="630"/>
      <c r="J548" s="630"/>
      <c r="K548" s="630"/>
      <c r="L548" s="873"/>
      <c r="M548" s="873"/>
      <c r="N548" s="1561"/>
      <c r="O548" s="873"/>
      <c r="P548" s="873"/>
      <c r="Q548" s="873"/>
      <c r="R548" s="873"/>
      <c r="S548" s="873"/>
      <c r="T548" s="945"/>
      <c r="U548" s="789"/>
      <c r="V548" s="635"/>
      <c r="W548" s="635"/>
      <c r="X548" s="635"/>
      <c r="Y548" s="635"/>
      <c r="Z548" s="635"/>
      <c r="AA548" s="635"/>
      <c r="AB548" s="635"/>
      <c r="AC548" s="635"/>
      <c r="AD548" s="635"/>
      <c r="AE548" s="635"/>
      <c r="AF548" s="635"/>
      <c r="AG548" s="635"/>
      <c r="AH548" s="635"/>
      <c r="AI548" s="635"/>
      <c r="AJ548" s="635"/>
      <c r="AK548" s="635"/>
      <c r="AL548" s="635"/>
      <c r="AM548" s="635"/>
      <c r="AN548" s="635"/>
      <c r="AO548" s="635"/>
      <c r="AP548" s="635"/>
      <c r="AQ548" s="635"/>
      <c r="AR548" s="635"/>
      <c r="AS548" s="635"/>
      <c r="AT548" s="635"/>
      <c r="AU548" s="635"/>
      <c r="AV548" s="635"/>
      <c r="AW548" s="635"/>
      <c r="AX548" s="635"/>
      <c r="AY548" s="945"/>
      <c r="AZ548" s="635"/>
      <c r="BA548" s="635"/>
      <c r="BB548" s="635"/>
      <c r="BC548" s="635"/>
      <c r="BD548" s="635"/>
      <c r="BE548" s="635"/>
      <c r="BF548" s="635"/>
      <c r="BG548" s="635"/>
      <c r="BH548" s="635"/>
      <c r="BI548" s="635"/>
      <c r="BJ548" s="635"/>
      <c r="BK548" s="635"/>
      <c r="BL548" s="635"/>
      <c r="BM548" s="635"/>
      <c r="BN548" s="635"/>
      <c r="BO548" s="635"/>
      <c r="BP548" s="635"/>
      <c r="BQ548" s="635"/>
      <c r="BR548" s="635"/>
      <c r="BS548" s="635"/>
      <c r="BT548" s="635"/>
      <c r="BU548" s="635"/>
      <c r="BV548" s="635"/>
      <c r="BW548" s="635"/>
      <c r="BX548" s="635"/>
      <c r="BY548" s="635"/>
      <c r="BZ548" s="635"/>
      <c r="CA548" s="635"/>
      <c r="CB548" s="635"/>
      <c r="CC548" s="635"/>
    </row>
    <row r="549" spans="2:81" hidden="1" outlineLevel="1">
      <c r="B549" s="758" t="str">
        <f t="shared" ref="B549:B554" si="333">+B541</f>
        <v>Whole sales</v>
      </c>
      <c r="C549" s="310"/>
      <c r="D549" s="758" t="str">
        <f t="shared" ref="D549:D554" si="334">+D541</f>
        <v>经销 (Old)</v>
      </c>
      <c r="E549" s="635"/>
      <c r="F549" s="630"/>
      <c r="G549" s="630"/>
      <c r="H549" s="630"/>
      <c r="I549" s="630"/>
      <c r="J549" s="630"/>
      <c r="K549" s="1199">
        <f>K541/J541-1</f>
        <v>0.21059553966125288</v>
      </c>
      <c r="L549" s="1199">
        <f>L541/K541-1</f>
        <v>0.35721119997111539</v>
      </c>
      <c r="M549" s="1199"/>
      <c r="N549" s="1561"/>
      <c r="O549" s="873"/>
      <c r="P549" s="873"/>
      <c r="Q549" s="873"/>
      <c r="R549" s="873"/>
      <c r="S549" s="873"/>
      <c r="T549" s="945"/>
      <c r="U549" s="789"/>
      <c r="V549" s="635"/>
      <c r="W549" s="635"/>
      <c r="X549" s="635"/>
      <c r="Y549" s="635"/>
      <c r="Z549" s="635"/>
      <c r="AA549" s="635"/>
      <c r="AB549" s="635"/>
      <c r="AC549" s="635"/>
      <c r="AD549" s="635"/>
      <c r="AE549" s="635"/>
      <c r="AF549" s="635"/>
      <c r="AG549" s="635"/>
      <c r="AH549" s="635"/>
      <c r="AI549" s="635"/>
      <c r="AJ549" s="635"/>
      <c r="AK549" s="635"/>
      <c r="AL549" s="635"/>
      <c r="AM549" s="635"/>
      <c r="AN549" s="635"/>
      <c r="AO549" s="635"/>
      <c r="AP549" s="635"/>
      <c r="AQ549" s="635"/>
      <c r="AR549" s="635"/>
      <c r="AS549" s="635"/>
      <c r="AT549" s="635"/>
      <c r="AU549" s="635"/>
      <c r="AV549" s="635"/>
      <c r="AW549" s="635"/>
      <c r="AX549" s="635"/>
      <c r="AY549" s="945"/>
      <c r="AZ549" s="635"/>
      <c r="BA549" s="635"/>
      <c r="BB549" s="635"/>
      <c r="BC549" s="635"/>
      <c r="BD549" s="635"/>
      <c r="BE549" s="635"/>
      <c r="BF549" s="635"/>
      <c r="BG549" s="635"/>
      <c r="BH549" s="635"/>
      <c r="BI549" s="635"/>
      <c r="BJ549" s="635"/>
      <c r="BK549" s="635"/>
      <c r="BL549" s="635"/>
      <c r="BM549" s="635"/>
      <c r="BN549" s="635"/>
      <c r="BO549" s="635"/>
      <c r="BP549" s="635"/>
      <c r="BQ549" s="635"/>
      <c r="BR549" s="635"/>
      <c r="BS549" s="635"/>
      <c r="BT549" s="635"/>
      <c r="BU549" s="635"/>
      <c r="BV549" s="635"/>
      <c r="BW549" s="635"/>
      <c r="BX549" s="635"/>
      <c r="BY549" s="635"/>
      <c r="BZ549" s="635"/>
      <c r="CA549" s="635"/>
      <c r="CB549" s="635"/>
      <c r="CC549" s="635"/>
    </row>
    <row r="550" spans="2:81" collapsed="1">
      <c r="B550" s="758" t="str">
        <f t="shared" si="333"/>
        <v>Whole sales</v>
      </c>
      <c r="C550" s="310"/>
      <c r="D550" s="758" t="str">
        <f t="shared" si="334"/>
        <v>经销 (New)</v>
      </c>
      <c r="E550" s="635"/>
      <c r="F550" s="630"/>
      <c r="G550" s="630"/>
      <c r="H550" s="630"/>
      <c r="I550" s="630"/>
      <c r="J550" s="630"/>
      <c r="K550" s="1199"/>
      <c r="L550" s="1199"/>
      <c r="M550" s="1199">
        <f>M542/L542-1</f>
        <v>0.44772819532004826</v>
      </c>
      <c r="N550" s="1561"/>
      <c r="O550" s="873"/>
      <c r="P550" s="873"/>
      <c r="Q550" s="873"/>
      <c r="R550" s="873"/>
      <c r="S550" s="873"/>
      <c r="T550" s="945"/>
      <c r="U550" s="789"/>
      <c r="V550" s="635"/>
      <c r="W550" s="635"/>
      <c r="X550" s="635"/>
      <c r="Y550" s="635"/>
      <c r="Z550" s="635"/>
      <c r="AA550" s="635"/>
      <c r="AB550" s="635"/>
      <c r="AC550" s="635"/>
      <c r="AD550" s="635"/>
      <c r="AE550" s="635"/>
      <c r="AF550" s="635"/>
      <c r="AG550" s="635"/>
      <c r="AH550" s="635"/>
      <c r="AI550" s="635"/>
      <c r="AJ550" s="635"/>
      <c r="AK550" s="635"/>
      <c r="AL550" s="635"/>
      <c r="AM550" s="635"/>
      <c r="AN550" s="635"/>
      <c r="AO550" s="635"/>
      <c r="AP550" s="635"/>
      <c r="AQ550" s="635"/>
      <c r="AR550" s="635"/>
      <c r="AS550" s="635"/>
      <c r="AT550" s="635"/>
      <c r="AU550" s="635"/>
      <c r="AV550" s="635"/>
      <c r="AW550" s="635"/>
      <c r="AX550" s="635"/>
      <c r="AY550" s="945"/>
      <c r="AZ550" s="635"/>
      <c r="BA550" s="635"/>
      <c r="BB550" s="635"/>
      <c r="BC550" s="635"/>
      <c r="BD550" s="635"/>
      <c r="BE550" s="635"/>
      <c r="BF550" s="635"/>
      <c r="BG550" s="635"/>
      <c r="BH550" s="635"/>
      <c r="BI550" s="635"/>
      <c r="BJ550" s="635"/>
      <c r="BK550" s="635"/>
      <c r="BL550" s="635"/>
      <c r="BM550" s="635"/>
      <c r="BN550" s="635"/>
      <c r="BO550" s="635"/>
      <c r="BP550" s="635"/>
      <c r="BQ550" s="635"/>
      <c r="BR550" s="635"/>
      <c r="BS550" s="635"/>
      <c r="BT550" s="635"/>
      <c r="BU550" s="635"/>
      <c r="BV550" s="635"/>
      <c r="BW550" s="635"/>
      <c r="BX550" s="635"/>
      <c r="BY550" s="635"/>
      <c r="BZ550" s="635"/>
      <c r="CA550" s="635"/>
      <c r="CB550" s="635"/>
      <c r="CC550" s="635"/>
    </row>
    <row r="551" spans="2:81">
      <c r="B551" s="758" t="str">
        <f t="shared" si="333"/>
        <v>Online</v>
      </c>
      <c r="C551" s="310"/>
      <c r="D551" s="758" t="str">
        <f t="shared" si="334"/>
        <v>线上销售</v>
      </c>
      <c r="E551" s="635"/>
      <c r="F551" s="630"/>
      <c r="G551" s="630"/>
      <c r="H551" s="630"/>
      <c r="I551" s="630"/>
      <c r="J551" s="630"/>
      <c r="K551" s="1199">
        <f>K543/J543-1</f>
        <v>0</v>
      </c>
      <c r="L551" s="1199">
        <f>L543/K543-1</f>
        <v>0.42962119980490998</v>
      </c>
      <c r="M551" s="1199">
        <f>M543/L543-1</f>
        <v>1.289938136826783</v>
      </c>
      <c r="N551" s="1561"/>
      <c r="O551" s="873"/>
      <c r="P551" s="873"/>
      <c r="Q551" s="873"/>
      <c r="R551" s="873"/>
      <c r="S551" s="873"/>
      <c r="T551" s="945"/>
      <c r="U551" s="789"/>
      <c r="V551" s="635"/>
      <c r="W551" s="635"/>
      <c r="X551" s="635"/>
      <c r="Y551" s="635"/>
      <c r="Z551" s="635"/>
      <c r="AA551" s="635"/>
      <c r="AB551" s="635"/>
      <c r="AC551" s="635"/>
      <c r="AD551" s="635"/>
      <c r="AE551" s="635"/>
      <c r="AF551" s="635"/>
      <c r="AG551" s="635"/>
      <c r="AH551" s="635"/>
      <c r="AI551" s="635"/>
      <c r="AJ551" s="635"/>
      <c r="AK551" s="635"/>
      <c r="AL551" s="635"/>
      <c r="AM551" s="635"/>
      <c r="AN551" s="635"/>
      <c r="AO551" s="635"/>
      <c r="AP551" s="635"/>
      <c r="AQ551" s="635"/>
      <c r="AR551" s="635"/>
      <c r="AS551" s="635"/>
      <c r="AT551" s="635"/>
      <c r="AU551" s="635"/>
      <c r="AV551" s="635"/>
      <c r="AW551" s="635"/>
      <c r="AX551" s="635"/>
      <c r="AY551" s="945"/>
      <c r="AZ551" s="635"/>
      <c r="BA551" s="635"/>
      <c r="BB551" s="635"/>
      <c r="BC551" s="635"/>
      <c r="BD551" s="635"/>
      <c r="BE551" s="635"/>
      <c r="BF551" s="635"/>
      <c r="BG551" s="635"/>
      <c r="BH551" s="635"/>
      <c r="BI551" s="635"/>
      <c r="BJ551" s="635"/>
      <c r="BK551" s="635"/>
      <c r="BL551" s="635"/>
      <c r="BM551" s="635"/>
      <c r="BN551" s="635"/>
      <c r="BO551" s="635"/>
      <c r="BP551" s="635"/>
      <c r="BQ551" s="635"/>
      <c r="BR551" s="635"/>
      <c r="BS551" s="635"/>
      <c r="BT551" s="635"/>
      <c r="BU551" s="635"/>
      <c r="BV551" s="635"/>
      <c r="BW551" s="635"/>
      <c r="BX551" s="635"/>
      <c r="BY551" s="635"/>
      <c r="BZ551" s="635"/>
      <c r="CA551" s="635"/>
      <c r="CB551" s="635"/>
      <c r="CC551" s="635"/>
    </row>
    <row r="552" spans="2:81">
      <c r="B552" s="758" t="str">
        <f t="shared" si="333"/>
        <v>KA</v>
      </c>
      <c r="C552" s="310"/>
      <c r="D552" s="758" t="str">
        <f t="shared" si="334"/>
        <v xml:space="preserve">重客 </v>
      </c>
      <c r="E552" s="635"/>
      <c r="F552" s="630"/>
      <c r="G552" s="630"/>
      <c r="H552" s="630"/>
      <c r="I552" s="630"/>
      <c r="J552" s="630"/>
      <c r="K552" s="1199"/>
      <c r="L552" s="1199"/>
      <c r="M552" s="1199">
        <f>M544/L544-1</f>
        <v>0.62387484626073442</v>
      </c>
      <c r="N552" s="1561"/>
      <c r="O552" s="873"/>
      <c r="P552" s="873"/>
      <c r="Q552" s="873"/>
      <c r="R552" s="873"/>
      <c r="S552" s="873"/>
      <c r="T552" s="945"/>
      <c r="U552" s="789"/>
      <c r="V552" s="635"/>
      <c r="W552" s="635"/>
      <c r="X552" s="635"/>
      <c r="Y552" s="635"/>
      <c r="Z552" s="635"/>
      <c r="AA552" s="635"/>
      <c r="AB552" s="635"/>
      <c r="AC552" s="635"/>
      <c r="AD552" s="635"/>
      <c r="AE552" s="635"/>
      <c r="AF552" s="635"/>
      <c r="AG552" s="635"/>
      <c r="AH552" s="635"/>
      <c r="AI552" s="635"/>
      <c r="AJ552" s="635"/>
      <c r="AK552" s="635"/>
      <c r="AL552" s="635"/>
      <c r="AM552" s="635"/>
      <c r="AN552" s="635"/>
      <c r="AO552" s="635"/>
      <c r="AP552" s="635"/>
      <c r="AQ552" s="635"/>
      <c r="AR552" s="635"/>
      <c r="AS552" s="635"/>
      <c r="AT552" s="635"/>
      <c r="AU552" s="635"/>
      <c r="AV552" s="635"/>
      <c r="AW552" s="635"/>
      <c r="AX552" s="635"/>
      <c r="AY552" s="945"/>
      <c r="AZ552" s="635"/>
      <c r="BA552" s="635"/>
      <c r="BB552" s="635"/>
      <c r="BC552" s="635"/>
      <c r="BD552" s="635"/>
      <c r="BE552" s="635"/>
      <c r="BF552" s="635"/>
      <c r="BG552" s="635"/>
      <c r="BH552" s="635"/>
      <c r="BI552" s="635"/>
      <c r="BJ552" s="635"/>
      <c r="BK552" s="635"/>
      <c r="BL552" s="635"/>
      <c r="BM552" s="635"/>
      <c r="BN552" s="635"/>
      <c r="BO552" s="635"/>
      <c r="BP552" s="635"/>
      <c r="BQ552" s="635"/>
      <c r="BR552" s="635"/>
      <c r="BS552" s="635"/>
      <c r="BT552" s="635"/>
      <c r="BU552" s="635"/>
      <c r="BV552" s="635"/>
      <c r="BW552" s="635"/>
      <c r="BX552" s="635"/>
      <c r="BY552" s="635"/>
      <c r="BZ552" s="635"/>
      <c r="CA552" s="635"/>
      <c r="CB552" s="635"/>
      <c r="CC552" s="635"/>
    </row>
    <row r="553" spans="2:81">
      <c r="B553" s="758" t="str">
        <f t="shared" si="333"/>
        <v>Others</v>
      </c>
      <c r="C553" s="310"/>
      <c r="D553" s="758" t="str">
        <f t="shared" si="334"/>
        <v>其他</v>
      </c>
      <c r="E553" s="635"/>
      <c r="F553" s="630"/>
      <c r="G553" s="630"/>
      <c r="H553" s="630"/>
      <c r="I553" s="630"/>
      <c r="J553" s="630"/>
      <c r="K553" s="1199">
        <f>K545/J545-1</f>
        <v>2.4357131448650371E-2</v>
      </c>
      <c r="L553" s="1199">
        <f>L545/K545-1</f>
        <v>-0.21322210961253596</v>
      </c>
      <c r="M553" s="1199">
        <f>M545/L545-1</f>
        <v>-9.443123265953246E-2</v>
      </c>
      <c r="N553" s="1561"/>
      <c r="O553" s="873"/>
      <c r="P553" s="873"/>
      <c r="Q553" s="873"/>
      <c r="R553" s="873"/>
      <c r="S553" s="873"/>
      <c r="T553" s="945"/>
      <c r="U553" s="789"/>
      <c r="V553" s="635"/>
      <c r="W553" s="635"/>
      <c r="X553" s="635"/>
      <c r="Y553" s="635"/>
      <c r="Z553" s="635"/>
      <c r="AA553" s="635"/>
      <c r="AB553" s="635"/>
      <c r="AC553" s="635"/>
      <c r="AD553" s="635"/>
      <c r="AE553" s="635"/>
      <c r="AF553" s="635"/>
      <c r="AG553" s="635"/>
      <c r="AH553" s="635"/>
      <c r="AI553" s="635"/>
      <c r="AJ553" s="635"/>
      <c r="AK553" s="635"/>
      <c r="AL553" s="635"/>
      <c r="AM553" s="635"/>
      <c r="AN553" s="635"/>
      <c r="AO553" s="635"/>
      <c r="AP553" s="635"/>
      <c r="AQ553" s="635"/>
      <c r="AR553" s="635"/>
      <c r="AS553" s="635"/>
      <c r="AT553" s="635"/>
      <c r="AU553" s="635"/>
      <c r="AV553" s="635"/>
      <c r="AW553" s="635"/>
      <c r="AX553" s="635"/>
      <c r="AY553" s="945"/>
      <c r="AZ553" s="635"/>
      <c r="BA553" s="635"/>
      <c r="BB553" s="635"/>
      <c r="BC553" s="635"/>
      <c r="BD553" s="635"/>
      <c r="BE553" s="635"/>
      <c r="BF553" s="635"/>
      <c r="BG553" s="635"/>
      <c r="BH553" s="635"/>
      <c r="BI553" s="635"/>
      <c r="BJ553" s="635"/>
      <c r="BK553" s="635"/>
      <c r="BL553" s="635"/>
      <c r="BM553" s="635"/>
      <c r="BN553" s="635"/>
      <c r="BO553" s="635"/>
      <c r="BP553" s="635"/>
      <c r="BQ553" s="635"/>
      <c r="BR553" s="635"/>
      <c r="BS553" s="635"/>
      <c r="BT553" s="635"/>
      <c r="BU553" s="635"/>
      <c r="BV553" s="635"/>
      <c r="BW553" s="635"/>
      <c r="BX553" s="635"/>
      <c r="BY553" s="635"/>
      <c r="BZ553" s="635"/>
      <c r="CA553" s="635"/>
      <c r="CB553" s="635"/>
      <c r="CC553" s="635"/>
    </row>
    <row r="554" spans="2:81" hidden="1" outlineLevel="1">
      <c r="B554" s="758" t="str">
        <f t="shared" si="333"/>
        <v>Direct sales</v>
      </c>
      <c r="C554" s="310"/>
      <c r="D554" s="758" t="str">
        <f t="shared" si="334"/>
        <v>直营</v>
      </c>
      <c r="E554" s="635"/>
      <c r="F554" s="630"/>
      <c r="G554" s="630"/>
      <c r="H554" s="630"/>
      <c r="I554" s="630"/>
      <c r="J554" s="630"/>
      <c r="K554" s="1199">
        <f>K546/J546-1</f>
        <v>0.23282192147929792</v>
      </c>
      <c r="L554" s="1199">
        <f>L546/K546-1</f>
        <v>0.75071598980495735</v>
      </c>
      <c r="M554" s="1199"/>
      <c r="N554" s="1561"/>
      <c r="O554" s="873"/>
      <c r="P554" s="873"/>
      <c r="Q554" s="873"/>
      <c r="R554" s="873"/>
      <c r="S554" s="873"/>
      <c r="T554" s="945"/>
      <c r="U554" s="789"/>
      <c r="V554" s="635"/>
      <c r="W554" s="635"/>
      <c r="X554" s="635"/>
      <c r="Y554" s="635"/>
      <c r="Z554" s="635"/>
      <c r="AA554" s="635"/>
      <c r="AB554" s="635"/>
      <c r="AC554" s="635"/>
      <c r="AD554" s="635"/>
      <c r="AE554" s="635"/>
      <c r="AF554" s="635"/>
      <c r="AG554" s="635"/>
      <c r="AH554" s="635"/>
      <c r="AI554" s="635"/>
      <c r="AJ554" s="635"/>
      <c r="AK554" s="635"/>
      <c r="AL554" s="635"/>
      <c r="AM554" s="635"/>
      <c r="AN554" s="635"/>
      <c r="AO554" s="635"/>
      <c r="AP554" s="635"/>
      <c r="AQ554" s="635"/>
      <c r="AR554" s="635"/>
      <c r="AS554" s="635"/>
      <c r="AT554" s="635"/>
      <c r="AU554" s="635"/>
      <c r="AV554" s="635"/>
      <c r="AW554" s="635"/>
      <c r="AX554" s="635"/>
      <c r="AY554" s="945"/>
      <c r="AZ554" s="635"/>
      <c r="BA554" s="635"/>
      <c r="BB554" s="635"/>
      <c r="BC554" s="635"/>
      <c r="BD554" s="635"/>
      <c r="BE554" s="635"/>
      <c r="BF554" s="635"/>
      <c r="BG554" s="635"/>
      <c r="BH554" s="635"/>
      <c r="BI554" s="635"/>
      <c r="BJ554" s="635"/>
      <c r="BK554" s="635"/>
      <c r="BL554" s="635"/>
      <c r="BM554" s="635"/>
      <c r="BN554" s="635"/>
      <c r="BO554" s="635"/>
      <c r="BP554" s="635"/>
      <c r="BQ554" s="635"/>
      <c r="BR554" s="635"/>
      <c r="BS554" s="635"/>
      <c r="BT554" s="635"/>
      <c r="BU554" s="635"/>
      <c r="BV554" s="635"/>
      <c r="BW554" s="635"/>
      <c r="BX554" s="635"/>
      <c r="BY554" s="635"/>
      <c r="BZ554" s="635"/>
      <c r="CA554" s="635"/>
      <c r="CB554" s="635"/>
      <c r="CC554" s="635"/>
    </row>
    <row r="555" spans="2:81" collapsed="1">
      <c r="B555" s="789"/>
      <c r="C555" s="302"/>
      <c r="D555" s="789"/>
      <c r="E555" s="635"/>
      <c r="F555" s="630"/>
      <c r="G555" s="630"/>
      <c r="H555" s="630"/>
      <c r="I555" s="630"/>
      <c r="J555" s="630"/>
      <c r="K555" s="630"/>
      <c r="L555" s="630"/>
      <c r="M555" s="630"/>
      <c r="N555" s="1561"/>
      <c r="O555" s="873"/>
      <c r="P555" s="873"/>
      <c r="Q555" s="873"/>
      <c r="R555" s="873"/>
      <c r="S555" s="873"/>
      <c r="T555" s="945"/>
      <c r="U555" s="789"/>
      <c r="V555" s="635"/>
      <c r="W555" s="635"/>
      <c r="X555" s="635"/>
      <c r="Y555" s="635"/>
      <c r="Z555" s="635"/>
      <c r="AA555" s="635"/>
      <c r="AB555" s="635"/>
      <c r="AC555" s="635"/>
      <c r="AD555" s="635"/>
      <c r="AE555" s="635"/>
      <c r="AF555" s="635"/>
      <c r="AG555" s="635"/>
      <c r="AH555" s="635"/>
      <c r="AI555" s="635"/>
      <c r="AJ555" s="635"/>
      <c r="AK555" s="635"/>
      <c r="AL555" s="635"/>
      <c r="AM555" s="635"/>
      <c r="AN555" s="635"/>
      <c r="AO555" s="635"/>
      <c r="AP555" s="635"/>
      <c r="AQ555" s="635"/>
      <c r="AR555" s="635"/>
      <c r="AS555" s="635"/>
      <c r="AT555" s="635"/>
      <c r="AU555" s="635"/>
      <c r="AV555" s="635"/>
      <c r="AW555" s="635"/>
      <c r="AX555" s="635"/>
      <c r="AY555" s="945"/>
      <c r="AZ555" s="635"/>
      <c r="BA555" s="635"/>
      <c r="BB555" s="635"/>
      <c r="BC555" s="635"/>
      <c r="BD555" s="635"/>
      <c r="BE555" s="635"/>
      <c r="BF555" s="635"/>
      <c r="BG555" s="635"/>
      <c r="BH555" s="635"/>
      <c r="BI555" s="635"/>
      <c r="BJ555" s="635"/>
      <c r="BK555" s="635"/>
      <c r="BL555" s="635"/>
      <c r="BM555" s="635"/>
      <c r="BN555" s="635"/>
      <c r="BO555" s="635"/>
      <c r="BP555" s="635"/>
      <c r="BQ555" s="635"/>
      <c r="BR555" s="635"/>
      <c r="BS555" s="635"/>
      <c r="BT555" s="635"/>
      <c r="BU555" s="635"/>
      <c r="BV555" s="635"/>
      <c r="BW555" s="635"/>
      <c r="BX555" s="635"/>
      <c r="BY555" s="635"/>
      <c r="BZ555" s="635"/>
      <c r="CA555" s="635"/>
      <c r="CB555" s="635"/>
      <c r="CC555" s="635"/>
    </row>
    <row r="556" spans="2:81">
      <c r="B556" s="1164" t="s">
        <v>1253</v>
      </c>
      <c r="C556" s="302"/>
      <c r="D556" s="789"/>
      <c r="E556" s="635"/>
      <c r="F556" s="630"/>
      <c r="G556" s="630"/>
      <c r="H556" s="630"/>
      <c r="I556" s="630"/>
      <c r="J556" s="630"/>
      <c r="K556" s="630"/>
      <c r="L556" s="630"/>
      <c r="M556" s="630"/>
      <c r="N556" s="1561"/>
      <c r="O556" s="873"/>
      <c r="P556" s="873"/>
      <c r="Q556" s="873"/>
      <c r="R556" s="873"/>
      <c r="S556" s="873"/>
      <c r="T556" s="945"/>
      <c r="U556" s="789"/>
      <c r="V556" s="635"/>
      <c r="W556" s="635"/>
      <c r="X556" s="635"/>
      <c r="Y556" s="635"/>
      <c r="Z556" s="635"/>
      <c r="AA556" s="635"/>
      <c r="AB556" s="635"/>
      <c r="AC556" s="635"/>
      <c r="AD556" s="635"/>
      <c r="AE556" s="635"/>
      <c r="AF556" s="635"/>
      <c r="AG556" s="635"/>
      <c r="AH556" s="635"/>
      <c r="AI556" s="635"/>
      <c r="AJ556" s="635"/>
      <c r="AK556" s="635"/>
      <c r="AL556" s="635"/>
      <c r="AM556" s="635"/>
      <c r="AN556" s="635"/>
      <c r="AO556" s="635"/>
      <c r="AP556" s="635"/>
      <c r="AQ556" s="635"/>
      <c r="AR556" s="635"/>
      <c r="AS556" s="635"/>
      <c r="AT556" s="635"/>
      <c r="AU556" s="635"/>
      <c r="AV556" s="635"/>
      <c r="AW556" s="635"/>
      <c r="AX556" s="635"/>
      <c r="AY556" s="945"/>
      <c r="AZ556" s="635"/>
      <c r="BA556" s="635"/>
      <c r="BB556" s="635"/>
      <c r="BC556" s="635"/>
      <c r="BD556" s="635"/>
      <c r="BE556" s="635"/>
      <c r="BF556" s="635"/>
      <c r="BG556" s="635"/>
      <c r="BH556" s="635"/>
      <c r="BI556" s="635"/>
      <c r="BJ556" s="635"/>
      <c r="BK556" s="635"/>
      <c r="BL556" s="635"/>
      <c r="BM556" s="635"/>
      <c r="BN556" s="635"/>
      <c r="BO556" s="635"/>
      <c r="BP556" s="635"/>
      <c r="BQ556" s="635"/>
      <c r="BR556" s="635"/>
      <c r="BS556" s="635"/>
      <c r="BT556" s="635"/>
      <c r="BU556" s="635"/>
      <c r="BV556" s="635"/>
      <c r="BW556" s="635"/>
      <c r="BX556" s="635"/>
      <c r="BY556" s="635"/>
      <c r="BZ556" s="635"/>
      <c r="CA556" s="635"/>
      <c r="CB556" s="635"/>
      <c r="CC556" s="635"/>
    </row>
    <row r="557" spans="2:81">
      <c r="B557" s="758" t="str">
        <f>+B549</f>
        <v>Whole sales</v>
      </c>
      <c r="C557" s="310"/>
      <c r="D557" s="758" t="str">
        <f>+D549</f>
        <v>经销 (Old)</v>
      </c>
      <c r="E557" s="635"/>
      <c r="F557" s="630"/>
      <c r="G557" s="630"/>
      <c r="H557" s="630"/>
      <c r="I557" s="630"/>
      <c r="J557" s="874">
        <f>J499/J541</f>
        <v>4.0875237522740449</v>
      </c>
      <c r="K557" s="874">
        <f>K499/K541</f>
        <v>4.1472384318333626</v>
      </c>
      <c r="L557" s="874">
        <f>L499/L541</f>
        <v>3.9332572383854507</v>
      </c>
      <c r="M557" s="874"/>
      <c r="N557" s="1561"/>
      <c r="O557" s="873"/>
      <c r="P557" s="873"/>
      <c r="Q557" s="873"/>
      <c r="R557" s="873"/>
      <c r="S557" s="873"/>
      <c r="T557" s="945"/>
      <c r="U557" s="789"/>
      <c r="V557" s="635"/>
      <c r="W557" s="635"/>
      <c r="X557" s="635"/>
      <c r="Y557" s="635"/>
      <c r="Z557" s="635"/>
      <c r="AA557" s="635"/>
      <c r="AB557" s="635"/>
      <c r="AC557" s="635"/>
      <c r="AD557" s="635"/>
      <c r="AE557" s="635"/>
      <c r="AF557" s="635"/>
      <c r="AG557" s="635"/>
      <c r="AH557" s="635"/>
      <c r="AI557" s="635"/>
      <c r="AJ557" s="635"/>
      <c r="AK557" s="635"/>
      <c r="AL557" s="635"/>
      <c r="AM557" s="635"/>
      <c r="AN557" s="635"/>
      <c r="AO557" s="635"/>
      <c r="AP557" s="635"/>
      <c r="AQ557" s="635"/>
      <c r="AR557" s="635"/>
      <c r="AS557" s="635"/>
      <c r="AT557" s="635"/>
      <c r="AU557" s="635"/>
      <c r="AV557" s="635"/>
      <c r="AW557" s="635"/>
      <c r="AX557" s="635"/>
      <c r="AY557" s="945"/>
      <c r="AZ557" s="635"/>
      <c r="BA557" s="635"/>
      <c r="BB557" s="635"/>
      <c r="BC557" s="635"/>
      <c r="BD557" s="635"/>
      <c r="BE557" s="635"/>
      <c r="BF557" s="635"/>
      <c r="BG557" s="635"/>
      <c r="BH557" s="635"/>
      <c r="BI557" s="635"/>
      <c r="BJ557" s="635"/>
      <c r="BK557" s="635"/>
      <c r="BL557" s="635"/>
      <c r="BM557" s="635"/>
      <c r="BN557" s="635"/>
      <c r="BO557" s="635"/>
      <c r="BP557" s="635"/>
      <c r="BQ557" s="635"/>
      <c r="BR557" s="635"/>
      <c r="BS557" s="635"/>
      <c r="BT557" s="635"/>
      <c r="BU557" s="635"/>
      <c r="BV557" s="635"/>
      <c r="BW557" s="635"/>
      <c r="BX557" s="635"/>
      <c r="BY557" s="635"/>
      <c r="BZ557" s="635"/>
      <c r="CA557" s="635"/>
      <c r="CB557" s="635"/>
      <c r="CC557" s="635"/>
    </row>
    <row r="558" spans="2:81" collapsed="1">
      <c r="B558" s="758" t="str">
        <f>+B550</f>
        <v>Whole sales</v>
      </c>
      <c r="C558" s="310"/>
      <c r="D558" s="758" t="str">
        <f>+D550</f>
        <v>经销 (New)</v>
      </c>
      <c r="E558" s="635"/>
      <c r="F558" s="630"/>
      <c r="G558" s="630"/>
      <c r="H558" s="630"/>
      <c r="I558" s="630"/>
      <c r="J558" s="630"/>
      <c r="K558" s="1199"/>
      <c r="L558" s="1199"/>
      <c r="M558" s="874">
        <f>M500/M542</f>
        <v>3.7185831227921353</v>
      </c>
      <c r="N558" s="1561"/>
      <c r="O558" s="873"/>
      <c r="P558" s="873"/>
      <c r="Q558" s="873"/>
      <c r="R558" s="873"/>
      <c r="S558" s="873"/>
      <c r="T558" s="945"/>
      <c r="U558" s="789"/>
      <c r="V558" s="635"/>
      <c r="W558" s="635"/>
      <c r="X558" s="635"/>
      <c r="Y558" s="635"/>
      <c r="Z558" s="635"/>
      <c r="AA558" s="635"/>
      <c r="AB558" s="635"/>
      <c r="AC558" s="635"/>
      <c r="AD558" s="635"/>
      <c r="AE558" s="635"/>
      <c r="AF558" s="635"/>
      <c r="AG558" s="635"/>
      <c r="AH558" s="635"/>
      <c r="AI558" s="635"/>
      <c r="AJ558" s="635"/>
      <c r="AK558" s="635"/>
      <c r="AL558" s="635"/>
      <c r="AM558" s="635"/>
      <c r="AN558" s="635"/>
      <c r="AO558" s="635"/>
      <c r="AP558" s="635"/>
      <c r="AQ558" s="635"/>
      <c r="AR558" s="635"/>
      <c r="AS558" s="635"/>
      <c r="AT558" s="635"/>
      <c r="AU558" s="635"/>
      <c r="AV558" s="635"/>
      <c r="AW558" s="635"/>
      <c r="AX558" s="635"/>
      <c r="AY558" s="945"/>
      <c r="AZ558" s="635"/>
      <c r="BA558" s="635"/>
      <c r="BB558" s="635"/>
      <c r="BC558" s="635"/>
      <c r="BD558" s="635"/>
      <c r="BE558" s="635"/>
      <c r="BF558" s="635"/>
      <c r="BG558" s="635"/>
      <c r="BH558" s="635"/>
      <c r="BI558" s="635"/>
      <c r="BJ558" s="635"/>
      <c r="BK558" s="635"/>
      <c r="BL558" s="635"/>
      <c r="BM558" s="635"/>
      <c r="BN558" s="635"/>
      <c r="BO558" s="635"/>
      <c r="BP558" s="635"/>
      <c r="BQ558" s="635"/>
      <c r="BR558" s="635"/>
      <c r="BS558" s="635"/>
      <c r="BT558" s="635"/>
      <c r="BU558" s="635"/>
      <c r="BV558" s="635"/>
      <c r="BW558" s="635"/>
      <c r="BX558" s="635"/>
      <c r="BY558" s="635"/>
      <c r="BZ558" s="635"/>
      <c r="CA558" s="635"/>
      <c r="CB558" s="635"/>
      <c r="CC558" s="635"/>
    </row>
    <row r="559" spans="2:81">
      <c r="B559" s="758" t="str">
        <f>+B551</f>
        <v>Online</v>
      </c>
      <c r="C559" s="310"/>
      <c r="D559" s="758" t="str">
        <f>+D551</f>
        <v>线上销售</v>
      </c>
      <c r="E559" s="635"/>
      <c r="F559" s="630"/>
      <c r="G559" s="630"/>
      <c r="H559" s="630"/>
      <c r="I559" s="630"/>
      <c r="J559" s="874">
        <f>J501/J543</f>
        <v>3.4737694904893512</v>
      </c>
      <c r="K559" s="874">
        <f>K501/K543</f>
        <v>4.6203270528369371</v>
      </c>
      <c r="L559" s="874">
        <f>L501/L543</f>
        <v>4.6694850655021831</v>
      </c>
      <c r="M559" s="874">
        <f>M501/M543</f>
        <v>4.4239173443645461</v>
      </c>
      <c r="N559" s="1561"/>
      <c r="O559" s="873"/>
      <c r="P559" s="873"/>
      <c r="Q559" s="873"/>
      <c r="R559" s="873"/>
      <c r="S559" s="873"/>
      <c r="T559" s="945"/>
      <c r="U559" s="789"/>
      <c r="V559" s="635"/>
      <c r="W559" s="635"/>
      <c r="X559" s="635"/>
      <c r="Y559" s="635"/>
      <c r="Z559" s="635"/>
      <c r="AA559" s="635"/>
      <c r="AB559" s="635"/>
      <c r="AC559" s="635"/>
      <c r="AD559" s="635"/>
      <c r="AE559" s="635"/>
      <c r="AF559" s="635"/>
      <c r="AG559" s="635"/>
      <c r="AH559" s="635"/>
      <c r="AI559" s="635"/>
      <c r="AJ559" s="635"/>
      <c r="AK559" s="635"/>
      <c r="AL559" s="635"/>
      <c r="AM559" s="635"/>
      <c r="AN559" s="635"/>
      <c r="AO559" s="635"/>
      <c r="AP559" s="635"/>
      <c r="AQ559" s="635"/>
      <c r="AR559" s="635"/>
      <c r="AS559" s="635"/>
      <c r="AT559" s="635"/>
      <c r="AU559" s="635"/>
      <c r="AV559" s="635"/>
      <c r="AW559" s="635"/>
      <c r="AX559" s="635"/>
      <c r="AY559" s="945"/>
      <c r="AZ559" s="635"/>
      <c r="BA559" s="635"/>
      <c r="BB559" s="635"/>
      <c r="BC559" s="635"/>
      <c r="BD559" s="635"/>
      <c r="BE559" s="635"/>
      <c r="BF559" s="635"/>
      <c r="BG559" s="635"/>
      <c r="BH559" s="635"/>
      <c r="BI559" s="635"/>
      <c r="BJ559" s="635"/>
      <c r="BK559" s="635"/>
      <c r="BL559" s="635"/>
      <c r="BM559" s="635"/>
      <c r="BN559" s="635"/>
      <c r="BO559" s="635"/>
      <c r="BP559" s="635"/>
      <c r="BQ559" s="635"/>
      <c r="BR559" s="635"/>
      <c r="BS559" s="635"/>
      <c r="BT559" s="635"/>
      <c r="BU559" s="635"/>
      <c r="BV559" s="635"/>
      <c r="BW559" s="635"/>
      <c r="BX559" s="635"/>
      <c r="BY559" s="635"/>
      <c r="BZ559" s="635"/>
      <c r="CA559" s="635"/>
      <c r="CB559" s="635"/>
      <c r="CC559" s="635"/>
    </row>
    <row r="560" spans="2:81" ht="9.75" customHeight="1">
      <c r="B560" s="758" t="str">
        <f>+B553</f>
        <v>Others</v>
      </c>
      <c r="C560" s="310"/>
      <c r="D560" s="758" t="str">
        <f>+D553</f>
        <v>其他</v>
      </c>
      <c r="E560" s="635"/>
      <c r="F560" s="630"/>
      <c r="G560" s="630"/>
      <c r="H560" s="630"/>
      <c r="I560" s="630"/>
      <c r="J560" s="874">
        <f>J503/J545</f>
        <v>2.2888580258744611</v>
      </c>
      <c r="K560" s="874">
        <f>K503/K545</f>
        <v>2.5701099243782646</v>
      </c>
      <c r="L560" s="874">
        <f>L503/L545</f>
        <v>2.6654903468093538</v>
      </c>
      <c r="M560" s="874">
        <f>M503/M545</f>
        <v>2.8703842280337022</v>
      </c>
      <c r="N560" s="1561"/>
      <c r="O560" s="873"/>
      <c r="P560" s="873"/>
      <c r="Q560" s="873"/>
      <c r="R560" s="873"/>
      <c r="S560" s="873"/>
      <c r="T560" s="945"/>
      <c r="U560" s="789"/>
      <c r="V560" s="635"/>
      <c r="W560" s="635"/>
      <c r="X560" s="635"/>
      <c r="Y560" s="635"/>
      <c r="Z560" s="635"/>
      <c r="AA560" s="635"/>
      <c r="AB560" s="635"/>
      <c r="AC560" s="635"/>
      <c r="AD560" s="635"/>
      <c r="AE560" s="635"/>
      <c r="AF560" s="635"/>
      <c r="AG560" s="635"/>
      <c r="AH560" s="635"/>
      <c r="AI560" s="635"/>
      <c r="AJ560" s="635"/>
      <c r="AK560" s="635"/>
      <c r="AL560" s="635"/>
      <c r="AM560" s="635"/>
      <c r="AN560" s="635"/>
      <c r="AO560" s="635"/>
      <c r="AP560" s="635"/>
      <c r="AQ560" s="635"/>
      <c r="AR560" s="635"/>
      <c r="AS560" s="635"/>
      <c r="AT560" s="635"/>
      <c r="AU560" s="635"/>
      <c r="AV560" s="635"/>
      <c r="AW560" s="635"/>
      <c r="AX560" s="635"/>
      <c r="AY560" s="945"/>
      <c r="AZ560" s="635"/>
      <c r="BA560" s="635"/>
      <c r="BB560" s="635"/>
      <c r="BC560" s="635"/>
      <c r="BD560" s="635"/>
      <c r="BE560" s="635"/>
      <c r="BF560" s="635"/>
      <c r="BG560" s="635"/>
      <c r="BH560" s="635"/>
      <c r="BI560" s="635"/>
      <c r="BJ560" s="635"/>
      <c r="BK560" s="635"/>
      <c r="BL560" s="635"/>
      <c r="BM560" s="635"/>
      <c r="BN560" s="635"/>
      <c r="BO560" s="635"/>
      <c r="BP560" s="635"/>
      <c r="BQ560" s="635"/>
      <c r="BR560" s="635"/>
      <c r="BS560" s="635"/>
      <c r="BT560" s="635"/>
      <c r="BU560" s="635"/>
      <c r="BV560" s="635"/>
      <c r="BW560" s="635"/>
      <c r="BX560" s="635"/>
      <c r="BY560" s="635"/>
      <c r="BZ560" s="635"/>
      <c r="CA560" s="635"/>
      <c r="CB560" s="635"/>
      <c r="CC560" s="635"/>
    </row>
    <row r="561" spans="2:81" hidden="1" outlineLevel="1">
      <c r="B561" s="758" t="str">
        <f>+B554</f>
        <v>Direct sales</v>
      </c>
      <c r="C561" s="310"/>
      <c r="D561" s="758" t="str">
        <f>+D554</f>
        <v>直营</v>
      </c>
      <c r="E561" s="635"/>
      <c r="F561" s="630"/>
      <c r="G561" s="630"/>
      <c r="H561" s="630"/>
      <c r="I561" s="630"/>
      <c r="J561" s="874">
        <f>J504/J546</f>
        <v>4.3969710665282058</v>
      </c>
      <c r="K561" s="874">
        <f>K504/K546</f>
        <v>3.9956540848101474</v>
      </c>
      <c r="L561" s="874">
        <f>L504/L546</f>
        <v>3.9115227331282534</v>
      </c>
      <c r="M561" s="874"/>
      <c r="N561" s="1561"/>
      <c r="O561" s="873"/>
      <c r="P561" s="873"/>
      <c r="Q561" s="873"/>
      <c r="R561" s="873"/>
      <c r="S561" s="873"/>
      <c r="T561" s="945"/>
      <c r="U561" s="789"/>
      <c r="V561" s="635"/>
      <c r="W561" s="635"/>
      <c r="X561" s="635"/>
      <c r="Y561" s="635"/>
      <c r="Z561" s="635"/>
      <c r="AA561" s="635"/>
      <c r="AB561" s="635"/>
      <c r="AC561" s="635"/>
      <c r="AD561" s="635"/>
      <c r="AE561" s="635"/>
      <c r="AF561" s="635"/>
      <c r="AG561" s="635"/>
      <c r="AH561" s="635"/>
      <c r="AI561" s="635"/>
      <c r="AJ561" s="635"/>
      <c r="AK561" s="635"/>
      <c r="AL561" s="635"/>
      <c r="AM561" s="635"/>
      <c r="AN561" s="635"/>
      <c r="AO561" s="635"/>
      <c r="AP561" s="635"/>
      <c r="AQ561" s="635"/>
      <c r="AR561" s="635"/>
      <c r="AS561" s="635"/>
      <c r="AT561" s="635"/>
      <c r="AU561" s="635"/>
      <c r="AV561" s="635"/>
      <c r="AW561" s="635"/>
      <c r="AX561" s="635"/>
      <c r="AY561" s="945"/>
      <c r="AZ561" s="635"/>
      <c r="BA561" s="635"/>
      <c r="BB561" s="635"/>
      <c r="BC561" s="635"/>
      <c r="BD561" s="635"/>
      <c r="BE561" s="635"/>
      <c r="BF561" s="635"/>
      <c r="BG561" s="635"/>
      <c r="BH561" s="635"/>
      <c r="BI561" s="635"/>
      <c r="BJ561" s="635"/>
      <c r="BK561" s="635"/>
      <c r="BL561" s="635"/>
      <c r="BM561" s="635"/>
      <c r="BN561" s="635"/>
      <c r="BO561" s="635"/>
      <c r="BP561" s="635"/>
      <c r="BQ561" s="635"/>
      <c r="BR561" s="635"/>
      <c r="BS561" s="635"/>
      <c r="BT561" s="635"/>
      <c r="BU561" s="635"/>
      <c r="BV561" s="635"/>
      <c r="BW561" s="635"/>
      <c r="BX561" s="635"/>
      <c r="BY561" s="635"/>
      <c r="BZ561" s="635"/>
      <c r="CA561" s="635"/>
      <c r="CB561" s="635"/>
      <c r="CC561" s="635"/>
    </row>
    <row r="562" spans="2:81" collapsed="1">
      <c r="B562" s="789"/>
      <c r="C562" s="302"/>
      <c r="D562" s="789"/>
      <c r="E562" s="635"/>
      <c r="F562" s="630"/>
      <c r="G562" s="630"/>
      <c r="H562" s="630"/>
      <c r="I562" s="630"/>
      <c r="J562" s="630"/>
      <c r="K562" s="630"/>
      <c r="L562" s="873">
        <f>L564-K564</f>
        <v>506.39529048999998</v>
      </c>
      <c r="M562" s="873">
        <f>M564-L564</f>
        <v>725.40841225999998</v>
      </c>
      <c r="N562" s="873">
        <f>N564-M564</f>
        <v>689.64076837481161</v>
      </c>
      <c r="O562" s="873">
        <f>O564-N564</f>
        <v>601.68594883007063</v>
      </c>
      <c r="P562" s="873">
        <f>P564-O564</f>
        <v>611.7567036982723</v>
      </c>
      <c r="Q562" s="873"/>
      <c r="R562" s="873"/>
      <c r="S562" s="873"/>
      <c r="T562" s="945"/>
      <c r="U562" s="789"/>
      <c r="V562" s="635"/>
      <c r="W562" s="635"/>
      <c r="X562" s="635"/>
      <c r="Y562" s="635"/>
      <c r="Z562" s="635"/>
      <c r="AA562" s="635"/>
      <c r="AB562" s="635"/>
      <c r="AC562" s="635"/>
      <c r="AD562" s="635"/>
      <c r="AE562" s="635"/>
      <c r="AF562" s="635"/>
      <c r="AG562" s="635"/>
      <c r="AH562" s="635"/>
      <c r="AI562" s="635"/>
      <c r="AJ562" s="635"/>
      <c r="AK562" s="635"/>
      <c r="AL562" s="635"/>
      <c r="AM562" s="635"/>
      <c r="AN562" s="635"/>
      <c r="AO562" s="635"/>
      <c r="AP562" s="635"/>
      <c r="AQ562" s="635"/>
      <c r="AR562" s="635"/>
      <c r="AS562" s="635"/>
      <c r="AT562" s="635"/>
      <c r="AU562" s="635"/>
      <c r="AV562" s="635"/>
      <c r="AW562" s="635"/>
      <c r="AX562" s="635"/>
      <c r="AY562" s="945"/>
      <c r="AZ562" s="635"/>
      <c r="BA562" s="635"/>
      <c r="BB562" s="635"/>
      <c r="BC562" s="635"/>
      <c r="BD562" s="635"/>
      <c r="BE562" s="635"/>
      <c r="BF562" s="635"/>
      <c r="BG562" s="635"/>
      <c r="BH562" s="635"/>
      <c r="BI562" s="635"/>
      <c r="BJ562" s="635"/>
      <c r="BK562" s="635"/>
      <c r="BL562" s="635"/>
      <c r="BM562" s="635"/>
      <c r="BN562" s="635"/>
      <c r="BO562" s="635"/>
      <c r="BP562" s="635"/>
      <c r="BQ562" s="635"/>
      <c r="BR562" s="635"/>
      <c r="BS562" s="635"/>
      <c r="BT562" s="635"/>
      <c r="BU562" s="635"/>
      <c r="BV562" s="635"/>
      <c r="BW562" s="635"/>
      <c r="BX562" s="635"/>
      <c r="BY562" s="635"/>
      <c r="BZ562" s="635"/>
      <c r="CA562" s="635"/>
      <c r="CB562" s="635"/>
      <c r="CC562" s="635"/>
    </row>
    <row r="563" spans="2:81" s="305" customFormat="1">
      <c r="B563" s="910" t="s">
        <v>907</v>
      </c>
      <c r="C563" s="910"/>
      <c r="D563" s="911" t="s">
        <v>866</v>
      </c>
      <c r="E563" s="912"/>
      <c r="F563" s="912">
        <f t="shared" ref="F563:P563" si="335">F8</f>
        <v>2017</v>
      </c>
      <c r="G563" s="912">
        <f t="shared" si="335"/>
        <v>2018</v>
      </c>
      <c r="H563" s="912">
        <f t="shared" si="335"/>
        <v>2019</v>
      </c>
      <c r="I563" s="912">
        <f t="shared" si="335"/>
        <v>2020</v>
      </c>
      <c r="J563" s="912">
        <f t="shared" si="335"/>
        <v>2021</v>
      </c>
      <c r="K563" s="912">
        <f t="shared" si="335"/>
        <v>2022</v>
      </c>
      <c r="L563" s="912">
        <f t="shared" si="335"/>
        <v>2023</v>
      </c>
      <c r="M563" s="912">
        <f t="shared" si="335"/>
        <v>2024</v>
      </c>
      <c r="N563" s="1562" t="str">
        <f t="shared" si="335"/>
        <v>2025E</v>
      </c>
      <c r="O563" s="912" t="str">
        <f t="shared" si="335"/>
        <v>2026E</v>
      </c>
      <c r="P563" s="912" t="str">
        <f t="shared" si="335"/>
        <v>2027E</v>
      </c>
      <c r="Q563" s="1229"/>
      <c r="R563" s="1229"/>
      <c r="S563" s="1229"/>
      <c r="T563" s="948"/>
      <c r="U563" s="911" t="str">
        <f>D563</f>
        <v>费用</v>
      </c>
      <c r="V563" s="912" t="str">
        <f t="shared" ref="V563:AE563" si="336">V8</f>
        <v>1H20</v>
      </c>
      <c r="W563" s="912" t="str">
        <f t="shared" si="336"/>
        <v>2H20</v>
      </c>
      <c r="X563" s="912" t="str">
        <f t="shared" si="336"/>
        <v>1H21</v>
      </c>
      <c r="Y563" s="912" t="str">
        <f t="shared" si="336"/>
        <v>2H21</v>
      </c>
      <c r="Z563" s="912" t="str">
        <f t="shared" si="336"/>
        <v>1H22</v>
      </c>
      <c r="AA563" s="912" t="str">
        <f t="shared" si="336"/>
        <v>2H22</v>
      </c>
      <c r="AB563" s="912" t="str">
        <f t="shared" si="336"/>
        <v>1H23</v>
      </c>
      <c r="AC563" s="912" t="str">
        <f t="shared" si="336"/>
        <v>2H23</v>
      </c>
      <c r="AD563" s="912" t="str">
        <f t="shared" si="336"/>
        <v>1H24</v>
      </c>
      <c r="AE563" s="912" t="str">
        <f t="shared" si="336"/>
        <v>2H24</v>
      </c>
      <c r="AF563" s="912"/>
      <c r="AG563" s="912"/>
      <c r="AH563" s="1229"/>
      <c r="AI563" s="1229"/>
      <c r="AJ563" s="1229"/>
      <c r="AK563" s="1229"/>
      <c r="AL563" s="1229"/>
      <c r="AM563" s="1229"/>
      <c r="AN563" s="1229"/>
      <c r="AO563" s="1229"/>
      <c r="AP563" s="1229"/>
      <c r="AQ563" s="1229"/>
      <c r="AR563" s="1229"/>
      <c r="AS563" s="1229"/>
      <c r="AT563" s="1229"/>
      <c r="AU563" s="1229"/>
      <c r="AV563" s="1229"/>
      <c r="AW563" s="1229"/>
      <c r="AX563" s="1229"/>
      <c r="AY563" s="948"/>
    </row>
    <row r="564" spans="2:81" s="37" customFormat="1">
      <c r="B564" s="913" t="s">
        <v>908</v>
      </c>
      <c r="C564" s="913"/>
      <c r="D564" s="913" t="s">
        <v>94</v>
      </c>
      <c r="E564" s="914"/>
      <c r="F564" s="915">
        <f t="shared" ref="F564:M564" si="337">F47</f>
        <v>825.24980000000005</v>
      </c>
      <c r="G564" s="915">
        <f t="shared" si="337"/>
        <v>969.45033685999999</v>
      </c>
      <c r="H564" s="915">
        <f t="shared" si="337"/>
        <v>983.59316214</v>
      </c>
      <c r="I564" s="915">
        <f t="shared" si="337"/>
        <v>1040.3472948200001</v>
      </c>
      <c r="J564" s="915">
        <f t="shared" si="337"/>
        <v>1368.3843670599999</v>
      </c>
      <c r="K564" s="915">
        <f t="shared" si="337"/>
        <v>1449.2760845799999</v>
      </c>
      <c r="L564" s="915">
        <f t="shared" si="337"/>
        <v>1955.6713750699998</v>
      </c>
      <c r="M564" s="915">
        <f t="shared" si="337"/>
        <v>2681.0797873299998</v>
      </c>
      <c r="N564" s="1563">
        <f>+SUM(N565:N566,N569:N571)</f>
        <v>3370.7205557048114</v>
      </c>
      <c r="O564" s="915">
        <f>+SUM(O565:O566,O569:O571)</f>
        <v>3972.4065045348821</v>
      </c>
      <c r="P564" s="915">
        <f>+SUM(P565:P566,P569:P571)</f>
        <v>4584.1632082331544</v>
      </c>
      <c r="Q564" s="1230"/>
      <c r="R564" s="1230"/>
      <c r="S564" s="1230"/>
      <c r="T564" s="944"/>
      <c r="U564" s="913" t="str">
        <f>D564</f>
        <v>销售费用</v>
      </c>
      <c r="V564" s="915">
        <f t="shared" ref="V564:AE564" si="338">V47</f>
        <v>452.20800000000003</v>
      </c>
      <c r="W564" s="915">
        <f t="shared" si="338"/>
        <v>588.13929482000003</v>
      </c>
      <c r="X564" s="915">
        <f t="shared" si="338"/>
        <v>798.65826103999996</v>
      </c>
      <c r="Y564" s="915">
        <f t="shared" si="338"/>
        <v>569.72610601999997</v>
      </c>
      <c r="Z564" s="915">
        <f t="shared" si="338"/>
        <v>702.69818498000006</v>
      </c>
      <c r="AA564" s="915">
        <f t="shared" si="338"/>
        <v>746.5778995999998</v>
      </c>
      <c r="AB564" s="915">
        <f t="shared" si="338"/>
        <v>863.23476495</v>
      </c>
      <c r="AC564" s="915">
        <f t="shared" si="338"/>
        <v>1092.4366101199998</v>
      </c>
      <c r="AD564" s="915">
        <f t="shared" si="338"/>
        <v>1225.0040971800001</v>
      </c>
      <c r="AE564" s="915">
        <f t="shared" si="338"/>
        <v>1456.0756901499997</v>
      </c>
      <c r="AF564" s="915"/>
      <c r="AG564" s="915"/>
      <c r="AH564" s="1230"/>
      <c r="AI564" s="1230"/>
      <c r="AJ564" s="1230"/>
      <c r="AK564" s="1230"/>
      <c r="AL564" s="1230"/>
      <c r="AM564" s="1230"/>
      <c r="AN564" s="1230"/>
      <c r="AO564" s="1230"/>
      <c r="AP564" s="1230"/>
      <c r="AQ564" s="1230"/>
      <c r="AR564" s="1230"/>
      <c r="AS564" s="1230"/>
      <c r="AT564" s="1230"/>
      <c r="AU564" s="1230"/>
      <c r="AV564" s="1230"/>
      <c r="AW564" s="1230"/>
      <c r="AX564" s="1230"/>
      <c r="AY564" s="944"/>
    </row>
    <row r="565" spans="2:81" s="37" customFormat="1">
      <c r="B565" s="327" t="s">
        <v>909</v>
      </c>
      <c r="C565" s="368"/>
      <c r="D565" s="327" t="s">
        <v>1169</v>
      </c>
      <c r="E565" s="374"/>
      <c r="F565" s="367"/>
      <c r="G565" s="367">
        <f>31473.61/100</f>
        <v>314.73610000000002</v>
      </c>
      <c r="H565" s="367">
        <f>37730.53/100</f>
        <v>377.30529999999999</v>
      </c>
      <c r="I565" s="367">
        <f>41048.71/100</f>
        <v>410.4871</v>
      </c>
      <c r="J565" s="1138">
        <v>622.25105976999998</v>
      </c>
      <c r="K565" s="1138">
        <v>708.37788726999997</v>
      </c>
      <c r="L565" s="1138">
        <v>894.03684447000001</v>
      </c>
      <c r="M565" s="1138">
        <f>1115508468.08*(0.000001)</f>
        <v>1115.5084680799998</v>
      </c>
      <c r="N565" s="1564">
        <f>+N$9*N574</f>
        <v>1446.9434108240127</v>
      </c>
      <c r="O565" s="592">
        <f>+O$9*O574</f>
        <v>1740.8673644648695</v>
      </c>
      <c r="P565" s="592">
        <f>+P$9*P574</f>
        <v>2011.8117254869751</v>
      </c>
      <c r="Q565" s="483"/>
      <c r="R565" s="483"/>
      <c r="S565" s="483"/>
      <c r="T565" s="944"/>
      <c r="U565" s="327" t="str">
        <f>D565</f>
        <v>职工薪酬</v>
      </c>
      <c r="V565" s="367">
        <f>192732320.39/1000000</f>
        <v>192.73232038999998</v>
      </c>
      <c r="W565" s="317">
        <f>+I565-V565</f>
        <v>217.75477961000001</v>
      </c>
      <c r="X565" s="367">
        <f>310077070.48/1000000</f>
        <v>310.07707048000003</v>
      </c>
      <c r="Y565" s="317">
        <f>+J565-X565</f>
        <v>312.17398928999995</v>
      </c>
      <c r="Z565" s="367">
        <v>349.10529701000002</v>
      </c>
      <c r="AA565" s="317">
        <f>+K565-Z565</f>
        <v>359.27259025999996</v>
      </c>
      <c r="AB565" s="367">
        <v>412.28973200000001</v>
      </c>
      <c r="AC565" s="317">
        <f>+L565-AB565</f>
        <v>481.74711246999999</v>
      </c>
      <c r="AD565" s="367">
        <v>547.92387599999995</v>
      </c>
      <c r="AE565" s="317">
        <f>+M565-AD565</f>
        <v>567.58459207999988</v>
      </c>
      <c r="AF565" s="317"/>
      <c r="AG565" s="317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  <c r="AY565" s="944"/>
    </row>
    <row r="566" spans="2:81" ht="14.25" customHeight="1">
      <c r="B566" s="752" t="s">
        <v>1172</v>
      </c>
      <c r="C566" s="753"/>
      <c r="D566" s="752" t="s">
        <v>1171</v>
      </c>
      <c r="E566" s="316"/>
      <c r="F566" s="367"/>
      <c r="G566" s="367">
        <f>54287.52/100</f>
        <v>542.87519999999995</v>
      </c>
      <c r="H566" s="367">
        <f>43023.11/100</f>
        <v>430.23110000000003</v>
      </c>
      <c r="I566" s="367">
        <f>40709.23/100</f>
        <v>407.09230000000002</v>
      </c>
      <c r="J566" s="1138">
        <v>645.12656257000003</v>
      </c>
      <c r="K566" s="1138">
        <v>636.4991119</v>
      </c>
      <c r="L566" s="1138">
        <v>863.66459369999995</v>
      </c>
      <c r="M566" s="2090">
        <f>(SUM(M567:M568))</f>
        <v>1331.8087501199998</v>
      </c>
      <c r="N566" s="1564">
        <f>+N9*N575</f>
        <v>1666.4413496901068</v>
      </c>
      <c r="O566" s="592">
        <f>+O9*O575</f>
        <v>1925.2031152994527</v>
      </c>
      <c r="P566" s="592">
        <f>+P9*P575</f>
        <v>2213.0956439147735</v>
      </c>
      <c r="Q566" s="483"/>
      <c r="R566" s="483"/>
      <c r="S566" s="483"/>
      <c r="U566" s="327" t="str">
        <f>D566</f>
        <v>宣传推广费</v>
      </c>
      <c r="V566" s="367">
        <f>159198050.4/1000000</f>
        <v>159.1980504</v>
      </c>
      <c r="W566" s="317">
        <f>+I566-V566</f>
        <v>247.89424960000002</v>
      </c>
      <c r="X566" s="367">
        <f>340743753.63/1000000</f>
        <v>340.74375363000001</v>
      </c>
      <c r="Y566" s="317">
        <f>+J566-X566</f>
        <v>304.38280894000002</v>
      </c>
      <c r="Z566" s="367">
        <v>308.93348297</v>
      </c>
      <c r="AA566" s="317">
        <f>+K566-Z566</f>
        <v>327.56562893</v>
      </c>
      <c r="AB566" s="367">
        <v>376.01656500000001</v>
      </c>
      <c r="AC566" s="317">
        <f>+L566-AB566</f>
        <v>487.64802869999994</v>
      </c>
      <c r="AD566" s="367">
        <v>572.80613200000005</v>
      </c>
      <c r="AE566" s="317">
        <f>+M566-AD566</f>
        <v>759.00261811999974</v>
      </c>
      <c r="AF566" s="317"/>
      <c r="AG566" s="317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35"/>
      <c r="AW566" s="35"/>
      <c r="AX566" s="35"/>
    </row>
    <row r="567" spans="2:81" ht="14.25" customHeight="1">
      <c r="B567" s="844" t="s">
        <v>1173</v>
      </c>
      <c r="C567" s="753"/>
      <c r="D567" s="844" t="s">
        <v>1175</v>
      </c>
      <c r="E567" s="316"/>
      <c r="F567" s="367"/>
      <c r="G567" s="367">
        <f>48227.58/100</f>
        <v>482.2758</v>
      </c>
      <c r="H567" s="367">
        <f>34529.01/100</f>
        <v>345.2901</v>
      </c>
      <c r="I567" s="367">
        <v>283.91000000000003</v>
      </c>
      <c r="J567" s="1138">
        <f>J566-J568</f>
        <v>387.94696257000004</v>
      </c>
      <c r="K567" s="1138"/>
      <c r="L567" s="1138"/>
      <c r="M567" s="1138">
        <f>553404183.24*(0.000001)</f>
        <v>553.40418323999995</v>
      </c>
      <c r="N567" s="1564"/>
      <c r="O567" s="592"/>
      <c r="P567" s="592"/>
      <c r="Q567" s="483"/>
      <c r="R567" s="483"/>
      <c r="S567" s="483"/>
      <c r="U567" s="327"/>
      <c r="V567" s="367"/>
      <c r="W567" s="317"/>
      <c r="X567" s="367"/>
      <c r="Y567" s="785"/>
      <c r="Z567" s="367"/>
      <c r="AA567" s="785"/>
      <c r="AB567" s="367"/>
      <c r="AC567" s="785"/>
      <c r="AD567" s="367"/>
      <c r="AE567" s="785"/>
      <c r="AF567" s="785"/>
      <c r="AG567" s="785"/>
      <c r="AH567" s="871"/>
      <c r="AI567" s="871"/>
      <c r="AJ567" s="871"/>
      <c r="AK567" s="871"/>
      <c r="AL567" s="871"/>
      <c r="AM567" s="871"/>
      <c r="AN567" s="871"/>
      <c r="AO567" s="871"/>
      <c r="AP567" s="871"/>
      <c r="AQ567" s="871"/>
      <c r="AR567" s="871"/>
      <c r="AS567" s="871"/>
      <c r="AT567" s="871"/>
      <c r="AU567" s="871"/>
      <c r="AV567" s="871"/>
      <c r="AW567" s="871"/>
      <c r="AX567" s="871"/>
    </row>
    <row r="568" spans="2:81" ht="14.25" customHeight="1">
      <c r="B568" s="844" t="s">
        <v>1174</v>
      </c>
      <c r="C568" s="753"/>
      <c r="D568" s="844" t="s">
        <v>1176</v>
      </c>
      <c r="E568" s="316"/>
      <c r="F568" s="367"/>
      <c r="G568" s="367">
        <f>6059.94/100</f>
        <v>60.599399999999996</v>
      </c>
      <c r="H568" s="367">
        <f>8494.09/100</f>
        <v>84.940899999999999</v>
      </c>
      <c r="I568" s="367">
        <f>12317.96/100</f>
        <v>123.17959999999999</v>
      </c>
      <c r="J568" s="1138">
        <f>I568+134</f>
        <v>257.17959999999999</v>
      </c>
      <c r="K568" s="1138"/>
      <c r="L568" s="1138"/>
      <c r="M568" s="1138">
        <f>778404566.88*(0.000001)</f>
        <v>778.40456687999995</v>
      </c>
      <c r="N568" s="1564"/>
      <c r="O568" s="592"/>
      <c r="P568" s="592"/>
      <c r="Q568" s="483"/>
      <c r="R568" s="483"/>
      <c r="S568" s="483"/>
      <c r="U568" s="327"/>
      <c r="V568" s="367"/>
      <c r="W568" s="317"/>
      <c r="X568" s="367"/>
      <c r="Y568" s="785"/>
      <c r="Z568" s="367"/>
      <c r="AA568" s="785"/>
      <c r="AB568" s="367"/>
      <c r="AC568" s="785"/>
      <c r="AD568" s="367"/>
      <c r="AE568" s="785"/>
      <c r="AF568" s="785"/>
      <c r="AG568" s="785"/>
      <c r="AH568" s="871"/>
      <c r="AI568" s="871"/>
      <c r="AJ568" s="871"/>
      <c r="AK568" s="871"/>
      <c r="AL568" s="871"/>
      <c r="AM568" s="871"/>
      <c r="AN568" s="871"/>
      <c r="AO568" s="871"/>
      <c r="AP568" s="871"/>
      <c r="AQ568" s="871"/>
      <c r="AR568" s="871"/>
      <c r="AS568" s="871"/>
      <c r="AT568" s="871"/>
      <c r="AU568" s="871"/>
      <c r="AV568" s="871"/>
      <c r="AW568" s="871"/>
      <c r="AX568" s="871"/>
    </row>
    <row r="569" spans="2:81" ht="14.25" customHeight="1">
      <c r="B569" s="327" t="s">
        <v>933</v>
      </c>
      <c r="C569" s="315"/>
      <c r="D569" s="327" t="s">
        <v>1170</v>
      </c>
      <c r="E569" s="316"/>
      <c r="F569" s="367"/>
      <c r="G569" s="367">
        <f>8651.16/100</f>
        <v>86.511600000000001</v>
      </c>
      <c r="H569" s="367">
        <f>11264.93/100</f>
        <v>112.6493</v>
      </c>
      <c r="I569" s="367">
        <f>16149.36/100</f>
        <v>161.49360000000001</v>
      </c>
      <c r="J569" s="1138">
        <v>22.62401384</v>
      </c>
      <c r="K569" s="1138">
        <v>12.980578</v>
      </c>
      <c r="L569" s="1138">
        <v>36.210638000000003</v>
      </c>
      <c r="M569" s="1138">
        <f>59281721.86*(0.000001)</f>
        <v>59.281721859999998</v>
      </c>
      <c r="N569" s="1564">
        <f>+N9*N578</f>
        <v>68.072656493589704</v>
      </c>
      <c r="O569" s="592">
        <f>+O9*O578</f>
        <v>77.297903394697926</v>
      </c>
      <c r="P569" s="592">
        <f>+P9*P578</f>
        <v>90.6511832709527</v>
      </c>
      <c r="Q569" s="483"/>
      <c r="R569" s="483"/>
      <c r="S569" s="483"/>
      <c r="U569" s="327" t="str">
        <f>D569</f>
        <v>运输费</v>
      </c>
      <c r="V569" s="367">
        <f>80576224.97/1000000</f>
        <v>80.576224969999998</v>
      </c>
      <c r="W569" s="317">
        <f>+I569-V569</f>
        <v>80.917375030000017</v>
      </c>
      <c r="X569" s="367">
        <f>115326560.68/1000000</f>
        <v>115.32656068</v>
      </c>
      <c r="Y569" s="317">
        <f>+J569-X569</f>
        <v>-92.702546839999997</v>
      </c>
      <c r="Z569" s="367">
        <v>9.6898184199999999</v>
      </c>
      <c r="AA569" s="317">
        <f>+K569-Z569</f>
        <v>3.2907595799999996</v>
      </c>
      <c r="AB569" s="367">
        <v>13.610787</v>
      </c>
      <c r="AC569" s="317">
        <f>+L569-AB569</f>
        <v>22.599851000000001</v>
      </c>
      <c r="AD569" s="367">
        <v>27.926949</v>
      </c>
      <c r="AE569" s="317">
        <f>+M569-AD569</f>
        <v>31.354772859999997</v>
      </c>
      <c r="AF569" s="317"/>
      <c r="AG569" s="317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</row>
    <row r="570" spans="2:81" ht="14.25" customHeight="1">
      <c r="B570" s="327" t="s">
        <v>1179</v>
      </c>
      <c r="C570" s="315"/>
      <c r="D570" s="327" t="s">
        <v>1178</v>
      </c>
      <c r="E570" s="316"/>
      <c r="F570" s="367"/>
      <c r="G570" s="367"/>
      <c r="H570" s="367">
        <v>15.13</v>
      </c>
      <c r="I570" s="367">
        <v>0</v>
      </c>
      <c r="J570" s="367">
        <v>0</v>
      </c>
      <c r="K570" s="367">
        <v>0</v>
      </c>
      <c r="L570" s="367">
        <v>0</v>
      </c>
      <c r="M570" s="367">
        <f>0*(0.000001)</f>
        <v>0</v>
      </c>
      <c r="N570" s="1564">
        <f>+N9*N579</f>
        <v>0</v>
      </c>
      <c r="O570" s="592">
        <f>+O9*O579</f>
        <v>0</v>
      </c>
      <c r="P570" s="592">
        <f>+P9*P579</f>
        <v>0</v>
      </c>
      <c r="Q570" s="483"/>
      <c r="R570" s="483"/>
      <c r="S570" s="483"/>
      <c r="U570" s="327" t="str">
        <f>D570</f>
        <v>股份支付</v>
      </c>
      <c r="V570" s="367">
        <v>0</v>
      </c>
      <c r="W570" s="317">
        <f>+I570-V570</f>
        <v>0</v>
      </c>
      <c r="X570" s="367">
        <v>0</v>
      </c>
      <c r="Y570" s="317">
        <f>+J570-X570</f>
        <v>0</v>
      </c>
      <c r="Z570" s="367">
        <v>0</v>
      </c>
      <c r="AA570" s="317">
        <f>+K570-Z570</f>
        <v>0</v>
      </c>
      <c r="AB570" s="367">
        <v>0</v>
      </c>
      <c r="AC570" s="317"/>
      <c r="AD570" s="367"/>
      <c r="AE570" s="317"/>
      <c r="AF570" s="317"/>
      <c r="AG570" s="317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</row>
    <row r="571" spans="2:81">
      <c r="B571" s="327" t="s">
        <v>912</v>
      </c>
      <c r="C571" s="315"/>
      <c r="D571" s="327" t="s">
        <v>861</v>
      </c>
      <c r="E571" s="316"/>
      <c r="F571" s="742"/>
      <c r="G571" s="742">
        <f t="shared" ref="G571:L571" si="339">G564-SUM(G565:G566,G569:G570)</f>
        <v>25.327436859999921</v>
      </c>
      <c r="H571" s="742">
        <f t="shared" si="339"/>
        <v>48.277462140000011</v>
      </c>
      <c r="I571" s="742">
        <f t="shared" si="339"/>
        <v>61.274294820000023</v>
      </c>
      <c r="J571" s="742">
        <f t="shared" si="339"/>
        <v>78.382730879999826</v>
      </c>
      <c r="K571" s="419">
        <f t="shared" si="339"/>
        <v>91.418507409999847</v>
      </c>
      <c r="L571" s="419">
        <f t="shared" si="339"/>
        <v>161.75929889999975</v>
      </c>
      <c r="M571" s="419">
        <f>M564-SUM(M565:M566,M569:M570)</f>
        <v>174.48084727000014</v>
      </c>
      <c r="N571" s="1564">
        <f>+N9*N580</f>
        <v>189.26313869710211</v>
      </c>
      <c r="O571" s="592">
        <f>+O9*O580</f>
        <v>229.03812137586175</v>
      </c>
      <c r="P571" s="592">
        <f>+P9*P580</f>
        <v>268.60465556045233</v>
      </c>
      <c r="Q571" s="483"/>
      <c r="R571" s="483"/>
      <c r="S571" s="483"/>
      <c r="U571" s="327" t="str">
        <f>D571</f>
        <v>其他</v>
      </c>
      <c r="V571" s="335">
        <f t="shared" ref="V571:AE571" si="340">V564-SUM(V565:V570)</f>
        <v>19.701404240000045</v>
      </c>
      <c r="W571" s="335">
        <f t="shared" si="340"/>
        <v>41.572890579999921</v>
      </c>
      <c r="X571" s="335">
        <f t="shared" si="340"/>
        <v>32.510876249999797</v>
      </c>
      <c r="Y571" s="335">
        <f t="shared" si="340"/>
        <v>45.87185463000003</v>
      </c>
      <c r="Z571" s="335">
        <f t="shared" si="340"/>
        <v>34.969586579999941</v>
      </c>
      <c r="AA571" s="335">
        <f t="shared" si="340"/>
        <v>56.448920829999793</v>
      </c>
      <c r="AB571" s="335">
        <f t="shared" si="340"/>
        <v>61.317680949999954</v>
      </c>
      <c r="AC571" s="335">
        <f t="shared" si="340"/>
        <v>100.44161794999991</v>
      </c>
      <c r="AD571" s="335">
        <f t="shared" si="340"/>
        <v>76.347140180000224</v>
      </c>
      <c r="AE571" s="335">
        <f t="shared" si="340"/>
        <v>98.133707090000144</v>
      </c>
      <c r="AF571" s="335"/>
      <c r="AG571" s="335"/>
      <c r="AH571" s="867"/>
      <c r="AI571" s="867"/>
      <c r="AJ571" s="867"/>
      <c r="AK571" s="867"/>
      <c r="AL571" s="867"/>
      <c r="AM571" s="867"/>
      <c r="AN571" s="867"/>
      <c r="AO571" s="867"/>
      <c r="AP571" s="867"/>
      <c r="AQ571" s="867"/>
      <c r="AR571" s="867"/>
      <c r="AS571" s="867"/>
      <c r="AT571" s="867"/>
      <c r="AU571" s="867"/>
      <c r="AV571" s="867"/>
      <c r="AW571" s="867"/>
      <c r="AX571" s="867"/>
    </row>
    <row r="572" spans="2:81">
      <c r="B572" s="315"/>
      <c r="C572" s="315"/>
      <c r="D572" s="315"/>
      <c r="E572" s="316"/>
      <c r="F572" s="376"/>
      <c r="G572" s="684"/>
      <c r="H572" s="684"/>
      <c r="I572" s="683"/>
      <c r="J572" s="316"/>
      <c r="K572" s="316"/>
      <c r="L572" s="316"/>
      <c r="M572" s="316"/>
      <c r="N572" s="1565"/>
      <c r="O572" s="316"/>
      <c r="P572" s="316"/>
      <c r="U572" s="315"/>
    </row>
    <row r="573" spans="2:81" s="55" customFormat="1" ht="10.5">
      <c r="B573" s="318" t="s">
        <v>913</v>
      </c>
      <c r="C573" s="318"/>
      <c r="D573" s="318" t="s">
        <v>62</v>
      </c>
      <c r="E573" s="319"/>
      <c r="F573" s="320">
        <f t="shared" ref="F573:M573" si="341">F564/F9</f>
        <v>0.29019185404807274</v>
      </c>
      <c r="G573" s="320">
        <f t="shared" si="341"/>
        <v>0.31915682216812563</v>
      </c>
      <c r="H573" s="320">
        <f t="shared" si="341"/>
        <v>0.23370316402796393</v>
      </c>
      <c r="I573" s="320">
        <f t="shared" si="341"/>
        <v>0.20981077853831201</v>
      </c>
      <c r="J573" s="320">
        <f t="shared" si="341"/>
        <v>0.19610478370269829</v>
      </c>
      <c r="K573" s="320">
        <f t="shared" si="341"/>
        <v>0.17039502368515247</v>
      </c>
      <c r="L573" s="320">
        <f t="shared" si="341"/>
        <v>0.17363998317003096</v>
      </c>
      <c r="M573" s="320">
        <f t="shared" si="341"/>
        <v>0.16927235739049407</v>
      </c>
      <c r="N573" s="1566">
        <f>N574+N575+SUM(N578:N580)</f>
        <v>0.16057235739049405</v>
      </c>
      <c r="O573" s="394">
        <f>O574+O575+SUM(O578:O580)</f>
        <v>0.15637235739049407</v>
      </c>
      <c r="P573" s="394">
        <f>P574+P575+SUM(P578:P580)</f>
        <v>0.15387235739049407</v>
      </c>
      <c r="Q573" s="1484"/>
      <c r="R573" s="1484"/>
      <c r="S573" s="1484"/>
      <c r="T573" s="947"/>
      <c r="U573" s="318" t="str">
        <f>D573</f>
        <v>销售费用率</v>
      </c>
      <c r="V573" s="320">
        <f t="shared" ref="V573:AE573" si="342">V564/V9</f>
        <v>0.18311999610279597</v>
      </c>
      <c r="W573" s="320">
        <f t="shared" si="342"/>
        <v>0.23629162810698931</v>
      </c>
      <c r="X573" s="320">
        <f t="shared" si="342"/>
        <v>0.2168933971352478</v>
      </c>
      <c r="Y573" s="320">
        <f t="shared" si="342"/>
        <v>0.17287683475238735</v>
      </c>
      <c r="Z573" s="320">
        <f t="shared" si="342"/>
        <v>0.16375048189918112</v>
      </c>
      <c r="AA573" s="320">
        <f t="shared" si="342"/>
        <v>0.17716122356956848</v>
      </c>
      <c r="AB573" s="320">
        <f t="shared" si="342"/>
        <v>0.15809625061983129</v>
      </c>
      <c r="AC573" s="320">
        <f t="shared" si="342"/>
        <v>0.18826644722288591</v>
      </c>
      <c r="AD573" s="320">
        <f t="shared" si="342"/>
        <v>0.15558990350559346</v>
      </c>
      <c r="AE573" s="320">
        <f t="shared" si="342"/>
        <v>0.18279630852329296</v>
      </c>
      <c r="AF573" s="320"/>
      <c r="AG573" s="320"/>
      <c r="AH573" s="1231"/>
      <c r="AI573" s="1231"/>
      <c r="AJ573" s="1231"/>
      <c r="AK573" s="1231"/>
      <c r="AL573" s="1231"/>
      <c r="AM573" s="1231"/>
      <c r="AN573" s="1231"/>
      <c r="AO573" s="1231"/>
      <c r="AP573" s="1231"/>
      <c r="AQ573" s="1231"/>
      <c r="AR573" s="1231"/>
      <c r="AS573" s="1231"/>
      <c r="AT573" s="1231"/>
      <c r="AU573" s="1231"/>
      <c r="AV573" s="1231"/>
      <c r="AW573" s="1231"/>
      <c r="AX573" s="1231"/>
      <c r="AY573" s="947"/>
    </row>
    <row r="574" spans="2:81" s="38" customFormat="1">
      <c r="B574" s="328" t="str">
        <f t="shared" ref="B574:B580" si="343">+B565</f>
        <v>Salary</v>
      </c>
      <c r="C574" s="321"/>
      <c r="D574" s="328" t="str">
        <f t="shared" ref="D574:D580" si="344">D565</f>
        <v>职工薪酬</v>
      </c>
      <c r="E574" s="322"/>
      <c r="F574" s="323"/>
      <c r="G574" s="323">
        <f t="shared" ref="G574:I575" si="345">G565/G$9</f>
        <v>0.10361559502154837</v>
      </c>
      <c r="H574" s="323">
        <f t="shared" si="345"/>
        <v>8.9648287329156293E-2</v>
      </c>
      <c r="I574" s="323">
        <f t="shared" si="345"/>
        <v>8.2784487891454678E-2</v>
      </c>
      <c r="J574" s="323">
        <f t="shared" ref="J574:L575" si="346">J565/J$9</f>
        <v>8.917553607189091E-2</v>
      </c>
      <c r="K574" s="323">
        <f t="shared" si="346"/>
        <v>8.3285764640482526E-2</v>
      </c>
      <c r="L574" s="323">
        <f t="shared" si="346"/>
        <v>7.9379667057611777E-2</v>
      </c>
      <c r="M574" s="323">
        <f t="shared" ref="M574:M579" si="347">M565/M$9</f>
        <v>7.0428619458954886E-2</v>
      </c>
      <c r="N574" s="1567">
        <f>+M574-0.15%</f>
        <v>6.8928619458954885E-2</v>
      </c>
      <c r="O574" s="765">
        <f>+N574-0.04%</f>
        <v>6.8528619458954887E-2</v>
      </c>
      <c r="P574" s="765">
        <f>+O574-0.1%</f>
        <v>6.7528619458954886E-2</v>
      </c>
      <c r="Q574" s="1485"/>
      <c r="R574" s="1485"/>
      <c r="S574" s="1485"/>
      <c r="T574" s="945"/>
      <c r="U574" s="328" t="str">
        <f>D574</f>
        <v>职工薪酬</v>
      </c>
      <c r="V574" s="323">
        <f t="shared" ref="V574:Y575" si="348">V565/V$9</f>
        <v>7.8046256940831699E-2</v>
      </c>
      <c r="W574" s="323">
        <f t="shared" si="348"/>
        <v>8.7485450904743439E-2</v>
      </c>
      <c r="X574" s="323">
        <f t="shared" si="348"/>
        <v>8.4208318464741388E-2</v>
      </c>
      <c r="Y574" s="323">
        <f t="shared" si="348"/>
        <v>9.4725606901689616E-2</v>
      </c>
      <c r="Z574" s="323">
        <f t="shared" ref="Z574:AE575" si="349">Z565/Z$9</f>
        <v>8.1352366977540003E-2</v>
      </c>
      <c r="AA574" s="323">
        <f t="shared" si="349"/>
        <v>8.5254561807376922E-2</v>
      </c>
      <c r="AB574" s="323">
        <f t="shared" si="349"/>
        <v>7.5508382475803673E-2</v>
      </c>
      <c r="AC574" s="323">
        <f t="shared" si="349"/>
        <v>8.3022498957306318E-2</v>
      </c>
      <c r="AD574" s="323">
        <f t="shared" si="349"/>
        <v>6.9592765600949694E-2</v>
      </c>
      <c r="AE574" s="323">
        <f t="shared" si="349"/>
        <v>7.1254790467818921E-2</v>
      </c>
      <c r="AF574" s="323"/>
      <c r="AG574" s="323"/>
      <c r="AH574" s="872"/>
      <c r="AI574" s="872"/>
      <c r="AJ574" s="872"/>
      <c r="AK574" s="872"/>
      <c r="AL574" s="872"/>
      <c r="AM574" s="872"/>
      <c r="AN574" s="872"/>
      <c r="AO574" s="872"/>
      <c r="AP574" s="872"/>
      <c r="AQ574" s="872"/>
      <c r="AR574" s="872"/>
      <c r="AS574" s="872"/>
      <c r="AT574" s="872"/>
      <c r="AU574" s="872"/>
      <c r="AV574" s="872"/>
      <c r="AW574" s="872"/>
      <c r="AX574" s="872"/>
      <c r="AY574" s="945"/>
    </row>
    <row r="575" spans="2:81" s="38" customFormat="1">
      <c r="B575" s="328" t="str">
        <f t="shared" si="343"/>
        <v>A&amp;P expense</v>
      </c>
      <c r="C575" s="321"/>
      <c r="D575" s="328" t="str">
        <f t="shared" si="344"/>
        <v>宣传推广费</v>
      </c>
      <c r="E575" s="322"/>
      <c r="F575" s="323"/>
      <c r="G575" s="323">
        <f t="shared" si="345"/>
        <v>0.17872222751200789</v>
      </c>
      <c r="H575" s="323">
        <f t="shared" si="345"/>
        <v>0.10222353428573354</v>
      </c>
      <c r="I575" s="323">
        <f>I566/I$9</f>
        <v>8.2099845720010292E-2</v>
      </c>
      <c r="J575" s="323">
        <f t="shared" si="346"/>
        <v>9.2453851460952766E-2</v>
      </c>
      <c r="K575" s="323">
        <f t="shared" si="346"/>
        <v>7.483479676628324E-2</v>
      </c>
      <c r="L575" s="323">
        <f t="shared" si="346"/>
        <v>7.6682978247944039E-2</v>
      </c>
      <c r="M575" s="323">
        <f t="shared" si="347"/>
        <v>8.4084930180539905E-2</v>
      </c>
      <c r="N575" s="1568">
        <f>M575-0.47%</f>
        <v>7.9384930180539909E-2</v>
      </c>
      <c r="O575" s="766">
        <f>N575-0.36%</f>
        <v>7.5784930180539903E-2</v>
      </c>
      <c r="P575" s="766">
        <f>O575-0.15%</f>
        <v>7.4284930180539901E-2</v>
      </c>
      <c r="Q575" s="1486"/>
      <c r="R575" s="1486"/>
      <c r="S575" s="1486"/>
      <c r="T575" s="945"/>
      <c r="U575" s="328" t="str">
        <f>D575</f>
        <v>宣传推广费</v>
      </c>
      <c r="V575" s="323">
        <f t="shared" si="348"/>
        <v>6.446667544320471E-2</v>
      </c>
      <c r="W575" s="323">
        <f t="shared" si="348"/>
        <v>9.9594324596643996E-2</v>
      </c>
      <c r="X575" s="323">
        <f t="shared" si="348"/>
        <v>9.2536537694092882E-2</v>
      </c>
      <c r="Y575" s="323">
        <f t="shared" si="348"/>
        <v>9.2361462826737031E-2</v>
      </c>
      <c r="Z575" s="323">
        <f t="shared" si="349"/>
        <v>7.1991087770590698E-2</v>
      </c>
      <c r="AA575" s="323">
        <f t="shared" si="349"/>
        <v>7.7730572592178637E-2</v>
      </c>
      <c r="AB575" s="323">
        <f t="shared" si="349"/>
        <v>6.8865170300331152E-2</v>
      </c>
      <c r="AC575" s="323">
        <f t="shared" si="349"/>
        <v>8.4039440831727694E-2</v>
      </c>
      <c r="AD575" s="323">
        <f t="shared" si="349"/>
        <v>7.2753104263451829E-2</v>
      </c>
      <c r="AE575" s="323">
        <f t="shared" si="349"/>
        <v>9.5285483914340885E-2</v>
      </c>
      <c r="AF575" s="323"/>
      <c r="AG575" s="323"/>
      <c r="AH575" s="872"/>
      <c r="AI575" s="872"/>
      <c r="AJ575" s="872"/>
      <c r="AK575" s="872"/>
      <c r="AL575" s="872"/>
      <c r="AM575" s="872"/>
      <c r="AN575" s="872"/>
      <c r="AO575" s="872"/>
      <c r="AP575" s="872"/>
      <c r="AQ575" s="872"/>
      <c r="AR575" s="872"/>
      <c r="AS575" s="872"/>
      <c r="AT575" s="872"/>
      <c r="AU575" s="872"/>
      <c r="AV575" s="872"/>
      <c r="AW575" s="872"/>
      <c r="AX575" s="872"/>
      <c r="AY575" s="945"/>
    </row>
    <row r="576" spans="2:81" s="38" customFormat="1">
      <c r="B576" s="845" t="str">
        <f t="shared" si="343"/>
        <v>Ads expense</v>
      </c>
      <c r="C576" s="328"/>
      <c r="D576" s="845" t="str">
        <f t="shared" si="344"/>
        <v>广告宣传费</v>
      </c>
      <c r="E576" s="322"/>
      <c r="F576" s="323"/>
      <c r="G576" s="323">
        <f>G567/G$9</f>
        <v>0.15877204420304267</v>
      </c>
      <c r="H576" s="323">
        <f>H567/H$9</f>
        <v>8.2041429305957564E-2</v>
      </c>
      <c r="I576" s="323">
        <f>I567/I$9</f>
        <v>5.7257204811705167E-2</v>
      </c>
      <c r="J576" s="766"/>
      <c r="K576" s="766"/>
      <c r="L576" s="766"/>
      <c r="M576" s="323">
        <f t="shared" si="347"/>
        <v>3.493966540252972E-2</v>
      </c>
      <c r="N576" s="1568"/>
      <c r="O576" s="766"/>
      <c r="P576" s="766"/>
      <c r="Q576" s="1486"/>
      <c r="R576" s="1486"/>
      <c r="S576" s="1486"/>
      <c r="T576" s="945"/>
      <c r="U576" s="328"/>
      <c r="V576" s="323"/>
      <c r="W576" s="323"/>
      <c r="X576" s="323"/>
      <c r="Y576" s="323"/>
      <c r="Z576" s="323"/>
      <c r="AA576" s="323"/>
      <c r="AB576" s="323"/>
      <c r="AC576" s="323"/>
      <c r="AD576" s="323"/>
      <c r="AE576" s="323"/>
      <c r="AF576" s="323"/>
      <c r="AG576" s="323"/>
      <c r="AH576" s="872"/>
      <c r="AI576" s="872"/>
      <c r="AJ576" s="872"/>
      <c r="AK576" s="872"/>
      <c r="AL576" s="872"/>
      <c r="AM576" s="872"/>
      <c r="AN576" s="872"/>
      <c r="AO576" s="872"/>
      <c r="AP576" s="872"/>
      <c r="AQ576" s="872"/>
      <c r="AR576" s="872"/>
      <c r="AS576" s="872"/>
      <c r="AT576" s="872"/>
      <c r="AU576" s="872"/>
      <c r="AV576" s="872"/>
      <c r="AW576" s="872"/>
      <c r="AX576" s="872"/>
      <c r="AY576" s="945"/>
    </row>
    <row r="577" spans="2:51" s="38" customFormat="1">
      <c r="B577" s="845" t="str">
        <f t="shared" si="343"/>
        <v>Channel expense</v>
      </c>
      <c r="C577" s="328"/>
      <c r="D577" s="845" t="str">
        <f t="shared" si="344"/>
        <v>渠道推广费</v>
      </c>
      <c r="E577" s="322"/>
      <c r="F577" s="323"/>
      <c r="G577" s="323">
        <f>G568/G$9</f>
        <v>1.9950183308965249E-2</v>
      </c>
      <c r="H577" s="323">
        <f>H568/H$9</f>
        <v>2.0182081219630714E-2</v>
      </c>
      <c r="I577" s="323">
        <f>I568/I$9</f>
        <v>2.4842096389080755E-2</v>
      </c>
      <c r="J577" s="766"/>
      <c r="K577" s="766"/>
      <c r="L577" s="766"/>
      <c r="M577" s="323">
        <f t="shared" si="347"/>
        <v>4.9145264778010192E-2</v>
      </c>
      <c r="N577" s="1568"/>
      <c r="O577" s="766"/>
      <c r="P577" s="766"/>
      <c r="Q577" s="1486"/>
      <c r="R577" s="1486"/>
      <c r="S577" s="1486"/>
      <c r="T577" s="945"/>
      <c r="U577" s="328"/>
      <c r="V577" s="323"/>
      <c r="W577" s="323"/>
      <c r="X577" s="323"/>
      <c r="Y577" s="323"/>
      <c r="Z577" s="323"/>
      <c r="AA577" s="323"/>
      <c r="AB577" s="323"/>
      <c r="AC577" s="323"/>
      <c r="AD577" s="323"/>
      <c r="AE577" s="323"/>
      <c r="AF577" s="323"/>
      <c r="AG577" s="323"/>
      <c r="AH577" s="872"/>
      <c r="AI577" s="872"/>
      <c r="AJ577" s="872"/>
      <c r="AK577" s="872"/>
      <c r="AL577" s="872"/>
      <c r="AM577" s="872"/>
      <c r="AN577" s="872"/>
      <c r="AO577" s="872"/>
      <c r="AP577" s="872"/>
      <c r="AQ577" s="872"/>
      <c r="AR577" s="872"/>
      <c r="AS577" s="872"/>
      <c r="AT577" s="872"/>
      <c r="AU577" s="872"/>
      <c r="AV577" s="872"/>
      <c r="AW577" s="872"/>
      <c r="AX577" s="872"/>
      <c r="AY577" s="945"/>
    </row>
    <row r="578" spans="2:51" s="38" customFormat="1" ht="14.25" customHeight="1">
      <c r="B578" s="328" t="str">
        <f t="shared" si="343"/>
        <v>Transportation</v>
      </c>
      <c r="C578" s="321"/>
      <c r="D578" s="328" t="str">
        <f t="shared" si="344"/>
        <v>运输费</v>
      </c>
      <c r="E578" s="322"/>
      <c r="F578" s="323"/>
      <c r="G578" s="323">
        <f t="shared" ref="G578:I579" si="350">G569/G$9</f>
        <v>2.8480847637961403E-2</v>
      </c>
      <c r="H578" s="323">
        <f t="shared" si="350"/>
        <v>2.6765637307051678E-2</v>
      </c>
      <c r="I578" s="323">
        <f>I569/I$9</f>
        <v>3.2569025856713708E-2</v>
      </c>
      <c r="J578" s="323">
        <f t="shared" ref="J578:L579" si="351">J569/J$9</f>
        <v>3.2422742084611349E-3</v>
      </c>
      <c r="K578" s="323">
        <f t="shared" si="351"/>
        <v>1.5261591074953505E-3</v>
      </c>
      <c r="L578" s="323">
        <f t="shared" si="351"/>
        <v>3.215067036848678E-3</v>
      </c>
      <c r="M578" s="323">
        <f t="shared" si="347"/>
        <v>3.7428042450773432E-3</v>
      </c>
      <c r="N578" s="1567">
        <f>+M578-0.05%</f>
        <v>3.2428042450773431E-3</v>
      </c>
      <c r="O578" s="765">
        <f>+N578-0.02%</f>
        <v>3.042804245077343E-3</v>
      </c>
      <c r="P578" s="765">
        <f t="shared" ref="P578:P580" si="352">+O578</f>
        <v>3.042804245077343E-3</v>
      </c>
      <c r="Q578" s="1485"/>
      <c r="R578" s="1485"/>
      <c r="S578" s="1485"/>
      <c r="T578" s="945"/>
      <c r="U578" s="328" t="str">
        <f>D578</f>
        <v>运输费</v>
      </c>
      <c r="V578" s="323">
        <f t="shared" ref="V578:Y579" si="353">V569/V$9</f>
        <v>3.2629051238554849E-2</v>
      </c>
      <c r="W578" s="323">
        <f t="shared" si="353"/>
        <v>3.2509472596681799E-2</v>
      </c>
      <c r="X578" s="323">
        <f t="shared" si="353"/>
        <v>3.131949013240936E-2</v>
      </c>
      <c r="Y578" s="323">
        <f t="shared" si="353"/>
        <v>-2.8129521715512782E-2</v>
      </c>
      <c r="Z578" s="323">
        <f t="shared" ref="Z578:AE579" si="354">Z569/Z$9</f>
        <v>2.258028367948214E-3</v>
      </c>
      <c r="AA578" s="323">
        <f t="shared" si="354"/>
        <v>7.8088970217097934E-4</v>
      </c>
      <c r="AB578" s="323">
        <f t="shared" si="354"/>
        <v>2.4927337035711003E-3</v>
      </c>
      <c r="AC578" s="323">
        <f t="shared" si="354"/>
        <v>3.8947739540413366E-3</v>
      </c>
      <c r="AD578" s="323">
        <f t="shared" si="354"/>
        <v>3.5470504222135349E-3</v>
      </c>
      <c r="AE578" s="323">
        <f t="shared" si="354"/>
        <v>3.9362903811709753E-3</v>
      </c>
      <c r="AF578" s="323"/>
      <c r="AG578" s="323"/>
      <c r="AH578" s="872"/>
      <c r="AI578" s="872"/>
      <c r="AJ578" s="872"/>
      <c r="AK578" s="872"/>
      <c r="AL578" s="872"/>
      <c r="AM578" s="872"/>
      <c r="AN578" s="872"/>
      <c r="AO578" s="872"/>
      <c r="AP578" s="872"/>
      <c r="AQ578" s="872"/>
      <c r="AR578" s="872"/>
      <c r="AS578" s="872"/>
      <c r="AT578" s="872"/>
      <c r="AU578" s="872"/>
      <c r="AV578" s="872"/>
      <c r="AW578" s="872"/>
      <c r="AX578" s="872"/>
      <c r="AY578" s="945"/>
    </row>
    <row r="579" spans="2:51" s="38" customFormat="1" ht="14.25" customHeight="1">
      <c r="B579" s="328" t="str">
        <f t="shared" si="343"/>
        <v>Stock payment</v>
      </c>
      <c r="C579" s="321"/>
      <c r="D579" s="328" t="str">
        <f t="shared" si="344"/>
        <v>股份支付</v>
      </c>
      <c r="E579" s="325"/>
      <c r="F579" s="846"/>
      <c r="G579" s="323">
        <f t="shared" si="350"/>
        <v>0</v>
      </c>
      <c r="H579" s="323">
        <f t="shared" si="350"/>
        <v>3.5949099768546448E-3</v>
      </c>
      <c r="I579" s="323">
        <f t="shared" si="350"/>
        <v>0</v>
      </c>
      <c r="J579" s="323">
        <f t="shared" si="351"/>
        <v>0</v>
      </c>
      <c r="K579" s="323">
        <f t="shared" si="351"/>
        <v>0</v>
      </c>
      <c r="L579" s="323">
        <f t="shared" si="351"/>
        <v>0</v>
      </c>
      <c r="M579" s="323">
        <f t="shared" si="347"/>
        <v>0</v>
      </c>
      <c r="N579" s="1567">
        <f t="shared" ref="N579:O580" si="355">+M579</f>
        <v>0</v>
      </c>
      <c r="O579" s="765">
        <f t="shared" si="355"/>
        <v>0</v>
      </c>
      <c r="P579" s="765">
        <f t="shared" si="352"/>
        <v>0</v>
      </c>
      <c r="Q579" s="1485"/>
      <c r="R579" s="1485"/>
      <c r="S579" s="1485"/>
      <c r="T579" s="945"/>
      <c r="U579" s="328" t="str">
        <f>D579</f>
        <v>股份支付</v>
      </c>
      <c r="V579" s="323">
        <f t="shared" si="353"/>
        <v>0</v>
      </c>
      <c r="W579" s="323">
        <f t="shared" si="353"/>
        <v>0</v>
      </c>
      <c r="X579" s="323">
        <f t="shared" si="353"/>
        <v>0</v>
      </c>
      <c r="Y579" s="323">
        <f t="shared" si="353"/>
        <v>0</v>
      </c>
      <c r="Z579" s="323">
        <f t="shared" si="354"/>
        <v>0</v>
      </c>
      <c r="AA579" s="323">
        <f t="shared" si="354"/>
        <v>0</v>
      </c>
      <c r="AB579" s="323">
        <f t="shared" si="354"/>
        <v>0</v>
      </c>
      <c r="AC579" s="323">
        <f t="shared" si="354"/>
        <v>0</v>
      </c>
      <c r="AD579" s="323">
        <f t="shared" si="354"/>
        <v>0</v>
      </c>
      <c r="AE579" s="323">
        <f t="shared" si="354"/>
        <v>0</v>
      </c>
      <c r="AF579" s="323"/>
      <c r="AG579" s="323"/>
      <c r="AH579" s="872"/>
      <c r="AI579" s="872"/>
      <c r="AJ579" s="872"/>
      <c r="AK579" s="872"/>
      <c r="AL579" s="872"/>
      <c r="AM579" s="872"/>
      <c r="AN579" s="872"/>
      <c r="AO579" s="872"/>
      <c r="AP579" s="872"/>
      <c r="AQ579" s="872"/>
      <c r="AR579" s="872"/>
      <c r="AS579" s="872"/>
      <c r="AT579" s="872"/>
      <c r="AU579" s="872"/>
      <c r="AV579" s="872"/>
      <c r="AW579" s="872"/>
      <c r="AX579" s="872"/>
      <c r="AY579" s="945"/>
    </row>
    <row r="580" spans="2:51" s="38" customFormat="1">
      <c r="B580" s="328" t="str">
        <f t="shared" si="343"/>
        <v>Other expense</v>
      </c>
      <c r="C580" s="324"/>
      <c r="D580" s="328" t="str">
        <f t="shared" si="344"/>
        <v>其他</v>
      </c>
      <c r="E580" s="325"/>
      <c r="F580" s="326"/>
      <c r="G580" s="326">
        <f t="shared" ref="G580:L580" si="356">G573-SUM(G574:G575,G578:G579)</f>
        <v>8.3381519966079787E-3</v>
      </c>
      <c r="H580" s="326">
        <f t="shared" si="356"/>
        <v>1.1470795129167793E-2</v>
      </c>
      <c r="I580" s="326">
        <f t="shared" si="356"/>
        <v>1.2357419070133324E-2</v>
      </c>
      <c r="J580" s="326">
        <f t="shared" si="356"/>
        <v>1.1233121961393477E-2</v>
      </c>
      <c r="K580" s="326">
        <f t="shared" si="356"/>
        <v>1.0748303170891343E-2</v>
      </c>
      <c r="L580" s="326">
        <f t="shared" si="356"/>
        <v>1.4362270827626478E-2</v>
      </c>
      <c r="M580" s="326">
        <f>M573-SUM(M574:M575,M578:M579)</f>
        <v>1.101600350592194E-2</v>
      </c>
      <c r="N580" s="1567">
        <f>+M580-0.2%</f>
        <v>9.0160035059219396E-3</v>
      </c>
      <c r="O580" s="765">
        <f t="shared" si="355"/>
        <v>9.0160035059219396E-3</v>
      </c>
      <c r="P580" s="765">
        <f t="shared" si="352"/>
        <v>9.0160035059219396E-3</v>
      </c>
      <c r="Q580" s="1485"/>
      <c r="R580" s="1485"/>
      <c r="S580" s="1485"/>
      <c r="T580" s="945"/>
      <c r="U580" s="328" t="str">
        <f>D580</f>
        <v>其他</v>
      </c>
      <c r="V580" s="323">
        <f t="shared" ref="V580:AE580" si="357">V$571/V$9</f>
        <v>7.9780124802047193E-3</v>
      </c>
      <c r="W580" s="323">
        <f t="shared" si="357"/>
        <v>1.6702380008920045E-2</v>
      </c>
      <c r="X580" s="323">
        <f t="shared" si="357"/>
        <v>8.8290508440041545E-3</v>
      </c>
      <c r="Y580" s="323">
        <f t="shared" si="357"/>
        <v>1.3919286739473484E-2</v>
      </c>
      <c r="Z580" s="323">
        <f t="shared" si="357"/>
        <v>8.1489987831021744E-3</v>
      </c>
      <c r="AA580" s="323">
        <f t="shared" si="357"/>
        <v>1.3395199467841932E-2</v>
      </c>
      <c r="AB580" s="323">
        <f t="shared" si="357"/>
        <v>1.1229964140125365E-2</v>
      </c>
      <c r="AC580" s="323">
        <f t="shared" si="357"/>
        <v>1.7309733479810571E-2</v>
      </c>
      <c r="AD580" s="323">
        <f t="shared" si="357"/>
        <v>9.6969832189784042E-3</v>
      </c>
      <c r="AE580" s="323">
        <f t="shared" si="357"/>
        <v>1.2319743759962212E-2</v>
      </c>
      <c r="AF580" s="323"/>
      <c r="AG580" s="323"/>
      <c r="AH580" s="872"/>
      <c r="AI580" s="872"/>
      <c r="AJ580" s="872"/>
      <c r="AK580" s="872"/>
      <c r="AL580" s="872"/>
      <c r="AM580" s="872"/>
      <c r="AN580" s="872"/>
      <c r="AO580" s="872"/>
      <c r="AP580" s="872"/>
      <c r="AQ580" s="872"/>
      <c r="AR580" s="872"/>
      <c r="AS580" s="872"/>
      <c r="AT580" s="872"/>
      <c r="AU580" s="872"/>
      <c r="AV580" s="872"/>
      <c r="AW580" s="872"/>
      <c r="AX580" s="872"/>
      <c r="AY580" s="945"/>
    </row>
    <row r="581" spans="2:51">
      <c r="B581" s="315"/>
      <c r="C581" s="315"/>
      <c r="D581" s="315"/>
      <c r="E581" s="316"/>
      <c r="F581" s="316"/>
      <c r="G581" s="316"/>
      <c r="H581" s="316"/>
      <c r="I581" s="316"/>
      <c r="J581" s="316"/>
      <c r="K581" s="316"/>
      <c r="L581" s="316"/>
      <c r="M581" s="316"/>
      <c r="N581" s="1565"/>
      <c r="O581" s="316"/>
      <c r="P581" s="316"/>
      <c r="U581" s="315"/>
    </row>
    <row r="582" spans="2:51" s="38" customFormat="1">
      <c r="B582" s="321" t="s">
        <v>509</v>
      </c>
      <c r="C582" s="321"/>
      <c r="D582" s="321" t="s">
        <v>900</v>
      </c>
      <c r="E582" s="322"/>
      <c r="F582" s="339"/>
      <c r="G582" s="339">
        <f t="shared" ref="G582:M582" si="358">G564/F564-1</f>
        <v>0.17473562169902968</v>
      </c>
      <c r="H582" s="339">
        <f t="shared" si="358"/>
        <v>1.4588499010488754E-2</v>
      </c>
      <c r="I582" s="339">
        <f t="shared" si="358"/>
        <v>5.7700820689440713E-2</v>
      </c>
      <c r="J582" s="339">
        <f t="shared" si="358"/>
        <v>0.31531496633223477</v>
      </c>
      <c r="K582" s="339">
        <f t="shared" si="358"/>
        <v>5.9114762976865354E-2</v>
      </c>
      <c r="L582" s="339">
        <f t="shared" si="358"/>
        <v>0.34941257630477862</v>
      </c>
      <c r="M582" s="339">
        <f t="shared" si="358"/>
        <v>0.37092551514900363</v>
      </c>
      <c r="N582" s="1569">
        <f>N564/M564-1</f>
        <v>0.25722500748909161</v>
      </c>
      <c r="O582" s="339">
        <f>O564/N564-1</f>
        <v>0.17850365786381817</v>
      </c>
      <c r="P582" s="339">
        <f>P564/O564-1</f>
        <v>0.15400153609654343</v>
      </c>
      <c r="Q582" s="347"/>
      <c r="R582" s="347"/>
      <c r="S582" s="347"/>
      <c r="T582" s="945"/>
      <c r="U582" s="328" t="str">
        <f>D582</f>
        <v>增长</v>
      </c>
      <c r="V582" s="682"/>
      <c r="W582" s="682"/>
      <c r="X582" s="682">
        <f t="shared" ref="X582:AE582" si="359">+X564/V564-1</f>
        <v>0.76613032286027649</v>
      </c>
      <c r="Y582" s="682">
        <f t="shared" si="359"/>
        <v>-3.1307530311565746E-2</v>
      </c>
      <c r="Z582" s="682">
        <f t="shared" si="359"/>
        <v>-0.12015161019563259</v>
      </c>
      <c r="AA582" s="682">
        <f t="shared" si="359"/>
        <v>0.31041546404719522</v>
      </c>
      <c r="AB582" s="682">
        <f t="shared" si="359"/>
        <v>0.22845737103272734</v>
      </c>
      <c r="AC582" s="682">
        <f t="shared" si="359"/>
        <v>0.46325870442361561</v>
      </c>
      <c r="AD582" s="682">
        <f t="shared" si="359"/>
        <v>0.41908568435720306</v>
      </c>
      <c r="AE582" s="682">
        <f t="shared" si="359"/>
        <v>0.33286973052839697</v>
      </c>
      <c r="AF582" s="682"/>
      <c r="AG582" s="682"/>
      <c r="AH582" s="635"/>
      <c r="AI582" s="635"/>
      <c r="AJ582" s="635"/>
      <c r="AK582" s="635"/>
      <c r="AL582" s="635"/>
      <c r="AM582" s="635"/>
      <c r="AN582" s="635"/>
      <c r="AO582" s="635"/>
      <c r="AP582" s="635"/>
      <c r="AQ582" s="635"/>
      <c r="AR582" s="635"/>
      <c r="AS582" s="635"/>
      <c r="AT582" s="635"/>
      <c r="AU582" s="635"/>
      <c r="AV582" s="635"/>
      <c r="AW582" s="635"/>
      <c r="AX582" s="635"/>
      <c r="AY582" s="945"/>
    </row>
    <row r="583" spans="2:51">
      <c r="F583" s="596"/>
      <c r="G583" s="596"/>
      <c r="H583" s="596"/>
      <c r="I583" s="596"/>
      <c r="K583" s="757"/>
      <c r="L583" s="757"/>
    </row>
    <row r="584" spans="2:51">
      <c r="B584" s="39" t="s">
        <v>1541</v>
      </c>
      <c r="F584" s="596"/>
      <c r="G584" s="596"/>
      <c r="H584" s="596"/>
      <c r="I584" s="596"/>
      <c r="K584" s="1359">
        <v>80</v>
      </c>
      <c r="L584" s="749">
        <f t="shared" ref="L584:P584" si="360">K584+L585</f>
        <v>120</v>
      </c>
      <c r="M584" s="749">
        <f t="shared" si="360"/>
        <v>305</v>
      </c>
      <c r="N584" s="2109">
        <v>405</v>
      </c>
      <c r="O584" s="1638">
        <f t="shared" si="360"/>
        <v>555</v>
      </c>
      <c r="P584" s="1638">
        <f t="shared" si="360"/>
        <v>705</v>
      </c>
    </row>
    <row r="585" spans="2:51">
      <c r="B585" s="36" t="s">
        <v>1357</v>
      </c>
      <c r="F585" s="596"/>
      <c r="G585" s="596"/>
      <c r="H585" s="596"/>
      <c r="I585" s="596"/>
      <c r="J585" s="749"/>
      <c r="K585" s="749"/>
      <c r="L585" s="1926">
        <v>40</v>
      </c>
      <c r="M585" s="2189">
        <v>185</v>
      </c>
      <c r="N585" s="2126">
        <v>150</v>
      </c>
      <c r="O585" s="1353">
        <v>150</v>
      </c>
      <c r="P585" s="1353">
        <v>150</v>
      </c>
      <c r="Q585" s="1353"/>
      <c r="R585" s="1353"/>
      <c r="S585" s="1353"/>
    </row>
    <row r="586" spans="2:51">
      <c r="B586" s="39" t="s">
        <v>1358</v>
      </c>
      <c r="F586" s="596"/>
      <c r="G586" s="596"/>
      <c r="H586" s="596"/>
      <c r="I586" s="596"/>
      <c r="K586" s="1359">
        <v>5</v>
      </c>
      <c r="L586" s="2190">
        <v>5</v>
      </c>
      <c r="M586" s="2190">
        <v>5</v>
      </c>
      <c r="N586" s="1570">
        <v>5</v>
      </c>
      <c r="O586" s="1359">
        <v>5</v>
      </c>
      <c r="P586" s="1359">
        <v>5</v>
      </c>
      <c r="Q586" s="1359"/>
      <c r="R586" s="1359"/>
      <c r="S586" s="1359"/>
    </row>
    <row r="587" spans="2:51" s="37" customFormat="1">
      <c r="B587" s="37" t="s">
        <v>1542</v>
      </c>
      <c r="C587" s="760"/>
      <c r="D587" s="760"/>
      <c r="E587" s="396"/>
      <c r="F587" s="1360"/>
      <c r="G587" s="1360"/>
      <c r="H587" s="1360"/>
      <c r="I587" s="1360"/>
      <c r="J587" s="396"/>
      <c r="K587" s="1361"/>
      <c r="L587" s="1362">
        <f t="shared" ref="L587:P587" si="361">L586*L585</f>
        <v>200</v>
      </c>
      <c r="M587" s="1362">
        <f t="shared" si="361"/>
        <v>925</v>
      </c>
      <c r="N587" s="1571">
        <f t="shared" si="361"/>
        <v>750</v>
      </c>
      <c r="O587" s="1362">
        <f t="shared" si="361"/>
        <v>750</v>
      </c>
      <c r="P587" s="1362">
        <f t="shared" si="361"/>
        <v>750</v>
      </c>
      <c r="Q587" s="1362"/>
      <c r="R587" s="1362"/>
      <c r="S587" s="1362"/>
      <c r="T587" s="944"/>
      <c r="U587" s="760"/>
      <c r="V587" s="396"/>
      <c r="W587" s="396"/>
      <c r="X587" s="396"/>
      <c r="Y587" s="396"/>
      <c r="Z587" s="396"/>
      <c r="AA587" s="396"/>
      <c r="AB587" s="396"/>
      <c r="AC587" s="396"/>
      <c r="AD587" s="396"/>
      <c r="AE587" s="396"/>
      <c r="AF587" s="396"/>
      <c r="AG587" s="396"/>
      <c r="AH587" s="396"/>
      <c r="AI587" s="396"/>
      <c r="AJ587" s="396"/>
      <c r="AK587" s="396"/>
      <c r="AL587" s="396"/>
      <c r="AM587" s="396"/>
      <c r="AN587" s="396"/>
      <c r="AO587" s="396"/>
      <c r="AP587" s="396"/>
      <c r="AQ587" s="396"/>
      <c r="AR587" s="396"/>
      <c r="AS587" s="396"/>
      <c r="AT587" s="396"/>
      <c r="AU587" s="396"/>
      <c r="AV587" s="396"/>
      <c r="AW587" s="396"/>
      <c r="AX587" s="396"/>
      <c r="AY587" s="944"/>
    </row>
    <row r="588" spans="2:51">
      <c r="B588" s="36" t="s">
        <v>1359</v>
      </c>
      <c r="F588" s="596"/>
      <c r="G588" s="596"/>
      <c r="H588" s="596"/>
      <c r="I588" s="596"/>
      <c r="K588" s="757"/>
      <c r="L588" s="492">
        <f t="shared" ref="L588:P588" si="362">L587/L564</f>
        <v>0.10226667043835079</v>
      </c>
      <c r="M588" s="492">
        <f t="shared" si="362"/>
        <v>0.34501024712926481</v>
      </c>
      <c r="N588" s="1533">
        <f t="shared" si="362"/>
        <v>0.22250435407072075</v>
      </c>
      <c r="O588" s="492">
        <f t="shared" si="362"/>
        <v>0.18880242974725855</v>
      </c>
      <c r="P588" s="492">
        <f t="shared" si="362"/>
        <v>0.16360674040858764</v>
      </c>
      <c r="Q588" s="492"/>
      <c r="R588" s="492"/>
      <c r="S588" s="492"/>
    </row>
    <row r="589" spans="2:51">
      <c r="B589" s="36" t="s">
        <v>1360</v>
      </c>
      <c r="F589" s="596"/>
      <c r="G589" s="596"/>
      <c r="H589" s="596"/>
      <c r="I589" s="596"/>
      <c r="K589" s="757"/>
      <c r="L589" s="492">
        <f t="shared" ref="L589:P589" si="363">L587/L566</f>
        <v>0.23157137789241297</v>
      </c>
      <c r="M589" s="492">
        <f t="shared" si="363"/>
        <v>0.69454416778434203</v>
      </c>
      <c r="N589" s="1533">
        <f t="shared" si="363"/>
        <v>0.45006084380915706</v>
      </c>
      <c r="O589" s="492">
        <f t="shared" si="363"/>
        <v>0.38956928442500594</v>
      </c>
      <c r="P589" s="492">
        <f t="shared" si="363"/>
        <v>0.33889181521017109</v>
      </c>
      <c r="Q589" s="492"/>
      <c r="R589" s="492"/>
      <c r="S589" s="492"/>
    </row>
    <row r="590" spans="2:51">
      <c r="B590" s="36" t="s">
        <v>1543</v>
      </c>
      <c r="F590" s="596"/>
      <c r="G590" s="596"/>
      <c r="H590" s="596"/>
      <c r="I590" s="596"/>
      <c r="K590" s="757"/>
      <c r="L590" s="492">
        <f t="shared" ref="L590:P590" si="364">L587/L9</f>
        <v>1.7757582933770333E-2</v>
      </c>
      <c r="M590" s="492">
        <f t="shared" si="364"/>
        <v>5.8400697855447589E-2</v>
      </c>
      <c r="N590" s="1533">
        <f t="shared" si="364"/>
        <v>3.5728048662784812E-2</v>
      </c>
      <c r="O590" s="492">
        <f t="shared" si="364"/>
        <v>2.9523481020631966E-2</v>
      </c>
      <c r="P590" s="492">
        <f t="shared" si="364"/>
        <v>2.5174554831643992E-2</v>
      </c>
      <c r="Q590" s="492"/>
      <c r="R590" s="492"/>
      <c r="S590" s="492"/>
    </row>
    <row r="591" spans="2:51">
      <c r="B591" s="36" t="s">
        <v>1544</v>
      </c>
      <c r="F591" s="596"/>
      <c r="G591" s="596"/>
      <c r="H591" s="596"/>
      <c r="I591" s="596"/>
      <c r="K591" s="757"/>
      <c r="L591" s="492">
        <f t="shared" ref="L591:P591" si="365">L587/L65</f>
        <v>9.8050135591396928E-2</v>
      </c>
      <c r="M591" s="492">
        <f t="shared" si="365"/>
        <v>0.27805258621341361</v>
      </c>
      <c r="N591" s="1533">
        <f t="shared" si="365"/>
        <v>0.16437103304752582</v>
      </c>
      <c r="O591" s="492">
        <f t="shared" si="365"/>
        <v>0.13260724719199293</v>
      </c>
      <c r="P591" s="492">
        <f t="shared" si="365"/>
        <v>0.11104532288020361</v>
      </c>
      <c r="Q591" s="492"/>
      <c r="R591" s="492"/>
      <c r="S591" s="492"/>
    </row>
    <row r="592" spans="2:51">
      <c r="B592" s="36" t="s">
        <v>1752</v>
      </c>
      <c r="F592" s="596"/>
      <c r="G592" s="2016"/>
      <c r="H592" s="2016"/>
      <c r="I592" s="2016"/>
      <c r="J592" s="2016">
        <f t="shared" ref="J592:P592" si="366">J569/(J106+J201)*1000</f>
        <v>13.363829103287854</v>
      </c>
      <c r="K592" s="2016">
        <f t="shared" si="366"/>
        <v>6.3148559858569095</v>
      </c>
      <c r="L592" s="2016">
        <f t="shared" si="366"/>
        <v>12.673687179991537</v>
      </c>
      <c r="M592" s="2016">
        <f t="shared" si="366"/>
        <v>14.059502092736892</v>
      </c>
      <c r="N592" s="2127">
        <f t="shared" si="366"/>
        <v>11.223743177879191</v>
      </c>
      <c r="O592" s="2016">
        <f t="shared" si="366"/>
        <v>10.284091480463426</v>
      </c>
      <c r="P592" s="2016">
        <f t="shared" si="366"/>
        <v>10.168213962039294</v>
      </c>
      <c r="Q592" s="492"/>
      <c r="R592" s="492"/>
      <c r="S592" s="492"/>
    </row>
    <row r="593" spans="2:51">
      <c r="B593" s="36"/>
      <c r="F593" s="596"/>
      <c r="G593" s="596"/>
      <c r="H593" s="596"/>
      <c r="I593" s="596"/>
      <c r="J593" s="2298">
        <f t="shared" ref="J593:M593" si="367">J594-I594</f>
        <v>75.002577419999966</v>
      </c>
      <c r="K593" s="2298">
        <f t="shared" si="367"/>
        <v>4.8382573900000239</v>
      </c>
      <c r="L593" s="2298">
        <f t="shared" si="367"/>
        <v>123.70530219000005</v>
      </c>
      <c r="M593" s="2298">
        <f t="shared" si="367"/>
        <v>65.339966249999975</v>
      </c>
      <c r="N593" s="2298">
        <f>N594-M594</f>
        <v>121.08767862716127</v>
      </c>
      <c r="O593" s="2298">
        <f t="shared" ref="O593:P593" si="368">O594-N594</f>
        <v>100.12852666601248</v>
      </c>
      <c r="P593" s="2298">
        <f t="shared" si="368"/>
        <v>89.802686661294956</v>
      </c>
      <c r="Q593" s="492"/>
      <c r="R593" s="492"/>
      <c r="S593" s="492"/>
    </row>
    <row r="594" spans="2:51" s="37" customFormat="1">
      <c r="B594" s="916" t="s">
        <v>914</v>
      </c>
      <c r="C594" s="916"/>
      <c r="D594" s="916" t="s">
        <v>92</v>
      </c>
      <c r="E594" s="917"/>
      <c r="F594" s="918">
        <f t="shared" ref="F594:M594" si="369">F49</f>
        <v>110.78879999999999</v>
      </c>
      <c r="G594" s="918">
        <f t="shared" si="369"/>
        <v>143.62835716000001</v>
      </c>
      <c r="H594" s="918">
        <f t="shared" si="369"/>
        <v>229.257563</v>
      </c>
      <c r="I594" s="918">
        <f t="shared" si="369"/>
        <v>219.43897251999999</v>
      </c>
      <c r="J594" s="918">
        <f t="shared" si="369"/>
        <v>294.44154993999996</v>
      </c>
      <c r="K594" s="918">
        <f t="shared" si="369"/>
        <v>299.27980732999998</v>
      </c>
      <c r="L594" s="918">
        <f t="shared" si="369"/>
        <v>422.98510952000004</v>
      </c>
      <c r="M594" s="918">
        <f t="shared" si="369"/>
        <v>488.32507577000001</v>
      </c>
      <c r="N594" s="1572">
        <f>+SUM(N595:N599)</f>
        <v>609.41275439716128</v>
      </c>
      <c r="O594" s="918">
        <f>+SUM(O595:O599)</f>
        <v>709.54128106317376</v>
      </c>
      <c r="P594" s="918">
        <f>+SUM(P595:P599)</f>
        <v>799.34396772446871</v>
      </c>
      <c r="Q594" s="1487"/>
      <c r="R594" s="1487"/>
      <c r="S594" s="1487"/>
      <c r="T594" s="944"/>
      <c r="U594" s="916" t="str">
        <f>D594</f>
        <v>管理费用</v>
      </c>
      <c r="V594" s="918">
        <f>V49</f>
        <v>103.3502</v>
      </c>
      <c r="W594" s="937">
        <f>+I594-V594</f>
        <v>116.08877251999999</v>
      </c>
      <c r="X594" s="918">
        <f>X49</f>
        <v>152.51555503</v>
      </c>
      <c r="Y594" s="937">
        <f>+J594-X594</f>
        <v>141.92599490999996</v>
      </c>
      <c r="Z594" s="918">
        <f t="shared" ref="Z594:AE594" si="370">Z49</f>
        <v>151.35686418</v>
      </c>
      <c r="AA594" s="918">
        <f t="shared" si="370"/>
        <v>147.92294314999998</v>
      </c>
      <c r="AB594" s="918">
        <f t="shared" si="370"/>
        <v>189.16727400000002</v>
      </c>
      <c r="AC594" s="918">
        <f t="shared" si="370"/>
        <v>233.81783552000002</v>
      </c>
      <c r="AD594" s="918">
        <f t="shared" si="370"/>
        <v>222.83853200000001</v>
      </c>
      <c r="AE594" s="918">
        <f t="shared" si="370"/>
        <v>265.48654377000003</v>
      </c>
      <c r="AF594" s="918"/>
      <c r="AG594" s="918"/>
      <c r="AH594" s="1487"/>
      <c r="AI594" s="1487"/>
      <c r="AJ594" s="937"/>
      <c r="AK594" s="937"/>
      <c r="AL594" s="937"/>
      <c r="AM594" s="937"/>
      <c r="AN594" s="937"/>
      <c r="AO594" s="937"/>
      <c r="AP594" s="937"/>
      <c r="AQ594" s="937"/>
      <c r="AR594" s="937"/>
      <c r="AS594" s="937"/>
      <c r="AT594" s="937"/>
      <c r="AU594" s="937"/>
      <c r="AV594" s="937"/>
      <c r="AW594" s="937"/>
      <c r="AX594" s="937"/>
      <c r="AY594" s="944"/>
    </row>
    <row r="595" spans="2:51">
      <c r="B595" s="327" t="s">
        <v>915</v>
      </c>
      <c r="C595" s="315"/>
      <c r="D595" s="327" t="s">
        <v>1169</v>
      </c>
      <c r="E595" s="316"/>
      <c r="F595" s="367"/>
      <c r="G595" s="367">
        <f>7153.6/100</f>
        <v>71.536000000000001</v>
      </c>
      <c r="H595" s="367">
        <f>9574.33/100</f>
        <v>95.743300000000005</v>
      </c>
      <c r="I595" s="367">
        <f>9401.83/100</f>
        <v>94.018299999999996</v>
      </c>
      <c r="J595" s="1138">
        <v>124.37192930000001</v>
      </c>
      <c r="K595" s="1138">
        <v>139.51504800000001</v>
      </c>
      <c r="L595" s="1138">
        <v>205.95079751</v>
      </c>
      <c r="M595" s="2091">
        <v>231.54289661999999</v>
      </c>
      <c r="N595" s="1564">
        <f t="shared" ref="N595:O599" si="371">+N$9*N602</f>
        <v>311.07212625260445</v>
      </c>
      <c r="O595" s="592">
        <f t="shared" si="371"/>
        <v>363.74437204353478</v>
      </c>
      <c r="P595" s="592">
        <f t="shared" ref="P595:P599" si="372">+P$9*P602</f>
        <v>411.68553460820755</v>
      </c>
      <c r="Q595" s="483"/>
      <c r="R595" s="483"/>
      <c r="S595" s="483"/>
      <c r="U595" s="327" t="str">
        <f>D595</f>
        <v>职工薪酬</v>
      </c>
      <c r="V595" s="367">
        <f>50393062.56/1000000</f>
        <v>50.393062560000004</v>
      </c>
      <c r="W595" s="592">
        <f>+I595-V595</f>
        <v>43.625237439999992</v>
      </c>
      <c r="X595" s="367">
        <f>67873515.32/1000000</f>
        <v>67.873515319999996</v>
      </c>
      <c r="Y595" s="592">
        <f>+J595-X595</f>
        <v>56.498413980000009</v>
      </c>
      <c r="Z595" s="367">
        <v>76.553110040000007</v>
      </c>
      <c r="AA595" s="592">
        <f>+K595-Z595</f>
        <v>62.96193796</v>
      </c>
      <c r="AB595" s="367">
        <v>94.968000000000004</v>
      </c>
      <c r="AC595" s="592">
        <f>+L595-AB595</f>
        <v>110.98279751</v>
      </c>
      <c r="AD595" s="367">
        <v>99.168729999999996</v>
      </c>
      <c r="AE595" s="592">
        <f>+M595-AD595</f>
        <v>132.37416661999998</v>
      </c>
      <c r="AF595" s="592"/>
      <c r="AG595" s="592"/>
      <c r="AH595" s="483"/>
      <c r="AI595" s="483"/>
      <c r="AJ595" s="483"/>
      <c r="AK595" s="483"/>
      <c r="AL595" s="483"/>
      <c r="AM595" s="483"/>
      <c r="AN595" s="483"/>
      <c r="AO595" s="483"/>
      <c r="AP595" s="483"/>
      <c r="AQ595" s="483"/>
      <c r="AR595" s="483"/>
      <c r="AS595" s="483"/>
      <c r="AT595" s="483"/>
      <c r="AU595" s="483"/>
      <c r="AV595" s="483"/>
      <c r="AW595" s="483"/>
      <c r="AX595" s="483"/>
    </row>
    <row r="596" spans="2:51">
      <c r="B596" s="327" t="s">
        <v>1007</v>
      </c>
      <c r="C596" s="315"/>
      <c r="D596" s="752" t="s">
        <v>1177</v>
      </c>
      <c r="E596" s="316"/>
      <c r="F596" s="367"/>
      <c r="G596" s="367">
        <f>1621.77/100</f>
        <v>16.217700000000001</v>
      </c>
      <c r="H596" s="367">
        <f>1433.45/100</f>
        <v>14.3345</v>
      </c>
      <c r="I596" s="367">
        <f>2548.62/100</f>
        <v>25.4862</v>
      </c>
      <c r="J596" s="1138">
        <f>44.53786882+4.65763065</f>
        <v>49.195499470000001</v>
      </c>
      <c r="K596" s="1138">
        <f>35.47093278+8.50388584</f>
        <v>43.974818620000001</v>
      </c>
      <c r="L596" s="1138">
        <f>41.49512965+8.590749</f>
        <v>50.085878650000005</v>
      </c>
      <c r="M596" s="1138">
        <f>(55908410.98+7812479.56 )/10^6</f>
        <v>63.720890539999999</v>
      </c>
      <c r="N596" s="1564">
        <f t="shared" si="371"/>
        <v>73.956077378614822</v>
      </c>
      <c r="O596" s="592">
        <f t="shared" si="371"/>
        <v>76.796714110621366</v>
      </c>
      <c r="P596" s="592">
        <f t="shared" si="372"/>
        <v>75.167419807290173</v>
      </c>
      <c r="Q596" s="483"/>
      <c r="R596" s="483"/>
      <c r="S596" s="483"/>
      <c r="U596" s="327" t="str">
        <f>D596</f>
        <v>折旧与摊销</v>
      </c>
      <c r="V596" s="367">
        <f>10662169.82/1000000</f>
        <v>10.662169820000001</v>
      </c>
      <c r="W596" s="592">
        <f>+I596-V596</f>
        <v>14.824030179999999</v>
      </c>
      <c r="X596" s="367">
        <f>18547013.13/1000000</f>
        <v>18.54701313</v>
      </c>
      <c r="Y596" s="592">
        <f>+J596-X596</f>
        <v>30.648486340000002</v>
      </c>
      <c r="Z596" s="367">
        <v>19.694906920000001</v>
      </c>
      <c r="AA596" s="592">
        <f>+K596-Z596</f>
        <v>24.2799117</v>
      </c>
      <c r="AB596" s="367">
        <v>17.901</v>
      </c>
      <c r="AC596" s="592">
        <f>+L596-AB596</f>
        <v>32.184878650000002</v>
      </c>
      <c r="AD596" s="367">
        <v>27.533000000000001</v>
      </c>
      <c r="AE596" s="592">
        <f>+M596-AD596</f>
        <v>36.187890539999998</v>
      </c>
      <c r="AF596" s="592"/>
      <c r="AG596" s="592"/>
      <c r="AH596" s="483"/>
      <c r="AI596" s="483"/>
      <c r="AJ596" s="483"/>
      <c r="AK596" s="483"/>
      <c r="AL596" s="483"/>
      <c r="AM596" s="483"/>
      <c r="AN596" s="483"/>
      <c r="AO596" s="483"/>
      <c r="AP596" s="483"/>
      <c r="AQ596" s="483"/>
      <c r="AR596" s="483"/>
      <c r="AS596" s="483"/>
      <c r="AT596" s="483"/>
      <c r="AU596" s="483"/>
      <c r="AV596" s="483"/>
      <c r="AW596" s="483"/>
      <c r="AX596" s="483"/>
    </row>
    <row r="597" spans="2:51">
      <c r="B597" s="327" t="s">
        <v>928</v>
      </c>
      <c r="C597" s="315"/>
      <c r="D597" s="327" t="s">
        <v>927</v>
      </c>
      <c r="E597" s="316"/>
      <c r="F597" s="367"/>
      <c r="G597" s="367">
        <f>2180.82/100</f>
        <v>21.808200000000003</v>
      </c>
      <c r="H597" s="367">
        <f>2803.03/100</f>
        <v>28.0303</v>
      </c>
      <c r="I597" s="367">
        <f>3554.25/100</f>
        <v>35.542499999999997</v>
      </c>
      <c r="J597" s="1138">
        <v>42.798954960000003</v>
      </c>
      <c r="K597" s="1138">
        <v>43.754839830000002</v>
      </c>
      <c r="L597" s="1138">
        <v>54.390726600000001</v>
      </c>
      <c r="M597" s="2091">
        <f>62671297.9/10^6</f>
        <v>62.671297899999999</v>
      </c>
      <c r="N597" s="1564">
        <f t="shared" si="371"/>
        <v>83.060962431481556</v>
      </c>
      <c r="O597" s="592">
        <f t="shared" si="371"/>
        <v>100.51680916812806</v>
      </c>
      <c r="P597" s="592">
        <f t="shared" si="372"/>
        <v>117.8811751618139</v>
      </c>
      <c r="Q597" s="483"/>
      <c r="R597" s="483"/>
      <c r="S597" s="483"/>
      <c r="U597" s="327" t="str">
        <f>D597</f>
        <v>研发费</v>
      </c>
      <c r="V597" s="367">
        <f>15311585.07/1000000</f>
        <v>15.31158507</v>
      </c>
      <c r="W597" s="592">
        <f>+I597-V597</f>
        <v>20.230914929999997</v>
      </c>
      <c r="X597" s="367">
        <f>20454375.74/1000000</f>
        <v>20.45437574</v>
      </c>
      <c r="Y597" s="592">
        <f>+J597-X597</f>
        <v>22.344579220000004</v>
      </c>
      <c r="Z597" s="367">
        <v>20.476132010000001</v>
      </c>
      <c r="AA597" s="592">
        <f>+K597-Z597</f>
        <v>23.278707820000001</v>
      </c>
      <c r="AB597" s="367">
        <v>25.433</v>
      </c>
      <c r="AC597" s="592">
        <f>+L597-AB597</f>
        <v>28.957726600000001</v>
      </c>
      <c r="AD597" s="367">
        <v>29.62</v>
      </c>
      <c r="AE597" s="592">
        <f>+M597-AD597</f>
        <v>33.051297899999994</v>
      </c>
      <c r="AF597" s="592"/>
      <c r="AG597" s="592"/>
      <c r="AH597" s="483"/>
      <c r="AI597" s="483"/>
      <c r="AJ597" s="483"/>
      <c r="AK597" s="483"/>
      <c r="AL597" s="483"/>
      <c r="AM597" s="483"/>
      <c r="AN597" s="483"/>
      <c r="AO597" s="483"/>
      <c r="AP597" s="483"/>
      <c r="AQ597" s="483"/>
      <c r="AR597" s="483"/>
      <c r="AS597" s="483"/>
      <c r="AT597" s="483"/>
      <c r="AU597" s="483"/>
      <c r="AV597" s="483"/>
      <c r="AW597" s="483"/>
      <c r="AX597" s="483"/>
    </row>
    <row r="598" spans="2:51">
      <c r="B598" s="327" t="s">
        <v>1179</v>
      </c>
      <c r="C598" s="315"/>
      <c r="D598" s="327" t="s">
        <v>1178</v>
      </c>
      <c r="E598" s="316"/>
      <c r="F598" s="367"/>
      <c r="G598" s="367"/>
      <c r="H598" s="367">
        <v>45.39</v>
      </c>
      <c r="I598" s="367">
        <f>571.1/100</f>
        <v>5.7110000000000003</v>
      </c>
      <c r="J598" s="1138">
        <v>0</v>
      </c>
      <c r="K598" s="1138">
        <v>0</v>
      </c>
      <c r="L598" s="1138">
        <v>0</v>
      </c>
      <c r="M598" s="2091">
        <v>0</v>
      </c>
      <c r="N598" s="1564">
        <f t="shared" si="371"/>
        <v>0</v>
      </c>
      <c r="O598" s="592">
        <f t="shared" si="371"/>
        <v>0</v>
      </c>
      <c r="P598" s="592">
        <f t="shared" si="372"/>
        <v>0</v>
      </c>
      <c r="Q598" s="483"/>
      <c r="R598" s="483"/>
      <c r="S598" s="483"/>
      <c r="U598" s="327" t="str">
        <f>D598</f>
        <v>股份支付</v>
      </c>
      <c r="V598" s="367">
        <v>0</v>
      </c>
      <c r="W598" s="592">
        <f>+I598-V598</f>
        <v>5.7110000000000003</v>
      </c>
      <c r="X598" s="367">
        <v>0</v>
      </c>
      <c r="Y598" s="592">
        <f>+J598-X598</f>
        <v>0</v>
      </c>
      <c r="Z598" s="367">
        <v>0</v>
      </c>
      <c r="AA598" s="592">
        <f>+K598-Z598</f>
        <v>0</v>
      </c>
      <c r="AB598" s="367">
        <v>0</v>
      </c>
      <c r="AC598" s="592">
        <f>+L598-AB598</f>
        <v>0</v>
      </c>
      <c r="AD598" s="367">
        <v>0</v>
      </c>
      <c r="AE598" s="592">
        <f>+M598-AD598</f>
        <v>0</v>
      </c>
      <c r="AF598" s="592"/>
      <c r="AG598" s="592"/>
      <c r="AH598" s="483"/>
      <c r="AI598" s="483"/>
      <c r="AJ598" s="483"/>
      <c r="AK598" s="483"/>
      <c r="AL598" s="483"/>
      <c r="AM598" s="483"/>
      <c r="AN598" s="483"/>
      <c r="AO598" s="483"/>
      <c r="AP598" s="483"/>
      <c r="AQ598" s="483"/>
      <c r="AR598" s="483"/>
      <c r="AS598" s="483"/>
      <c r="AT598" s="483"/>
      <c r="AU598" s="483"/>
      <c r="AV598" s="483"/>
      <c r="AW598" s="483"/>
      <c r="AX598" s="483"/>
    </row>
    <row r="599" spans="2:51">
      <c r="B599" s="327" t="s">
        <v>207</v>
      </c>
      <c r="C599" s="315"/>
      <c r="D599" s="327" t="s">
        <v>861</v>
      </c>
      <c r="E599" s="316"/>
      <c r="F599" s="742"/>
      <c r="G599" s="742">
        <f t="shared" ref="G599:L599" si="373">G594-SUM(G595:G598)</f>
        <v>34.066457159999999</v>
      </c>
      <c r="H599" s="742">
        <f t="shared" si="373"/>
        <v>45.759462999999982</v>
      </c>
      <c r="I599" s="742">
        <f t="shared" si="373"/>
        <v>58.680972519999983</v>
      </c>
      <c r="J599" s="742">
        <f t="shared" si="373"/>
        <v>78.075166209999963</v>
      </c>
      <c r="K599" s="742">
        <f t="shared" si="373"/>
        <v>72.035100879999959</v>
      </c>
      <c r="L599" s="742">
        <f t="shared" si="373"/>
        <v>112.55770676000003</v>
      </c>
      <c r="M599" s="742">
        <f>M594-SUM(M595:M598)</f>
        <v>130.38999071000001</v>
      </c>
      <c r="N599" s="1564">
        <f t="shared" si="371"/>
        <v>141.3235883344604</v>
      </c>
      <c r="O599" s="592">
        <f t="shared" si="371"/>
        <v>168.48338574088962</v>
      </c>
      <c r="P599" s="592">
        <f t="shared" si="372"/>
        <v>194.60983814715709</v>
      </c>
      <c r="Q599" s="483"/>
      <c r="R599" s="483"/>
      <c r="S599" s="483"/>
      <c r="U599" s="327" t="str">
        <f>D599</f>
        <v>其他</v>
      </c>
      <c r="V599" s="763">
        <f>V594-SUM(V595:V598)</f>
        <v>26.983382549999988</v>
      </c>
      <c r="W599" s="592">
        <f>+I599-V599</f>
        <v>31.697589969999996</v>
      </c>
      <c r="X599" s="763">
        <f>X594-SUM(X595:X598)</f>
        <v>45.640650840000006</v>
      </c>
      <c r="Y599" s="592">
        <f>+J599-X599</f>
        <v>32.434515369999957</v>
      </c>
      <c r="Z599" s="763">
        <f>Z594-SUM(Z595:Z598)</f>
        <v>34.632715210000001</v>
      </c>
      <c r="AA599" s="592">
        <f>+K599-Z599</f>
        <v>37.402385669999958</v>
      </c>
      <c r="AB599" s="592">
        <f>AB594-SUM(AB595:AB598)</f>
        <v>50.865274000000028</v>
      </c>
      <c r="AC599" s="592">
        <f>AC594-SUM(AC595:AC598)</f>
        <v>61.692432760000031</v>
      </c>
      <c r="AD599" s="592">
        <f>AD594-SUM(AD595:AD598)</f>
        <v>66.516802000000013</v>
      </c>
      <c r="AE599" s="592">
        <f>AE594-SUM(AE595:AE598)</f>
        <v>63.873188710000022</v>
      </c>
      <c r="AF599" s="592"/>
      <c r="AG599" s="592"/>
      <c r="AH599" s="483"/>
      <c r="AI599" s="483"/>
      <c r="AJ599" s="483"/>
      <c r="AK599" s="483"/>
      <c r="AL599" s="483"/>
      <c r="AM599" s="483"/>
      <c r="AN599" s="483"/>
      <c r="AO599" s="483"/>
      <c r="AP599" s="483"/>
      <c r="AQ599" s="483"/>
      <c r="AR599" s="483"/>
      <c r="AS599" s="483"/>
      <c r="AT599" s="483"/>
      <c r="AU599" s="483"/>
      <c r="AV599" s="483"/>
      <c r="AW599" s="483"/>
      <c r="AX599" s="483"/>
    </row>
    <row r="600" spans="2:51">
      <c r="B600" s="315"/>
      <c r="C600" s="315"/>
      <c r="D600" s="315"/>
      <c r="E600" s="316"/>
      <c r="F600" s="316"/>
      <c r="G600" s="316"/>
      <c r="H600" s="316"/>
      <c r="I600" s="316"/>
      <c r="J600" s="316"/>
      <c r="K600" s="316"/>
      <c r="L600" s="316"/>
      <c r="M600" s="316"/>
      <c r="N600" s="1565"/>
      <c r="O600" s="316"/>
      <c r="P600" s="316"/>
      <c r="U600" s="315"/>
    </row>
    <row r="601" spans="2:51" s="55" customFormat="1" ht="10.5">
      <c r="B601" s="318" t="s">
        <v>916</v>
      </c>
      <c r="C601" s="318"/>
      <c r="D601" s="318" t="s">
        <v>64</v>
      </c>
      <c r="E601" s="319"/>
      <c r="F601" s="320">
        <f t="shared" ref="F601:L601" si="374">F594/F$9</f>
        <v>3.8957909810776223E-2</v>
      </c>
      <c r="G601" s="320">
        <f t="shared" si="374"/>
        <v>4.7284495452224476E-2</v>
      </c>
      <c r="H601" s="320">
        <f t="shared" si="374"/>
        <v>5.4471929973435709E-2</v>
      </c>
      <c r="I601" s="320">
        <f t="shared" si="374"/>
        <v>4.4255088560627591E-2</v>
      </c>
      <c r="J601" s="320">
        <f t="shared" si="374"/>
        <v>4.2196767117509117E-2</v>
      </c>
      <c r="K601" s="320">
        <f t="shared" si="374"/>
        <v>3.5187077466514456E-2</v>
      </c>
      <c r="L601" s="320">
        <f t="shared" si="374"/>
        <v>3.7555965810256643E-2</v>
      </c>
      <c r="M601" s="320">
        <f>M594/M$9</f>
        <v>3.0830838059764672E-2</v>
      </c>
      <c r="N601" s="1573">
        <f>+SUM(N602:N606)</f>
        <v>2.9030838059764669E-2</v>
      </c>
      <c r="O601" s="320">
        <f>+SUM(O602:O606)</f>
        <v>2.7930838059764668E-2</v>
      </c>
      <c r="P601" s="320">
        <f>+SUM(P602:P606)</f>
        <v>2.6830838059764668E-2</v>
      </c>
      <c r="Q601" s="1231"/>
      <c r="R601" s="1231"/>
      <c r="S601" s="1231"/>
      <c r="T601" s="947"/>
      <c r="U601" s="318" t="str">
        <f>D601</f>
        <v>管理费用率</v>
      </c>
      <c r="V601" s="320">
        <f t="shared" ref="V601:AE601" si="375">V594/V$9</f>
        <v>4.185129016121604E-2</v>
      </c>
      <c r="W601" s="320">
        <f t="shared" si="375"/>
        <v>4.663998019735769E-2</v>
      </c>
      <c r="X601" s="320">
        <f t="shared" si="375"/>
        <v>4.1418987895209133E-2</v>
      </c>
      <c r="Y601" s="320">
        <f t="shared" si="375"/>
        <v>4.3065810939446253E-2</v>
      </c>
      <c r="Z601" s="320">
        <f t="shared" si="375"/>
        <v>3.5270845973409369E-2</v>
      </c>
      <c r="AA601" s="320">
        <f t="shared" si="375"/>
        <v>3.5101775201899804E-2</v>
      </c>
      <c r="AB601" s="320">
        <f t="shared" si="375"/>
        <v>3.4644847466385971E-2</v>
      </c>
      <c r="AC601" s="320">
        <f t="shared" si="375"/>
        <v>4.0295292910277031E-2</v>
      </c>
      <c r="AD601" s="320">
        <f t="shared" si="375"/>
        <v>2.8303109982262806E-2</v>
      </c>
      <c r="AE601" s="320">
        <f t="shared" si="375"/>
        <v>3.3329283973393076E-2</v>
      </c>
      <c r="AF601" s="320"/>
      <c r="AG601" s="320"/>
      <c r="AH601" s="1231"/>
      <c r="AI601" s="1231"/>
      <c r="AJ601" s="1231"/>
      <c r="AK601" s="1231"/>
      <c r="AL601" s="1231"/>
      <c r="AM601" s="1231"/>
      <c r="AN601" s="1231"/>
      <c r="AO601" s="1231"/>
      <c r="AP601" s="1231"/>
      <c r="AQ601" s="1231"/>
      <c r="AR601" s="1231"/>
      <c r="AS601" s="1231"/>
      <c r="AT601" s="1231"/>
      <c r="AU601" s="1231"/>
      <c r="AV601" s="1231"/>
      <c r="AW601" s="1231"/>
      <c r="AX601" s="1231"/>
      <c r="AY601" s="947"/>
    </row>
    <row r="602" spans="2:51" s="38" customFormat="1">
      <c r="B602" s="328" t="str">
        <f>+B595</f>
        <v>Salary expense</v>
      </c>
      <c r="C602" s="321"/>
      <c r="D602" s="328" t="str">
        <f>+D595</f>
        <v>职工薪酬</v>
      </c>
      <c r="E602" s="322"/>
      <c r="F602" s="323"/>
      <c r="G602" s="323">
        <f t="shared" ref="G602:I603" si="376">G595/G$9</f>
        <v>2.3550667385983E-2</v>
      </c>
      <c r="H602" s="323">
        <f t="shared" si="376"/>
        <v>2.2748747150494866E-2</v>
      </c>
      <c r="I602" s="323">
        <f t="shared" si="376"/>
        <v>1.8961026589934624E-2</v>
      </c>
      <c r="J602" s="323">
        <f t="shared" ref="J602:L605" si="377">J595/J$9</f>
        <v>1.7823888434552945E-2</v>
      </c>
      <c r="K602" s="323">
        <f t="shared" si="377"/>
        <v>1.6403134062123507E-2</v>
      </c>
      <c r="L602" s="323">
        <f t="shared" si="377"/>
        <v>1.8285941835299829E-2</v>
      </c>
      <c r="M602" s="323">
        <f>M595/M$9</f>
        <v>1.4618666752518656E-2</v>
      </c>
      <c r="N602" s="1568">
        <f>+M602+0.02%</f>
        <v>1.4818666752518656E-2</v>
      </c>
      <c r="O602" s="1568">
        <f t="shared" ref="O602:P603" si="378">+N602-0.05%</f>
        <v>1.4318666752518656E-2</v>
      </c>
      <c r="P602" s="1568">
        <f t="shared" si="378"/>
        <v>1.3818666752518655E-2</v>
      </c>
      <c r="Q602" s="1486"/>
      <c r="R602" s="1486"/>
      <c r="S602" s="1486"/>
      <c r="T602" s="945"/>
      <c r="U602" s="328" t="str">
        <f>D602</f>
        <v>职工薪酬</v>
      </c>
      <c r="V602" s="323">
        <f t="shared" ref="V602:AA603" si="379">+V595/V$9</f>
        <v>2.0406488650344872E-2</v>
      </c>
      <c r="W602" s="323">
        <f t="shared" si="379"/>
        <v>1.7526933622767769E-2</v>
      </c>
      <c r="X602" s="323">
        <f t="shared" si="379"/>
        <v>1.8432561248532285E-2</v>
      </c>
      <c r="Y602" s="323">
        <f t="shared" si="379"/>
        <v>1.714379396377802E-2</v>
      </c>
      <c r="Z602" s="323">
        <f t="shared" si="379"/>
        <v>1.7839250090403786E-2</v>
      </c>
      <c r="AA602" s="323">
        <f t="shared" si="379"/>
        <v>1.4940723497549489E-2</v>
      </c>
      <c r="AB602" s="323">
        <f t="shared" ref="AB602:AE606" si="380">+AB595/AB$9</f>
        <v>1.7392817502818923E-2</v>
      </c>
      <c r="AC602" s="323">
        <f t="shared" si="380"/>
        <v>1.9126361013999237E-2</v>
      </c>
      <c r="AD602" s="323">
        <f t="shared" si="380"/>
        <v>1.2595593081681783E-2</v>
      </c>
      <c r="AE602" s="323">
        <f t="shared" si="380"/>
        <v>1.6618304368154493E-2</v>
      </c>
      <c r="AF602" s="323"/>
      <c r="AG602" s="323"/>
      <c r="AH602" s="872"/>
      <c r="AI602" s="872"/>
      <c r="AJ602" s="872"/>
      <c r="AK602" s="872"/>
      <c r="AL602" s="872"/>
      <c r="AM602" s="872"/>
      <c r="AN602" s="872"/>
      <c r="AO602" s="872"/>
      <c r="AP602" s="872"/>
      <c r="AQ602" s="872"/>
      <c r="AR602" s="872"/>
      <c r="AS602" s="872"/>
      <c r="AT602" s="872"/>
      <c r="AU602" s="872"/>
      <c r="AV602" s="872"/>
      <c r="AW602" s="872"/>
      <c r="AX602" s="872"/>
      <c r="AY602" s="945"/>
    </row>
    <row r="603" spans="2:51" s="38" customFormat="1">
      <c r="B603" s="328" t="str">
        <f>+B596</f>
        <v>D&amp;A</v>
      </c>
      <c r="C603" s="321"/>
      <c r="D603" s="328" t="str">
        <f>+D596</f>
        <v>折旧与摊销</v>
      </c>
      <c r="E603" s="322"/>
      <c r="F603" s="323"/>
      <c r="G603" s="323">
        <f t="shared" si="376"/>
        <v>5.3390972163058666E-3</v>
      </c>
      <c r="H603" s="323">
        <f t="shared" si="376"/>
        <v>3.4058980213630473E-3</v>
      </c>
      <c r="I603" s="323">
        <f t="shared" si="376"/>
        <v>5.1398984652604E-3</v>
      </c>
      <c r="J603" s="323">
        <f t="shared" si="377"/>
        <v>7.0502652726429039E-3</v>
      </c>
      <c r="K603" s="323">
        <f t="shared" si="377"/>
        <v>5.1702297029738685E-3</v>
      </c>
      <c r="L603" s="323">
        <f t="shared" si="377"/>
        <v>4.4470207196906598E-3</v>
      </c>
      <c r="M603" s="323">
        <f>M596/M$9</f>
        <v>4.023075108655772E-3</v>
      </c>
      <c r="N603" s="1568">
        <f>+M603-0.05%</f>
        <v>3.523075108655772E-3</v>
      </c>
      <c r="O603" s="766">
        <f t="shared" si="378"/>
        <v>3.0230751086557719E-3</v>
      </c>
      <c r="P603" s="766">
        <f t="shared" si="378"/>
        <v>2.5230751086557719E-3</v>
      </c>
      <c r="Q603" s="1486"/>
      <c r="R603" s="1486"/>
      <c r="S603" s="1486"/>
      <c r="T603" s="945"/>
      <c r="U603" s="328" t="str">
        <f>D603</f>
        <v>折旧与摊销</v>
      </c>
      <c r="V603" s="323">
        <f t="shared" si="379"/>
        <v>4.31760715397726E-3</v>
      </c>
      <c r="W603" s="323">
        <f t="shared" si="379"/>
        <v>5.9557221515208827E-3</v>
      </c>
      <c r="X603" s="323">
        <f t="shared" si="379"/>
        <v>5.0368535338749494E-3</v>
      </c>
      <c r="Y603" s="323">
        <f t="shared" si="379"/>
        <v>9.2999307078004655E-3</v>
      </c>
      <c r="Z603" s="323">
        <f t="shared" si="379"/>
        <v>4.5895244474002837E-3</v>
      </c>
      <c r="AA603" s="323">
        <f t="shared" si="379"/>
        <v>5.7615673692426594E-3</v>
      </c>
      <c r="AB603" s="323">
        <f t="shared" si="380"/>
        <v>3.2784603878986767E-3</v>
      </c>
      <c r="AC603" s="323">
        <f t="shared" si="380"/>
        <v>5.5466218374626052E-3</v>
      </c>
      <c r="AD603" s="323">
        <f t="shared" si="380"/>
        <v>3.4970142737327037E-3</v>
      </c>
      <c r="AE603" s="323">
        <f t="shared" si="380"/>
        <v>4.5430418546961249E-3</v>
      </c>
      <c r="AF603" s="323"/>
      <c r="AG603" s="323"/>
      <c r="AH603" s="872"/>
      <c r="AI603" s="872"/>
      <c r="AJ603" s="872"/>
      <c r="AK603" s="872"/>
      <c r="AL603" s="872"/>
      <c r="AM603" s="872"/>
      <c r="AN603" s="872"/>
      <c r="AO603" s="872"/>
      <c r="AP603" s="872"/>
      <c r="AQ603" s="872"/>
      <c r="AR603" s="872"/>
      <c r="AS603" s="872"/>
      <c r="AT603" s="872"/>
      <c r="AU603" s="872"/>
      <c r="AV603" s="872"/>
      <c r="AW603" s="872"/>
      <c r="AX603" s="872"/>
      <c r="AY603" s="945"/>
    </row>
    <row r="604" spans="2:51" s="38" customFormat="1">
      <c r="B604" s="328" t="str">
        <f>+B597</f>
        <v>R&amp;D</v>
      </c>
      <c r="C604" s="321"/>
      <c r="D604" s="328" t="str">
        <f>+D597</f>
        <v>研发费</v>
      </c>
      <c r="E604" s="322"/>
      <c r="F604" s="323"/>
      <c r="G604" s="323">
        <f t="shared" ref="G604:I605" si="381">G597/G$9</f>
        <v>7.1795692306949582E-3</v>
      </c>
      <c r="H604" s="323">
        <f t="shared" si="381"/>
        <v>6.6600399949919859E-3</v>
      </c>
      <c r="I604" s="323">
        <f t="shared" si="381"/>
        <v>7.1679905675038937E-3</v>
      </c>
      <c r="J604" s="323">
        <f t="shared" si="377"/>
        <v>6.1335689059098357E-3</v>
      </c>
      <c r="K604" s="323">
        <f t="shared" si="377"/>
        <v>5.1443662449819124E-3</v>
      </c>
      <c r="L604" s="323">
        <f t="shared" si="377"/>
        <v>4.8292391921376408E-3</v>
      </c>
      <c r="M604" s="323">
        <f>M597/M$9</f>
        <v>3.9568081436396185E-3</v>
      </c>
      <c r="N604" s="1568">
        <f t="shared" ref="N604:O605" si="382">+M604</f>
        <v>3.9568081436396185E-3</v>
      </c>
      <c r="O604" s="766">
        <f t="shared" si="382"/>
        <v>3.9568081436396185E-3</v>
      </c>
      <c r="P604" s="766">
        <f t="shared" ref="P604:P605" si="383">+O604</f>
        <v>3.9568081436396185E-3</v>
      </c>
      <c r="Q604" s="1486"/>
      <c r="R604" s="1486"/>
      <c r="S604" s="1486"/>
      <c r="T604" s="945"/>
      <c r="U604" s="328" t="str">
        <f>D604</f>
        <v>研发费</v>
      </c>
      <c r="V604" s="490">
        <f>+V597/V$9</f>
        <v>6.2003710645234687E-3</v>
      </c>
      <c r="W604" s="490">
        <f t="shared" ref="W604:Y605" si="384">+W597/W$9</f>
        <v>8.1279993855311716E-3</v>
      </c>
      <c r="X604" s="490">
        <f t="shared" si="384"/>
        <v>5.5548402326075792E-3</v>
      </c>
      <c r="Y604" s="490">
        <f t="shared" si="384"/>
        <v>6.780205591091458E-3</v>
      </c>
      <c r="Z604" s="490">
        <f t="shared" ref="Z604:AA606" si="385">+Z597/Z$9</f>
        <v>4.7715741348672751E-3</v>
      </c>
      <c r="AA604" s="490">
        <f t="shared" si="385"/>
        <v>5.5239839844164647E-3</v>
      </c>
      <c r="AB604" s="490">
        <f t="shared" si="380"/>
        <v>4.6579008460659764E-3</v>
      </c>
      <c r="AC604" s="490">
        <f t="shared" si="380"/>
        <v>4.9904665004176351E-3</v>
      </c>
      <c r="AD604" s="490">
        <f t="shared" si="380"/>
        <v>3.7620877778652049E-3</v>
      </c>
      <c r="AE604" s="490">
        <f t="shared" si="380"/>
        <v>4.1492727946040187E-3</v>
      </c>
      <c r="AF604" s="490"/>
      <c r="AG604" s="490"/>
      <c r="AH604" s="873"/>
      <c r="AI604" s="873"/>
      <c r="AJ604" s="873"/>
      <c r="AK604" s="873"/>
      <c r="AL604" s="873"/>
      <c r="AM604" s="873"/>
      <c r="AN604" s="873"/>
      <c r="AO604" s="873"/>
      <c r="AP604" s="873"/>
      <c r="AQ604" s="873"/>
      <c r="AR604" s="873"/>
      <c r="AS604" s="873"/>
      <c r="AT604" s="873"/>
      <c r="AU604" s="873"/>
      <c r="AV604" s="873"/>
      <c r="AW604" s="873"/>
      <c r="AX604" s="873"/>
      <c r="AY604" s="945"/>
    </row>
    <row r="605" spans="2:51" s="38" customFormat="1">
      <c r="B605" s="328" t="str">
        <f>+B598</f>
        <v>Stock payment</v>
      </c>
      <c r="C605" s="324"/>
      <c r="D605" s="328" t="str">
        <f>+D598</f>
        <v>股份支付</v>
      </c>
      <c r="E605" s="325"/>
      <c r="F605" s="323"/>
      <c r="G605" s="323">
        <f t="shared" si="381"/>
        <v>0</v>
      </c>
      <c r="H605" s="323">
        <f t="shared" si="381"/>
        <v>1.0784729930563935E-2</v>
      </c>
      <c r="I605" s="323">
        <f t="shared" si="381"/>
        <v>1.1517589964412955E-3</v>
      </c>
      <c r="J605" s="323">
        <f t="shared" si="377"/>
        <v>0</v>
      </c>
      <c r="K605" s="323">
        <f t="shared" si="377"/>
        <v>0</v>
      </c>
      <c r="L605" s="323">
        <f t="shared" si="377"/>
        <v>0</v>
      </c>
      <c r="M605" s="323">
        <f>M598/M$9</f>
        <v>0</v>
      </c>
      <c r="N605" s="1568">
        <f t="shared" si="382"/>
        <v>0</v>
      </c>
      <c r="O605" s="766">
        <f t="shared" si="382"/>
        <v>0</v>
      </c>
      <c r="P605" s="766">
        <f t="shared" si="383"/>
        <v>0</v>
      </c>
      <c r="Q605" s="1486"/>
      <c r="R605" s="1486"/>
      <c r="S605" s="1486"/>
      <c r="T605" s="945"/>
      <c r="U605" s="328" t="str">
        <f>D605</f>
        <v>股份支付</v>
      </c>
      <c r="V605" s="323">
        <f>+V598/V$9</f>
        <v>0</v>
      </c>
      <c r="W605" s="323">
        <f t="shared" si="384"/>
        <v>2.2944589827687311E-3</v>
      </c>
      <c r="X605" s="323">
        <f t="shared" si="384"/>
        <v>0</v>
      </c>
      <c r="Y605" s="323">
        <f t="shared" si="384"/>
        <v>0</v>
      </c>
      <c r="Z605" s="323">
        <f t="shared" si="385"/>
        <v>0</v>
      </c>
      <c r="AA605" s="323">
        <f t="shared" si="385"/>
        <v>0</v>
      </c>
      <c r="AB605" s="323">
        <f t="shared" si="380"/>
        <v>0</v>
      </c>
      <c r="AC605" s="323">
        <f t="shared" si="380"/>
        <v>0</v>
      </c>
      <c r="AD605" s="323">
        <f t="shared" si="380"/>
        <v>0</v>
      </c>
      <c r="AE605" s="323">
        <f t="shared" si="380"/>
        <v>0</v>
      </c>
      <c r="AF605" s="323"/>
      <c r="AG605" s="323"/>
      <c r="AH605" s="872"/>
      <c r="AI605" s="872"/>
      <c r="AJ605" s="872"/>
      <c r="AK605" s="872"/>
      <c r="AL605" s="872"/>
      <c r="AM605" s="872"/>
      <c r="AN605" s="872"/>
      <c r="AO605" s="872"/>
      <c r="AP605" s="872"/>
      <c r="AQ605" s="872"/>
      <c r="AR605" s="872"/>
      <c r="AS605" s="872"/>
      <c r="AT605" s="872"/>
      <c r="AU605" s="872"/>
      <c r="AV605" s="872"/>
      <c r="AW605" s="872"/>
      <c r="AX605" s="872"/>
      <c r="AY605" s="945"/>
    </row>
    <row r="606" spans="2:51" s="38" customFormat="1">
      <c r="B606" s="328" t="str">
        <f>+B599</f>
        <v>Others</v>
      </c>
      <c r="C606" s="324"/>
      <c r="D606" s="328" t="str">
        <f>+D599</f>
        <v>其他</v>
      </c>
      <c r="E606" s="325"/>
      <c r="F606" s="326"/>
      <c r="G606" s="326">
        <f t="shared" ref="G606:L606" si="386">G601-SUM(G602:G605)</f>
        <v>1.1215161619240653E-2</v>
      </c>
      <c r="H606" s="326">
        <f t="shared" si="386"/>
        <v>1.087251487602188E-2</v>
      </c>
      <c r="I606" s="326">
        <f t="shared" si="386"/>
        <v>1.1834413941487383E-2</v>
      </c>
      <c r="J606" s="326">
        <f t="shared" si="386"/>
        <v>1.1189044504403431E-2</v>
      </c>
      <c r="K606" s="326">
        <f t="shared" si="386"/>
        <v>8.4693474564351695E-3</v>
      </c>
      <c r="L606" s="326">
        <f t="shared" si="386"/>
        <v>9.9937640631285116E-3</v>
      </c>
      <c r="M606" s="326">
        <f>M601-SUM(M602:M605)</f>
        <v>8.2322880549506247E-3</v>
      </c>
      <c r="N606" s="1568">
        <f>+M606-0.15%</f>
        <v>6.7322880549506251E-3</v>
      </c>
      <c r="O606" s="766">
        <f>+N606-0.01%</f>
        <v>6.6322880549506249E-3</v>
      </c>
      <c r="P606" s="766">
        <f>+O606-0.01%</f>
        <v>6.5322880549506246E-3</v>
      </c>
      <c r="Q606" s="1486"/>
      <c r="R606" s="1486"/>
      <c r="S606" s="1486"/>
      <c r="T606" s="945"/>
      <c r="U606" s="329" t="str">
        <f>D606</f>
        <v>其他</v>
      </c>
      <c r="V606" s="323">
        <f>+V599/V$9</f>
        <v>1.0926823292370436E-2</v>
      </c>
      <c r="W606" s="323">
        <f>+W599/W$9</f>
        <v>1.2734866054769133E-2</v>
      </c>
      <c r="X606" s="323">
        <f>+X599/X$9</f>
        <v>1.2394732880194317E-2</v>
      </c>
      <c r="Y606" s="323">
        <f>+Y599/Y$9</f>
        <v>9.8418806767763111E-3</v>
      </c>
      <c r="Z606" s="323">
        <f t="shared" si="385"/>
        <v>8.0704973007380242E-3</v>
      </c>
      <c r="AA606" s="323">
        <f t="shared" si="385"/>
        <v>8.8755003506911859E-3</v>
      </c>
      <c r="AB606" s="323">
        <f t="shared" si="380"/>
        <v>9.3156687296024002E-3</v>
      </c>
      <c r="AC606" s="323">
        <f t="shared" si="380"/>
        <v>1.0631843558397558E-2</v>
      </c>
      <c r="AD606" s="323">
        <f t="shared" si="380"/>
        <v>8.4484148489831143E-3</v>
      </c>
      <c r="AE606" s="323">
        <f t="shared" si="380"/>
        <v>8.0186649559384378E-3</v>
      </c>
      <c r="AF606" s="323"/>
      <c r="AG606" s="323"/>
      <c r="AH606" s="872"/>
      <c r="AI606" s="872"/>
      <c r="AJ606" s="872"/>
      <c r="AK606" s="872"/>
      <c r="AL606" s="872"/>
      <c r="AM606" s="872"/>
      <c r="AN606" s="872"/>
      <c r="AO606" s="872"/>
      <c r="AP606" s="872"/>
      <c r="AQ606" s="872"/>
      <c r="AR606" s="872"/>
      <c r="AS606" s="872"/>
      <c r="AT606" s="872"/>
      <c r="AU606" s="872"/>
      <c r="AV606" s="872"/>
      <c r="AW606" s="872"/>
      <c r="AX606" s="872"/>
      <c r="AY606" s="945"/>
    </row>
    <row r="607" spans="2:51">
      <c r="B607" s="315"/>
      <c r="C607" s="315"/>
      <c r="D607" s="315"/>
      <c r="E607" s="316"/>
      <c r="F607" s="316"/>
      <c r="G607" s="316"/>
      <c r="H607" s="316"/>
      <c r="I607" s="316"/>
      <c r="J607" s="316"/>
      <c r="K607" s="316"/>
      <c r="L607" s="316"/>
      <c r="M607" s="316"/>
      <c r="N607" s="1565"/>
      <c r="O607" s="316"/>
      <c r="P607" s="316"/>
      <c r="U607" s="315"/>
      <c r="V607" s="316"/>
      <c r="W607" s="316"/>
      <c r="X607" s="316"/>
      <c r="Y607" s="316"/>
      <c r="Z607" s="316"/>
      <c r="AA607" s="316"/>
      <c r="AB607" s="316"/>
      <c r="AC607" s="316"/>
      <c r="AD607" s="316"/>
      <c r="AE607" s="316"/>
      <c r="AF607" s="316"/>
      <c r="AG607" s="316"/>
    </row>
    <row r="608" spans="2:51" s="38" customFormat="1">
      <c r="B608" s="321" t="s">
        <v>509</v>
      </c>
      <c r="C608" s="321"/>
      <c r="D608" s="321" t="s">
        <v>900</v>
      </c>
      <c r="E608" s="322"/>
      <c r="F608" s="339"/>
      <c r="G608" s="339">
        <f>G594/F594-1</f>
        <v>0.29641585755960898</v>
      </c>
      <c r="H608" s="605">
        <f>H594/G594-1</f>
        <v>0.59618593105963225</v>
      </c>
      <c r="I608" s="605">
        <f>I594/H594-1</f>
        <v>-4.2827771313263097E-2</v>
      </c>
      <c r="J608" s="605">
        <f t="shared" ref="J608:P608" si="387">J594/I594-1</f>
        <v>0.34179241981806174</v>
      </c>
      <c r="K608" s="605">
        <f t="shared" si="387"/>
        <v>1.6431979083746606E-2</v>
      </c>
      <c r="L608" s="605">
        <f t="shared" si="387"/>
        <v>0.41334329667486314</v>
      </c>
      <c r="M608" s="605">
        <f t="shared" si="387"/>
        <v>0.15447344310570932</v>
      </c>
      <c r="N608" s="1574">
        <f t="shared" si="387"/>
        <v>0.24796530965817798</v>
      </c>
      <c r="O608" s="605">
        <f t="shared" si="387"/>
        <v>0.16430330009266192</v>
      </c>
      <c r="P608" s="605">
        <f t="shared" si="387"/>
        <v>0.12656442839623794</v>
      </c>
      <c r="Q608" s="1475"/>
      <c r="R608" s="1475"/>
      <c r="S608" s="1475"/>
      <c r="T608" s="945"/>
      <c r="U608" s="321" t="str">
        <f>D608</f>
        <v>增长</v>
      </c>
      <c r="V608" s="682"/>
      <c r="W608" s="682"/>
      <c r="X608" s="682">
        <f t="shared" ref="X608:AE608" si="388">+X594/V594-1</f>
        <v>0.47571610920927099</v>
      </c>
      <c r="Y608" s="682">
        <f t="shared" si="388"/>
        <v>0.22256435165208321</v>
      </c>
      <c r="Z608" s="682">
        <f t="shared" si="388"/>
        <v>-7.5971978712078281E-3</v>
      </c>
      <c r="AA608" s="682">
        <f t="shared" si="388"/>
        <v>4.2254051090520051E-2</v>
      </c>
      <c r="AB608" s="682">
        <f t="shared" si="388"/>
        <v>0.24980968008847149</v>
      </c>
      <c r="AC608" s="682">
        <f t="shared" si="388"/>
        <v>0.58067322445645941</v>
      </c>
      <c r="AD608" s="682">
        <f t="shared" si="388"/>
        <v>0.17799726817440953</v>
      </c>
      <c r="AE608" s="682">
        <f t="shared" si="388"/>
        <v>0.13544179886692675</v>
      </c>
      <c r="AF608" s="682"/>
      <c r="AG608" s="682"/>
      <c r="AH608" s="635"/>
      <c r="AI608" s="635"/>
      <c r="AJ608" s="635"/>
      <c r="AK608" s="635"/>
      <c r="AL608" s="635"/>
      <c r="AM608" s="635"/>
      <c r="AN608" s="635"/>
      <c r="AO608" s="635"/>
      <c r="AP608" s="635"/>
      <c r="AQ608" s="635"/>
      <c r="AR608" s="635"/>
      <c r="AS608" s="635"/>
      <c r="AT608" s="635"/>
      <c r="AU608" s="635"/>
      <c r="AV608" s="635"/>
      <c r="AW608" s="635"/>
      <c r="AX608" s="635"/>
      <c r="AY608" s="945"/>
    </row>
    <row r="610" spans="2:51" s="37" customFormat="1">
      <c r="B610" s="919" t="s">
        <v>917</v>
      </c>
      <c r="C610" s="919"/>
      <c r="D610" s="919" t="s">
        <v>868</v>
      </c>
      <c r="E610" s="920"/>
      <c r="F610" s="921"/>
      <c r="G610" s="922">
        <f t="shared" ref="G610:L610" si="389">+SUM(G611:G613)</f>
        <v>478.04480000000001</v>
      </c>
      <c r="H610" s="922">
        <f t="shared" si="389"/>
        <v>591.87400000000002</v>
      </c>
      <c r="I610" s="922">
        <f t="shared" si="389"/>
        <v>631.8110999999999</v>
      </c>
      <c r="J610" s="922">
        <f t="shared" si="389"/>
        <v>846.88103763000004</v>
      </c>
      <c r="K610" s="922">
        <f t="shared" si="389"/>
        <v>948.68836483999996</v>
      </c>
      <c r="L610" s="922">
        <f t="shared" si="389"/>
        <v>1230.8287134300001</v>
      </c>
      <c r="M610" s="922">
        <f>+SUM(M611:M613)</f>
        <v>1516.6254646999998</v>
      </c>
      <c r="N610" s="1575"/>
      <c r="O610" s="920"/>
      <c r="P610" s="920"/>
      <c r="Q610" s="1488"/>
      <c r="R610" s="1488"/>
      <c r="S610" s="1488"/>
      <c r="T610" s="944"/>
      <c r="U610" s="919" t="str">
        <f>D610</f>
        <v>人工成本</v>
      </c>
      <c r="V610" s="938"/>
      <c r="W610" s="938"/>
      <c r="X610" s="939">
        <f>473311667.77/1000000</f>
        <v>473.31166776999999</v>
      </c>
      <c r="Y610" s="938"/>
      <c r="Z610" s="938"/>
      <c r="AA610" s="938"/>
      <c r="AB610" s="938"/>
      <c r="AC610" s="938"/>
      <c r="AD610" s="938"/>
      <c r="AE610" s="938"/>
      <c r="AF610" s="938"/>
      <c r="AG610" s="938"/>
      <c r="AH610" s="938"/>
      <c r="AI610" s="938"/>
      <c r="AJ610" s="938"/>
      <c r="AK610" s="938"/>
      <c r="AL610" s="938"/>
      <c r="AM610" s="938"/>
      <c r="AN610" s="938"/>
      <c r="AO610" s="938"/>
      <c r="AP610" s="938"/>
      <c r="AQ610" s="938"/>
      <c r="AR610" s="938"/>
      <c r="AS610" s="938"/>
      <c r="AT610" s="938"/>
      <c r="AU610" s="938"/>
      <c r="AV610" s="938"/>
      <c r="AW610" s="938"/>
      <c r="AX610" s="938"/>
      <c r="AY610" s="944"/>
    </row>
    <row r="611" spans="2:51">
      <c r="B611" s="327" t="s">
        <v>49</v>
      </c>
      <c r="C611" s="315"/>
      <c r="D611" s="327" t="s">
        <v>882</v>
      </c>
      <c r="E611" s="316"/>
      <c r="F611" s="335"/>
      <c r="G611" s="419">
        <f>+(2489.44+6687.83)/100</f>
        <v>91.7727</v>
      </c>
      <c r="H611" s="419">
        <f>+(4607.35+7275.19)/100</f>
        <v>118.8254</v>
      </c>
      <c r="I611" s="419">
        <f>+(6032.22+6698.35)/100</f>
        <v>127.3057</v>
      </c>
      <c r="J611" s="419">
        <v>100.25804856000001</v>
      </c>
      <c r="K611" s="419">
        <f>91.70449257+9.090937</f>
        <v>100.79542957</v>
      </c>
      <c r="L611" s="419">
        <v>130.84107144999999</v>
      </c>
      <c r="M611" s="2092">
        <v>169.57409999999999</v>
      </c>
      <c r="N611" s="1565"/>
      <c r="O611" s="316"/>
      <c r="P611" s="316"/>
      <c r="U611" s="315" t="str">
        <f>D611</f>
        <v>营业成本直接人工</v>
      </c>
      <c r="V611" s="335"/>
      <c r="W611" s="335"/>
      <c r="X611" s="335">
        <f>+X610-X613-X612</f>
        <v>95.36108196999993</v>
      </c>
      <c r="Y611" s="335"/>
      <c r="Z611" s="867"/>
      <c r="AA611" s="867"/>
      <c r="AB611" s="867"/>
      <c r="AC611" s="867"/>
      <c r="AD611" s="867"/>
      <c r="AE611" s="867"/>
      <c r="AF611" s="867"/>
      <c r="AG611" s="867"/>
      <c r="AH611" s="867"/>
      <c r="AI611" s="867"/>
      <c r="AJ611" s="867"/>
      <c r="AK611" s="867"/>
      <c r="AL611" s="867"/>
      <c r="AM611" s="867"/>
      <c r="AN611" s="867"/>
      <c r="AO611" s="867"/>
      <c r="AP611" s="867"/>
      <c r="AQ611" s="867"/>
      <c r="AR611" s="867"/>
      <c r="AS611" s="867"/>
      <c r="AT611" s="867"/>
      <c r="AU611" s="867"/>
      <c r="AV611" s="867"/>
      <c r="AW611" s="867"/>
      <c r="AX611" s="867"/>
    </row>
    <row r="612" spans="2:51">
      <c r="B612" s="327" t="s">
        <v>908</v>
      </c>
      <c r="C612" s="315"/>
      <c r="D612" s="327" t="s">
        <v>94</v>
      </c>
      <c r="E612" s="316"/>
      <c r="F612" s="335"/>
      <c r="G612" s="335">
        <f t="shared" ref="G612:L612" si="390">G565</f>
        <v>314.73610000000002</v>
      </c>
      <c r="H612" s="335">
        <f t="shared" si="390"/>
        <v>377.30529999999999</v>
      </c>
      <c r="I612" s="335">
        <f t="shared" si="390"/>
        <v>410.4871</v>
      </c>
      <c r="J612" s="335">
        <f t="shared" si="390"/>
        <v>622.25105976999998</v>
      </c>
      <c r="K612" s="335">
        <f t="shared" si="390"/>
        <v>708.37788726999997</v>
      </c>
      <c r="L612" s="335">
        <f t="shared" si="390"/>
        <v>894.03684447000001</v>
      </c>
      <c r="M612" s="335">
        <f>M565</f>
        <v>1115.5084680799998</v>
      </c>
      <c r="N612" s="1722">
        <f>N565</f>
        <v>1446.9434108240127</v>
      </c>
      <c r="O612" s="335">
        <f>O565</f>
        <v>1740.8673644648695</v>
      </c>
      <c r="P612" s="335">
        <f>P565</f>
        <v>2011.8117254869751</v>
      </c>
      <c r="U612" s="315" t="str">
        <f>D612</f>
        <v>销售费用</v>
      </c>
      <c r="V612" s="335"/>
      <c r="W612" s="335"/>
      <c r="X612" s="335">
        <f>X565</f>
        <v>310.07707048000003</v>
      </c>
      <c r="Y612" s="335"/>
      <c r="Z612" s="867"/>
      <c r="AA612" s="867"/>
      <c r="AB612" s="867"/>
      <c r="AC612" s="867"/>
      <c r="AD612" s="867"/>
      <c r="AE612" s="867"/>
      <c r="AF612" s="867"/>
      <c r="AG612" s="867"/>
      <c r="AH612" s="867"/>
      <c r="AI612" s="867"/>
      <c r="AJ612" s="867"/>
      <c r="AK612" s="867"/>
      <c r="AL612" s="867"/>
      <c r="AM612" s="867"/>
      <c r="AN612" s="867"/>
      <c r="AO612" s="867"/>
      <c r="AP612" s="867"/>
      <c r="AQ612" s="867"/>
      <c r="AR612" s="867"/>
      <c r="AS612" s="867"/>
      <c r="AT612" s="867"/>
      <c r="AU612" s="867"/>
      <c r="AV612" s="867"/>
      <c r="AW612" s="867"/>
      <c r="AX612" s="867"/>
    </row>
    <row r="613" spans="2:51">
      <c r="B613" s="327" t="s">
        <v>918</v>
      </c>
      <c r="C613" s="315"/>
      <c r="D613" s="327" t="s">
        <v>92</v>
      </c>
      <c r="E613" s="316"/>
      <c r="F613" s="335"/>
      <c r="G613" s="335">
        <f t="shared" ref="G613:L613" si="391">G595</f>
        <v>71.536000000000001</v>
      </c>
      <c r="H613" s="335">
        <f t="shared" si="391"/>
        <v>95.743300000000005</v>
      </c>
      <c r="I613" s="335">
        <f t="shared" si="391"/>
        <v>94.018299999999996</v>
      </c>
      <c r="J613" s="335">
        <f t="shared" si="391"/>
        <v>124.37192930000001</v>
      </c>
      <c r="K613" s="335">
        <f t="shared" si="391"/>
        <v>139.51504800000001</v>
      </c>
      <c r="L613" s="335">
        <f t="shared" si="391"/>
        <v>205.95079751</v>
      </c>
      <c r="M613" s="335">
        <f>M595</f>
        <v>231.54289661999999</v>
      </c>
      <c r="N613" s="1722">
        <f>N595</f>
        <v>311.07212625260445</v>
      </c>
      <c r="O613" s="335">
        <f>O595</f>
        <v>363.74437204353478</v>
      </c>
      <c r="P613" s="335">
        <f>P595</f>
        <v>411.68553460820755</v>
      </c>
      <c r="U613" s="315" t="str">
        <f>D613</f>
        <v>管理费用</v>
      </c>
      <c r="V613" s="335"/>
      <c r="W613" s="335"/>
      <c r="X613" s="335">
        <f>X595</f>
        <v>67.873515319999996</v>
      </c>
      <c r="Y613" s="335"/>
      <c r="Z613" s="867"/>
      <c r="AA613" s="867"/>
      <c r="AB613" s="867"/>
      <c r="AC613" s="867"/>
      <c r="AD613" s="867"/>
      <c r="AE613" s="867"/>
      <c r="AF613" s="867"/>
      <c r="AG613" s="867"/>
      <c r="AH613" s="867"/>
      <c r="AI613" s="867"/>
      <c r="AJ613" s="867"/>
      <c r="AK613" s="867"/>
      <c r="AL613" s="867"/>
      <c r="AM613" s="867"/>
      <c r="AN613" s="867"/>
      <c r="AO613" s="867"/>
      <c r="AP613" s="867"/>
      <c r="AQ613" s="867"/>
      <c r="AR613" s="867"/>
      <c r="AS613" s="867"/>
      <c r="AT613" s="867"/>
      <c r="AU613" s="867"/>
      <c r="AV613" s="867"/>
      <c r="AW613" s="867"/>
      <c r="AX613" s="867"/>
    </row>
    <row r="614" spans="2:51">
      <c r="B614" s="315"/>
      <c r="C614" s="315"/>
      <c r="D614" s="315"/>
      <c r="E614" s="316"/>
      <c r="F614" s="316"/>
      <c r="G614" s="316"/>
      <c r="H614" s="316"/>
      <c r="I614" s="316"/>
      <c r="J614" s="316"/>
      <c r="K614" s="316"/>
      <c r="L614" s="316"/>
      <c r="M614" s="489"/>
      <c r="N614" s="1565"/>
      <c r="O614" s="316"/>
      <c r="P614" s="316"/>
      <c r="U614" s="315"/>
      <c r="W614" s="391"/>
      <c r="X614" s="391"/>
      <c r="Y614" s="391"/>
      <c r="Z614" s="391"/>
      <c r="AA614" s="391"/>
      <c r="AB614" s="391"/>
      <c r="AC614" s="391"/>
      <c r="AD614" s="391"/>
      <c r="AE614" s="391"/>
      <c r="AF614" s="391"/>
      <c r="AG614" s="391"/>
      <c r="AH614" s="391"/>
      <c r="AI614" s="391"/>
      <c r="AJ614" s="391"/>
      <c r="AK614" s="391"/>
      <c r="AL614" s="391"/>
      <c r="AM614" s="391"/>
      <c r="AN614" s="391"/>
      <c r="AO614" s="391"/>
      <c r="AP614" s="391"/>
      <c r="AQ614" s="391"/>
      <c r="AR614" s="391"/>
      <c r="AS614" s="391"/>
      <c r="AT614" s="391"/>
      <c r="AU614" s="391"/>
      <c r="AV614" s="391"/>
      <c r="AW614" s="391"/>
      <c r="AX614" s="391"/>
    </row>
    <row r="615" spans="2:51">
      <c r="B615" s="315" t="s">
        <v>1764</v>
      </c>
      <c r="C615" s="315"/>
      <c r="D615" s="315" t="s">
        <v>869</v>
      </c>
      <c r="E615" s="316"/>
      <c r="F615" s="419"/>
      <c r="G615" s="419">
        <v>5819</v>
      </c>
      <c r="H615" s="419">
        <v>5919</v>
      </c>
      <c r="I615" s="419">
        <v>7046</v>
      </c>
      <c r="J615" s="367">
        <v>8120</v>
      </c>
      <c r="K615" s="367">
        <v>8482</v>
      </c>
      <c r="L615" s="367">
        <v>9460</v>
      </c>
      <c r="M615" s="2092">
        <v>10985</v>
      </c>
      <c r="N615" s="1565"/>
      <c r="O615" s="316"/>
      <c r="P615" s="316"/>
      <c r="U615" s="315" t="str">
        <f>D615</f>
        <v>员工总人数</v>
      </c>
      <c r="V615" s="489">
        <f>+AVERAGE(H615:I615)</f>
        <v>6482.5</v>
      </c>
      <c r="W615" s="489">
        <f>+I615</f>
        <v>7046</v>
      </c>
      <c r="X615" s="788"/>
      <c r="Y615" s="489"/>
      <c r="Z615" s="751"/>
      <c r="AA615" s="751"/>
      <c r="AB615" s="751"/>
      <c r="AC615" s="751"/>
      <c r="AD615" s="751"/>
      <c r="AE615" s="751"/>
      <c r="AF615" s="751"/>
      <c r="AG615" s="751"/>
      <c r="AH615" s="751"/>
      <c r="AI615" s="751"/>
      <c r="AJ615" s="751"/>
      <c r="AK615" s="751"/>
      <c r="AL615" s="751"/>
      <c r="AM615" s="751"/>
      <c r="AN615" s="751"/>
      <c r="AO615" s="751"/>
      <c r="AP615" s="751"/>
      <c r="AQ615" s="751"/>
      <c r="AR615" s="751"/>
      <c r="AS615" s="751"/>
      <c r="AT615" s="751"/>
      <c r="AU615" s="751"/>
      <c r="AV615" s="751"/>
      <c r="AW615" s="751"/>
      <c r="AX615" s="751"/>
    </row>
    <row r="616" spans="2:51">
      <c r="B616" s="327" t="s">
        <v>939</v>
      </c>
      <c r="C616" s="315"/>
      <c r="D616" s="315" t="s">
        <v>937</v>
      </c>
      <c r="E616" s="316"/>
      <c r="F616" s="367"/>
      <c r="G616" s="367"/>
      <c r="H616" s="367"/>
      <c r="I616" s="367">
        <v>1518</v>
      </c>
      <c r="J616" s="367">
        <v>1513</v>
      </c>
      <c r="K616" s="367">
        <v>1477</v>
      </c>
      <c r="L616" s="367">
        <v>1863</v>
      </c>
      <c r="M616" s="2092">
        <v>2459</v>
      </c>
      <c r="N616" s="1565"/>
      <c r="O616" s="316"/>
      <c r="P616" s="316"/>
      <c r="U616" s="315" t="str">
        <f>D616</f>
        <v>生产人员</v>
      </c>
      <c r="V616" s="489">
        <f>+AVERAGE(H616:I616)</f>
        <v>1518</v>
      </c>
      <c r="W616" s="489">
        <f>+I616</f>
        <v>1518</v>
      </c>
      <c r="X616" s="788"/>
      <c r="Y616" s="489"/>
      <c r="Z616" s="751"/>
      <c r="AA616" s="751"/>
      <c r="AB616" s="751"/>
      <c r="AC616" s="751"/>
      <c r="AD616" s="751"/>
      <c r="AE616" s="751"/>
      <c r="AF616" s="751"/>
      <c r="AG616" s="751"/>
      <c r="AH616" s="751"/>
      <c r="AI616" s="751"/>
      <c r="AJ616" s="751"/>
      <c r="AK616" s="751"/>
      <c r="AL616" s="751"/>
      <c r="AM616" s="751"/>
      <c r="AN616" s="751"/>
      <c r="AO616" s="751"/>
      <c r="AP616" s="751"/>
      <c r="AQ616" s="751"/>
      <c r="AR616" s="751"/>
      <c r="AS616" s="751"/>
      <c r="AT616" s="751"/>
      <c r="AU616" s="751"/>
      <c r="AV616" s="751"/>
      <c r="AW616" s="751"/>
      <c r="AX616" s="751"/>
    </row>
    <row r="617" spans="2:51">
      <c r="B617" s="327" t="s">
        <v>1102</v>
      </c>
      <c r="C617" s="315"/>
      <c r="D617" s="315" t="s">
        <v>1085</v>
      </c>
      <c r="E617" s="316"/>
      <c r="F617" s="367"/>
      <c r="G617" s="367"/>
      <c r="H617" s="367"/>
      <c r="I617" s="367">
        <v>4749</v>
      </c>
      <c r="J617" s="367">
        <v>5416</v>
      </c>
      <c r="K617" s="367">
        <v>5856</v>
      </c>
      <c r="L617" s="367">
        <v>6110</v>
      </c>
      <c r="M617" s="2092">
        <v>7152</v>
      </c>
      <c r="N617" s="1565"/>
      <c r="O617" s="316"/>
      <c r="P617" s="316"/>
      <c r="U617" s="315" t="str">
        <f>D617</f>
        <v>销售人员</v>
      </c>
      <c r="V617" s="489">
        <f>+AVERAGE(H617:I617)</f>
        <v>4749</v>
      </c>
      <c r="W617" s="489">
        <f>+I617</f>
        <v>4749</v>
      </c>
      <c r="X617" s="788"/>
      <c r="Y617" s="489"/>
      <c r="Z617" s="751"/>
      <c r="AA617" s="751"/>
      <c r="AB617" s="751"/>
      <c r="AC617" s="751"/>
      <c r="AD617" s="751"/>
      <c r="AE617" s="751"/>
      <c r="AF617" s="751"/>
      <c r="AG617" s="751"/>
      <c r="AH617" s="751"/>
      <c r="AI617" s="751"/>
      <c r="AJ617" s="751"/>
      <c r="AK617" s="751"/>
      <c r="AL617" s="751"/>
      <c r="AM617" s="751"/>
      <c r="AN617" s="751"/>
      <c r="AO617" s="751"/>
      <c r="AP617" s="751"/>
      <c r="AQ617" s="751"/>
      <c r="AR617" s="751"/>
      <c r="AS617" s="751"/>
      <c r="AT617" s="751"/>
      <c r="AU617" s="751"/>
      <c r="AV617" s="751"/>
      <c r="AW617" s="751"/>
      <c r="AX617" s="751"/>
    </row>
    <row r="618" spans="2:51">
      <c r="B618" s="327" t="s">
        <v>928</v>
      </c>
      <c r="C618" s="315"/>
      <c r="D618" s="315" t="s">
        <v>1180</v>
      </c>
      <c r="E618" s="316"/>
      <c r="F618" s="367"/>
      <c r="G618" s="367"/>
      <c r="H618" s="367"/>
      <c r="I618" s="367">
        <v>111</v>
      </c>
      <c r="J618" s="367">
        <v>134</v>
      </c>
      <c r="K618" s="367">
        <v>163</v>
      </c>
      <c r="L618" s="367">
        <v>91</v>
      </c>
      <c r="M618" s="2092">
        <v>124</v>
      </c>
      <c r="N618" s="1565"/>
      <c r="O618" s="316"/>
      <c r="P618" s="316"/>
      <c r="U618" s="315" t="str">
        <f>D618</f>
        <v>研发人员</v>
      </c>
      <c r="V618" s="489">
        <f>+AVERAGE(H618:I618)</f>
        <v>111</v>
      </c>
      <c r="W618" s="489">
        <f>+I618</f>
        <v>111</v>
      </c>
      <c r="X618" s="489"/>
      <c r="Y618" s="489"/>
      <c r="Z618" s="751"/>
      <c r="AA618" s="751"/>
      <c r="AB618" s="751"/>
      <c r="AC618" s="751"/>
      <c r="AD618" s="751"/>
      <c r="AE618" s="751"/>
      <c r="AF618" s="751"/>
      <c r="AG618" s="751"/>
      <c r="AH618" s="751"/>
      <c r="AI618" s="751"/>
      <c r="AJ618" s="751"/>
      <c r="AK618" s="751"/>
      <c r="AL618" s="751"/>
      <c r="AM618" s="751"/>
      <c r="AN618" s="751"/>
      <c r="AO618" s="751"/>
      <c r="AP618" s="751"/>
      <c r="AQ618" s="751"/>
      <c r="AR618" s="751"/>
      <c r="AS618" s="751"/>
      <c r="AT618" s="751"/>
      <c r="AU618" s="751"/>
      <c r="AV618" s="751"/>
      <c r="AW618" s="751"/>
      <c r="AX618" s="751"/>
    </row>
    <row r="619" spans="2:51">
      <c r="B619" s="327" t="s">
        <v>1103</v>
      </c>
      <c r="C619" s="315"/>
      <c r="D619" s="315" t="s">
        <v>1086</v>
      </c>
      <c r="E619" s="316"/>
      <c r="F619" s="367"/>
      <c r="G619" s="367"/>
      <c r="H619" s="367"/>
      <c r="I619" s="367">
        <v>93</v>
      </c>
      <c r="J619" s="367">
        <v>90</v>
      </c>
      <c r="K619" s="367">
        <v>87</v>
      </c>
      <c r="L619" s="367">
        <v>99</v>
      </c>
      <c r="M619" s="2092">
        <v>104</v>
      </c>
      <c r="N619" s="1565"/>
      <c r="O619" s="316"/>
      <c r="P619" s="316"/>
      <c r="U619" s="315" t="str">
        <f>D619</f>
        <v>财务人员</v>
      </c>
      <c r="V619" s="489">
        <f>+AVERAGE(H619:I619)</f>
        <v>93</v>
      </c>
      <c r="W619" s="489">
        <f>+I619</f>
        <v>93</v>
      </c>
      <c r="X619" s="489"/>
      <c r="Y619" s="489"/>
      <c r="Z619" s="751"/>
      <c r="AA619" s="751"/>
      <c r="AB619" s="751"/>
      <c r="AC619" s="751"/>
      <c r="AD619" s="751"/>
      <c r="AE619" s="751"/>
      <c r="AF619" s="751"/>
      <c r="AG619" s="751"/>
      <c r="AH619" s="751"/>
      <c r="AI619" s="751"/>
      <c r="AJ619" s="751"/>
      <c r="AK619" s="751"/>
      <c r="AL619" s="751"/>
      <c r="AM619" s="751"/>
      <c r="AN619" s="751"/>
      <c r="AO619" s="751"/>
      <c r="AP619" s="751"/>
      <c r="AQ619" s="751"/>
      <c r="AR619" s="751"/>
      <c r="AS619" s="751"/>
      <c r="AT619" s="751"/>
      <c r="AU619" s="751"/>
      <c r="AV619" s="751"/>
      <c r="AW619" s="751"/>
      <c r="AX619" s="751"/>
    </row>
    <row r="620" spans="2:51">
      <c r="B620" s="327" t="s">
        <v>1104</v>
      </c>
      <c r="C620" s="315"/>
      <c r="D620" s="315" t="s">
        <v>1087</v>
      </c>
      <c r="E620" s="316"/>
      <c r="F620" s="367"/>
      <c r="G620" s="367"/>
      <c r="H620" s="367"/>
      <c r="I620" s="367">
        <v>575</v>
      </c>
      <c r="J620" s="367">
        <v>967</v>
      </c>
      <c r="K620" s="367">
        <v>899</v>
      </c>
      <c r="L620" s="367">
        <v>1297</v>
      </c>
      <c r="M620" s="2092">
        <v>1146</v>
      </c>
      <c r="N620" s="1565"/>
      <c r="O620" s="316"/>
      <c r="P620" s="316"/>
      <c r="U620" s="315" t="str">
        <f>D620</f>
        <v>行政人员</v>
      </c>
      <c r="V620" s="489">
        <f>+AVERAGE(H620:I620)</f>
        <v>575</v>
      </c>
      <c r="W620" s="489">
        <f>+I620</f>
        <v>575</v>
      </c>
      <c r="X620" s="489"/>
      <c r="Y620" s="489"/>
      <c r="Z620" s="751"/>
      <c r="AA620" s="751"/>
      <c r="AB620" s="751"/>
      <c r="AC620" s="751"/>
      <c r="AD620" s="751"/>
      <c r="AE620" s="751"/>
      <c r="AF620" s="751"/>
      <c r="AG620" s="751"/>
      <c r="AH620" s="751"/>
      <c r="AI620" s="751"/>
      <c r="AJ620" s="751"/>
      <c r="AK620" s="751"/>
      <c r="AL620" s="751"/>
      <c r="AM620" s="751"/>
      <c r="AN620" s="751"/>
      <c r="AO620" s="751"/>
      <c r="AP620" s="751"/>
      <c r="AQ620" s="751"/>
      <c r="AR620" s="751"/>
      <c r="AS620" s="751"/>
      <c r="AT620" s="751"/>
      <c r="AU620" s="751"/>
      <c r="AV620" s="751"/>
      <c r="AW620" s="751"/>
      <c r="AX620" s="751"/>
    </row>
    <row r="621" spans="2:51">
      <c r="B621" s="315" t="s">
        <v>919</v>
      </c>
      <c r="C621" s="315"/>
      <c r="D621" s="315" t="s">
        <v>1088</v>
      </c>
      <c r="E621" s="316"/>
      <c r="F621" s="413"/>
      <c r="G621" s="864">
        <f t="shared" ref="G621:L621" si="392">G610/SUM(G615)*1000</f>
        <v>82.152397319127004</v>
      </c>
      <c r="H621" s="864">
        <f t="shared" si="392"/>
        <v>99.995607366109141</v>
      </c>
      <c r="I621" s="864">
        <f t="shared" si="392"/>
        <v>89.66947204087424</v>
      </c>
      <c r="J621" s="864">
        <f t="shared" si="392"/>
        <v>104.29569428940887</v>
      </c>
      <c r="K621" s="864">
        <f t="shared" si="392"/>
        <v>111.84724886111766</v>
      </c>
      <c r="L621" s="864">
        <f t="shared" si="392"/>
        <v>130.10874349154335</v>
      </c>
      <c r="M621" s="864">
        <f>M610/SUM(M615)*1000</f>
        <v>138.06331039599451</v>
      </c>
      <c r="N621" s="1565"/>
      <c r="O621" s="316"/>
      <c r="P621" s="316"/>
      <c r="U621" s="315" t="str">
        <f>D621</f>
        <v>人均成本 (千元)</v>
      </c>
      <c r="V621" s="413">
        <f>V610/SUM(V615)*1000</f>
        <v>0</v>
      </c>
      <c r="W621" s="413">
        <f>W610/SUM(W615)*1000</f>
        <v>0</v>
      </c>
      <c r="X621" s="413" t="e">
        <f>X610/SUM(X615)*1000</f>
        <v>#DIV/0!</v>
      </c>
      <c r="Y621" s="413"/>
      <c r="Z621" s="749"/>
      <c r="AA621" s="749"/>
      <c r="AB621" s="749"/>
      <c r="AC621" s="749"/>
      <c r="AD621" s="749"/>
      <c r="AE621" s="749"/>
      <c r="AF621" s="749"/>
      <c r="AG621" s="749"/>
      <c r="AH621" s="749"/>
      <c r="AI621" s="749"/>
      <c r="AJ621" s="749"/>
      <c r="AK621" s="749"/>
      <c r="AL621" s="749"/>
      <c r="AM621" s="749"/>
      <c r="AN621" s="749"/>
      <c r="AO621" s="749"/>
      <c r="AP621" s="749"/>
      <c r="AQ621" s="749"/>
      <c r="AR621" s="749"/>
      <c r="AS621" s="749"/>
      <c r="AT621" s="749"/>
      <c r="AU621" s="749"/>
      <c r="AV621" s="749"/>
      <c r="AW621" s="749"/>
      <c r="AX621" s="749"/>
    </row>
    <row r="622" spans="2:51" ht="22.5">
      <c r="B622" s="315" t="s">
        <v>923</v>
      </c>
      <c r="C622" s="315"/>
      <c r="D622" s="315" t="s">
        <v>870</v>
      </c>
      <c r="E622" s="316"/>
      <c r="F622" s="375">
        <f t="shared" ref="F622:M622" si="393">(F612+F613)/(F47+F49)</f>
        <v>0</v>
      </c>
      <c r="G622" s="375">
        <f t="shared" si="393"/>
        <v>0.34703036009515009</v>
      </c>
      <c r="H622" s="375">
        <f t="shared" si="393"/>
        <v>0.39003035591654994</v>
      </c>
      <c r="I622" s="375">
        <f t="shared" si="393"/>
        <v>0.40046904231242947</v>
      </c>
      <c r="J622" s="375">
        <f t="shared" si="393"/>
        <v>0.44900851101540779</v>
      </c>
      <c r="K622" s="375">
        <f t="shared" si="393"/>
        <v>0.48491039902866423</v>
      </c>
      <c r="L622" s="375">
        <f t="shared" si="393"/>
        <v>0.46244073034766131</v>
      </c>
      <c r="M622" s="375">
        <f t="shared" si="393"/>
        <v>0.42501713188590456</v>
      </c>
      <c r="N622" s="1565"/>
      <c r="O622" s="316"/>
      <c r="P622" s="316"/>
      <c r="U622" s="315" t="str">
        <f>D622</f>
        <v>人工成本占销售管理费用比例</v>
      </c>
      <c r="V622" s="375">
        <f>(V612+V613)/(V47+V49)</f>
        <v>0</v>
      </c>
      <c r="W622" s="375">
        <f>(W612+W613)/(W47+W49)</f>
        <v>0</v>
      </c>
      <c r="X622" s="375">
        <f>(X612+X613)/(X47+X49)</f>
        <v>0.39735175570916409</v>
      </c>
      <c r="Y622" s="375"/>
      <c r="Z622" s="492"/>
      <c r="AA622" s="492"/>
      <c r="AB622" s="492"/>
      <c r="AC622" s="492"/>
      <c r="AD622" s="492"/>
      <c r="AE622" s="492"/>
      <c r="AF622" s="492"/>
      <c r="AG622" s="492"/>
      <c r="AH622" s="492"/>
      <c r="AI622" s="492"/>
      <c r="AJ622" s="492"/>
      <c r="AK622" s="492"/>
      <c r="AL622" s="492"/>
      <c r="AM622" s="492"/>
      <c r="AN622" s="492"/>
      <c r="AO622" s="492"/>
      <c r="AP622" s="492"/>
      <c r="AQ622" s="492"/>
      <c r="AR622" s="492"/>
      <c r="AS622" s="492"/>
      <c r="AT622" s="492"/>
      <c r="AU622" s="492"/>
      <c r="AV622" s="492"/>
      <c r="AW622" s="492"/>
      <c r="AX622" s="492"/>
    </row>
    <row r="623" spans="2:51" ht="22.5">
      <c r="B623" s="315" t="s">
        <v>920</v>
      </c>
      <c r="C623" s="315"/>
      <c r="D623" s="315" t="s">
        <v>871</v>
      </c>
      <c r="E623" s="316"/>
      <c r="F623" s="375">
        <f t="shared" ref="F623:M623" si="394">F610/F9</f>
        <v>0</v>
      </c>
      <c r="G623" s="375">
        <f t="shared" si="394"/>
        <v>0.15737913890067609</v>
      </c>
      <c r="H623" s="375">
        <f t="shared" si="394"/>
        <v>0.14063012211770429</v>
      </c>
      <c r="I623" s="375">
        <f t="shared" si="394"/>
        <v>0.12741973708220466</v>
      </c>
      <c r="J623" s="375">
        <f t="shared" si="394"/>
        <v>0.12136752414321159</v>
      </c>
      <c r="K623" s="375">
        <f t="shared" si="394"/>
        <v>0.11153967012681854</v>
      </c>
      <c r="L623" s="375">
        <f t="shared" si="394"/>
        <v>0.10928271477999534</v>
      </c>
      <c r="M623" s="375">
        <f t="shared" si="394"/>
        <v>9.5753497863591885E-2</v>
      </c>
      <c r="N623" s="1565"/>
      <c r="O623" s="316"/>
      <c r="P623" s="316"/>
      <c r="U623" s="315" t="str">
        <f>D623</f>
        <v>人工成本占收入比例</v>
      </c>
      <c r="V623" s="375">
        <f>V610/V9</f>
        <v>0</v>
      </c>
      <c r="W623" s="375">
        <f>W610/W9</f>
        <v>0</v>
      </c>
      <c r="X623" s="375">
        <f>X610/X9</f>
        <v>0.12853830046496389</v>
      </c>
      <c r="Y623" s="375"/>
      <c r="Z623" s="492"/>
      <c r="AA623" s="492"/>
      <c r="AB623" s="492"/>
      <c r="AC623" s="492"/>
      <c r="AD623" s="492"/>
      <c r="AE623" s="492"/>
      <c r="AF623" s="492"/>
      <c r="AG623" s="492"/>
      <c r="AH623" s="492"/>
      <c r="AI623" s="492"/>
      <c r="AJ623" s="492"/>
      <c r="AK623" s="492"/>
      <c r="AL623" s="492"/>
      <c r="AM623" s="492"/>
      <c r="AN623" s="492"/>
      <c r="AO623" s="492"/>
      <c r="AP623" s="492"/>
      <c r="AQ623" s="492"/>
      <c r="AR623" s="492"/>
      <c r="AS623" s="492"/>
      <c r="AT623" s="492"/>
      <c r="AU623" s="492"/>
      <c r="AV623" s="492"/>
      <c r="AW623" s="492"/>
      <c r="AX623" s="492"/>
    </row>
    <row r="624" spans="2:51" s="37" customFormat="1" ht="22.5">
      <c r="B624" s="368" t="s">
        <v>1546</v>
      </c>
      <c r="C624" s="760"/>
      <c r="D624" s="368" t="s">
        <v>1510</v>
      </c>
      <c r="E624" s="396"/>
      <c r="F624" s="1214"/>
      <c r="G624" s="396"/>
      <c r="H624" s="396"/>
      <c r="I624" s="1639">
        <f>I612/I617*1000</f>
        <v>86.436534007159409</v>
      </c>
      <c r="J624" s="1639">
        <f>J612/J617*1000</f>
        <v>114.8912591894387</v>
      </c>
      <c r="K624" s="1639">
        <f>K612/K617*1000</f>
        <v>120.96616927424864</v>
      </c>
      <c r="L624" s="1210">
        <f>L612/L617*1000</f>
        <v>146.32354246644843</v>
      </c>
      <c r="M624" s="1210">
        <f>M612/M617*1000</f>
        <v>155.97154195749437</v>
      </c>
      <c r="N624" s="2111"/>
      <c r="O624" s="1639"/>
      <c r="P624" s="1639"/>
      <c r="Q624" s="396"/>
      <c r="R624" s="396"/>
      <c r="S624" s="396"/>
      <c r="T624" s="944"/>
      <c r="U624" s="760"/>
      <c r="V624" s="396"/>
      <c r="W624" s="396"/>
      <c r="X624" s="396"/>
      <c r="Y624" s="396"/>
      <c r="Z624" s="396"/>
      <c r="AA624" s="396"/>
      <c r="AB624" s="396"/>
      <c r="AC624" s="396"/>
      <c r="AD624" s="396"/>
      <c r="AE624" s="396"/>
      <c r="AF624" s="396"/>
      <c r="AG624" s="396"/>
      <c r="AH624" s="396"/>
      <c r="AI624" s="396"/>
      <c r="AJ624" s="396"/>
      <c r="AK624" s="396"/>
      <c r="AL624" s="396"/>
      <c r="AM624" s="396"/>
      <c r="AN624" s="396"/>
      <c r="AO624" s="396"/>
      <c r="AP624" s="396"/>
      <c r="AQ624" s="396"/>
      <c r="AR624" s="396"/>
      <c r="AS624" s="396"/>
      <c r="AT624" s="396"/>
      <c r="AU624" s="396"/>
      <c r="AV624" s="396"/>
      <c r="AW624" s="396"/>
      <c r="AX624" s="396"/>
      <c r="AY624" s="944"/>
    </row>
    <row r="625" spans="2:51" ht="22.5">
      <c r="B625" s="315" t="s">
        <v>1765</v>
      </c>
      <c r="C625" s="315"/>
      <c r="D625" s="315" t="s">
        <v>988</v>
      </c>
      <c r="E625" s="316"/>
      <c r="F625" s="493"/>
      <c r="G625" s="493"/>
      <c r="H625" s="493"/>
      <c r="I625" s="367">
        <f>I9/I617*1000</f>
        <v>1044.1151018593389</v>
      </c>
      <c r="J625" s="367">
        <f>J9/J617*1000</f>
        <v>1288.3719487463072</v>
      </c>
      <c r="K625" s="367">
        <f>K9/K617*1000</f>
        <v>1452.4231097165298</v>
      </c>
      <c r="L625" s="367">
        <f>L9/L617*1000</f>
        <v>1843.3378205057286</v>
      </c>
      <c r="M625" s="367">
        <f>M9/M617*1000</f>
        <v>2214.6045621182889</v>
      </c>
      <c r="N625" s="1565"/>
      <c r="O625" s="316"/>
      <c r="P625" s="316"/>
      <c r="U625" s="315" t="str">
        <f>D625</f>
        <v>销售人员平均绩效</v>
      </c>
      <c r="V625" s="762">
        <f>V9/V617</f>
        <v>0.51999635712781644</v>
      </c>
      <c r="W625" s="762">
        <f>W9/W617</f>
        <v>0.52411874473152242</v>
      </c>
      <c r="X625" s="762" t="e">
        <f>X9/X617</f>
        <v>#DIV/0!</v>
      </c>
      <c r="Y625" s="762"/>
      <c r="Z625" s="874"/>
      <c r="AA625" s="874"/>
      <c r="AB625" s="874"/>
      <c r="AC625" s="874"/>
      <c r="AD625" s="874"/>
      <c r="AE625" s="874"/>
      <c r="AF625" s="874"/>
      <c r="AG625" s="874"/>
      <c r="AH625" s="874"/>
      <c r="AI625" s="874"/>
      <c r="AJ625" s="874"/>
      <c r="AK625" s="874"/>
      <c r="AL625" s="874"/>
      <c r="AM625" s="874"/>
      <c r="AN625" s="874"/>
      <c r="AO625" s="874"/>
      <c r="AP625" s="874"/>
      <c r="AQ625" s="874"/>
      <c r="AR625" s="874"/>
      <c r="AS625" s="874"/>
      <c r="AT625" s="874"/>
      <c r="AU625" s="874"/>
      <c r="AV625" s="874"/>
      <c r="AW625" s="874"/>
      <c r="AX625" s="874"/>
    </row>
    <row r="626" spans="2:51">
      <c r="G626" s="629"/>
      <c r="I626" s="596"/>
      <c r="J626" s="596">
        <f>J625/I625-1</f>
        <v>0.2339367053038508</v>
      </c>
      <c r="K626" s="596">
        <f>K625/J625-1</f>
        <v>0.12733214281004646</v>
      </c>
      <c r="L626" s="596">
        <f>L625/K625-1</f>
        <v>0.26914657868910785</v>
      </c>
      <c r="M626" s="596">
        <f>M625/L625-1</f>
        <v>0.20141003861717621</v>
      </c>
    </row>
    <row r="627" spans="2:51" ht="22.5">
      <c r="B627" s="39" t="s">
        <v>1547</v>
      </c>
      <c r="D627" s="368" t="s">
        <v>1545</v>
      </c>
      <c r="G627" s="629"/>
      <c r="I627" s="1638">
        <f>I595/I620*1000</f>
        <v>163.51008695652172</v>
      </c>
      <c r="J627" s="1638">
        <f>J595/J620*1000</f>
        <v>128.61626608066186</v>
      </c>
      <c r="K627" s="1638">
        <f>K595/K620*1000</f>
        <v>155.18915239154617</v>
      </c>
      <c r="L627" s="749">
        <f>L595/L620*1000</f>
        <v>158.79012915188898</v>
      </c>
      <c r="M627" s="749">
        <f>M595/M620*1000</f>
        <v>202.04441240837696</v>
      </c>
    </row>
    <row r="628" spans="2:51">
      <c r="G628" s="629"/>
      <c r="I628" s="596"/>
      <c r="J628" s="596"/>
      <c r="K628" s="596"/>
      <c r="L628" s="596"/>
      <c r="M628" s="596"/>
    </row>
    <row r="629" spans="2:51">
      <c r="G629" s="629"/>
      <c r="I629" s="596"/>
      <c r="J629" s="596"/>
      <c r="K629" s="596"/>
      <c r="L629" s="596"/>
      <c r="M629" s="596"/>
      <c r="N629" s="1589">
        <f>N631+N632-N596</f>
        <v>342.25978268693802</v>
      </c>
      <c r="O629" s="751">
        <f>O631+O632-O596</f>
        <v>429.17928556956861</v>
      </c>
      <c r="P629" s="751">
        <f>P631+P632-P596</f>
        <v>658.94537846781236</v>
      </c>
    </row>
    <row r="630" spans="2:51" s="37" customFormat="1">
      <c r="B630" s="919" t="s">
        <v>921</v>
      </c>
      <c r="C630" s="919"/>
      <c r="D630" s="919" t="s">
        <v>872</v>
      </c>
      <c r="E630" s="920"/>
      <c r="F630" s="923">
        <f t="shared" ref="F630:L630" si="395">F564+F594</f>
        <v>936.03860000000009</v>
      </c>
      <c r="G630" s="923">
        <f t="shared" si="395"/>
        <v>1113.0786940200001</v>
      </c>
      <c r="H630" s="923">
        <f t="shared" si="395"/>
        <v>1212.8507251400001</v>
      </c>
      <c r="I630" s="923">
        <f t="shared" si="395"/>
        <v>1259.78626734</v>
      </c>
      <c r="J630" s="923">
        <f t="shared" si="395"/>
        <v>1662.8259169999999</v>
      </c>
      <c r="K630" s="923">
        <f t="shared" si="395"/>
        <v>1748.5558919099999</v>
      </c>
      <c r="L630" s="923">
        <f t="shared" si="395"/>
        <v>2378.6564845899998</v>
      </c>
      <c r="M630" s="923">
        <f>M564+M594</f>
        <v>3169.4048630999996</v>
      </c>
      <c r="N630" s="1575"/>
      <c r="O630" s="920"/>
      <c r="P630" s="920"/>
      <c r="Q630" s="1488"/>
      <c r="R630" s="1488"/>
      <c r="S630" s="1488"/>
      <c r="T630" s="944"/>
      <c r="U630" s="919" t="str">
        <f>D630</f>
        <v>按照性质分的费用</v>
      </c>
      <c r="V630" s="923"/>
      <c r="W630" s="923"/>
      <c r="X630" s="923">
        <f>X564+X594</f>
        <v>951.17381606999993</v>
      </c>
      <c r="Y630" s="923"/>
      <c r="Z630" s="940"/>
      <c r="AA630" s="940"/>
      <c r="AB630" s="940"/>
      <c r="AC630" s="940"/>
      <c r="AD630" s="940"/>
      <c r="AE630" s="940"/>
      <c r="AF630" s="940"/>
      <c r="AG630" s="940"/>
      <c r="AH630" s="940"/>
      <c r="AI630" s="940"/>
      <c r="AJ630" s="940"/>
      <c r="AK630" s="940"/>
      <c r="AL630" s="940"/>
      <c r="AM630" s="940"/>
      <c r="AN630" s="940"/>
      <c r="AO630" s="940"/>
      <c r="AP630" s="940"/>
      <c r="AQ630" s="940"/>
      <c r="AR630" s="940"/>
      <c r="AS630" s="940"/>
      <c r="AT630" s="940"/>
      <c r="AU630" s="940"/>
      <c r="AV630" s="940"/>
      <c r="AW630" s="940"/>
      <c r="AX630" s="940"/>
      <c r="AY630" s="944"/>
    </row>
    <row r="631" spans="2:51">
      <c r="B631" s="327" t="s">
        <v>40</v>
      </c>
      <c r="C631" s="315"/>
      <c r="D631" s="327" t="s">
        <v>39</v>
      </c>
      <c r="E631" s="316"/>
      <c r="F631" s="335"/>
      <c r="G631" s="665">
        <f>Wind!V237</f>
        <v>77.859574969999997</v>
      </c>
      <c r="H631" s="665">
        <f>Wind!W237</f>
        <v>102.17591390000001</v>
      </c>
      <c r="I631" s="665">
        <f>Wind!X237</f>
        <v>124.58530337000001</v>
      </c>
      <c r="J631" s="665">
        <f>Wind!Y237</f>
        <v>173.10489672</v>
      </c>
      <c r="K631" s="665">
        <f>Wind!Z237</f>
        <v>211.9910213</v>
      </c>
      <c r="L631" s="665">
        <f>Wind!AA237</f>
        <v>241.69913559</v>
      </c>
      <c r="M631" s="665">
        <f>Wind!AB237</f>
        <v>325.93171645999996</v>
      </c>
      <c r="N631" s="1722">
        <f>-Model!K33</f>
        <v>392.57667655844563</v>
      </c>
      <c r="O631" s="1722">
        <f>-Model!L33</f>
        <v>473.34602367824692</v>
      </c>
      <c r="P631" s="1722">
        <f>-Model!M33</f>
        <v>691.37348251108654</v>
      </c>
      <c r="U631" s="327" t="str">
        <f>D631</f>
        <v>折旧</v>
      </c>
      <c r="V631" s="665"/>
      <c r="W631" s="335"/>
      <c r="X631" s="665">
        <f>Wind!CG237</f>
        <v>79.766064379999989</v>
      </c>
      <c r="Y631" s="335"/>
      <c r="Z631" s="867"/>
      <c r="AA631" s="867"/>
      <c r="AB631" s="867"/>
      <c r="AC631" s="867"/>
      <c r="AD631" s="867"/>
      <c r="AE631" s="867"/>
      <c r="AF631" s="867"/>
      <c r="AG631" s="867"/>
      <c r="AH631" s="867"/>
      <c r="AI631" s="867"/>
      <c r="AJ631" s="867"/>
      <c r="AK631" s="867"/>
      <c r="AL631" s="867"/>
      <c r="AM631" s="867"/>
      <c r="AN631" s="867"/>
      <c r="AO631" s="867"/>
      <c r="AP631" s="867"/>
      <c r="AQ631" s="867"/>
      <c r="AR631" s="867"/>
      <c r="AS631" s="867"/>
      <c r="AT631" s="867"/>
      <c r="AU631" s="867"/>
      <c r="AV631" s="867"/>
      <c r="AW631" s="867"/>
      <c r="AX631" s="867"/>
    </row>
    <row r="632" spans="2:51">
      <c r="B632" s="327" t="s">
        <v>38</v>
      </c>
      <c r="C632" s="315"/>
      <c r="D632" s="327" t="s">
        <v>37</v>
      </c>
      <c r="E632" s="316"/>
      <c r="F632" s="335"/>
      <c r="G632" s="665">
        <f>Wind!V238+Wind!V240</f>
        <v>7.1119130899999998</v>
      </c>
      <c r="H632" s="665">
        <f>Wind!W238+Wind!W240</f>
        <v>7.5485511800000005</v>
      </c>
      <c r="I632" s="665">
        <f>Wind!X238+Wind!X240</f>
        <v>9.8574460500000001</v>
      </c>
      <c r="J632" s="665">
        <f>Wind!Y238+Wind!Y240</f>
        <v>12.007907210000001</v>
      </c>
      <c r="K632" s="665">
        <f>Wind!Z238+Wind!Z240</f>
        <v>11.950350090000001</v>
      </c>
      <c r="L632" s="665">
        <f>Wind!AA238+Wind!AA240</f>
        <v>12.33999043</v>
      </c>
      <c r="M632" s="665">
        <f>Wind!AB238+Wind!AB240</f>
        <v>17.11997002</v>
      </c>
      <c r="N632" s="1722">
        <f>-Model!K34</f>
        <v>23.639183507107241</v>
      </c>
      <c r="O632" s="1722">
        <f>-Model!L34</f>
        <v>32.629976001943092</v>
      </c>
      <c r="P632" s="1722">
        <f>-Model!M34</f>
        <v>42.739315764015991</v>
      </c>
      <c r="U632" s="327" t="str">
        <f>D632</f>
        <v>摊销</v>
      </c>
      <c r="V632" s="665"/>
      <c r="W632" s="335"/>
      <c r="X632" s="665">
        <f>Wind!CG238+Wind!CG239+Wind!CG240</f>
        <v>9.8495758299999991</v>
      </c>
      <c r="Y632" s="335"/>
      <c r="Z632" s="867"/>
      <c r="AA632" s="867"/>
      <c r="AB632" s="867"/>
      <c r="AC632" s="867"/>
      <c r="AD632" s="867"/>
      <c r="AE632" s="867"/>
      <c r="AF632" s="867"/>
      <c r="AG632" s="867"/>
      <c r="AH632" s="867"/>
      <c r="AI632" s="867"/>
      <c r="AJ632" s="867"/>
      <c r="AK632" s="867"/>
      <c r="AL632" s="867"/>
      <c r="AM632" s="867"/>
      <c r="AN632" s="867"/>
      <c r="AO632" s="867"/>
      <c r="AP632" s="867"/>
      <c r="AQ632" s="867"/>
      <c r="AR632" s="867"/>
      <c r="AS632" s="867"/>
      <c r="AT632" s="867"/>
      <c r="AU632" s="867"/>
      <c r="AV632" s="867"/>
      <c r="AW632" s="867"/>
      <c r="AX632" s="867"/>
    </row>
    <row r="633" spans="2:51">
      <c r="B633" s="327" t="s">
        <v>917</v>
      </c>
      <c r="C633" s="315"/>
      <c r="D633" s="327" t="s">
        <v>868</v>
      </c>
      <c r="E633" s="316"/>
      <c r="F633" s="335"/>
      <c r="G633" s="665">
        <f t="shared" ref="G633:L633" si="396">G612+G613</f>
        <v>386.27210000000002</v>
      </c>
      <c r="H633" s="665">
        <f t="shared" si="396"/>
        <v>473.04859999999996</v>
      </c>
      <c r="I633" s="665">
        <f t="shared" si="396"/>
        <v>504.50540000000001</v>
      </c>
      <c r="J633" s="665">
        <f t="shared" si="396"/>
        <v>746.62298907000002</v>
      </c>
      <c r="K633" s="665">
        <f t="shared" si="396"/>
        <v>847.89293526999995</v>
      </c>
      <c r="L633" s="665">
        <f t="shared" si="396"/>
        <v>1099.98764198</v>
      </c>
      <c r="M633" s="665">
        <f>M612+M613</f>
        <v>1347.0513646999998</v>
      </c>
      <c r="N633" s="1565"/>
      <c r="O633" s="316"/>
      <c r="P633" s="316"/>
      <c r="U633" s="327" t="str">
        <f>D633</f>
        <v>人工成本</v>
      </c>
      <c r="V633" s="335"/>
      <c r="W633" s="335"/>
      <c r="X633" s="335">
        <f>X612+X613</f>
        <v>377.9505858</v>
      </c>
      <c r="Y633" s="335"/>
      <c r="Z633" s="867"/>
      <c r="AA633" s="867"/>
      <c r="AB633" s="867"/>
      <c r="AC633" s="867"/>
      <c r="AD633" s="867"/>
      <c r="AE633" s="867"/>
      <c r="AF633" s="867"/>
      <c r="AG633" s="867"/>
      <c r="AH633" s="867"/>
      <c r="AI633" s="867"/>
      <c r="AJ633" s="867"/>
      <c r="AK633" s="867"/>
      <c r="AL633" s="867"/>
      <c r="AM633" s="867"/>
      <c r="AN633" s="867"/>
      <c r="AO633" s="867"/>
      <c r="AP633" s="867"/>
      <c r="AQ633" s="867"/>
      <c r="AR633" s="867"/>
      <c r="AS633" s="867"/>
      <c r="AT633" s="867"/>
      <c r="AU633" s="867"/>
      <c r="AV633" s="867"/>
      <c r="AW633" s="867"/>
      <c r="AX633" s="867"/>
    </row>
    <row r="634" spans="2:51">
      <c r="B634" s="327" t="s">
        <v>910</v>
      </c>
      <c r="C634" s="315"/>
      <c r="D634" s="327" t="s">
        <v>873</v>
      </c>
      <c r="E634" s="316"/>
      <c r="F634" s="335"/>
      <c r="G634" s="665">
        <f t="shared" ref="G634:L634" si="397">G566</f>
        <v>542.87519999999995</v>
      </c>
      <c r="H634" s="665">
        <f t="shared" si="397"/>
        <v>430.23110000000003</v>
      </c>
      <c r="I634" s="665">
        <f t="shared" si="397"/>
        <v>407.09230000000002</v>
      </c>
      <c r="J634" s="665">
        <f t="shared" si="397"/>
        <v>645.12656257000003</v>
      </c>
      <c r="K634" s="665">
        <f t="shared" si="397"/>
        <v>636.4991119</v>
      </c>
      <c r="L634" s="665">
        <f t="shared" si="397"/>
        <v>863.66459369999995</v>
      </c>
      <c r="M634" s="665">
        <f>M566</f>
        <v>1331.8087501199998</v>
      </c>
      <c r="N634" s="1565"/>
      <c r="O634" s="316"/>
      <c r="P634" s="316"/>
      <c r="U634" s="327" t="str">
        <f>D634</f>
        <v>广告宣传费用</v>
      </c>
      <c r="V634" s="335"/>
      <c r="W634" s="335"/>
      <c r="X634" s="335">
        <f>X566</f>
        <v>340.74375363000001</v>
      </c>
      <c r="Y634" s="335"/>
      <c r="Z634" s="867"/>
      <c r="AA634" s="867"/>
      <c r="AB634" s="867"/>
      <c r="AC634" s="867"/>
      <c r="AD634" s="867"/>
      <c r="AE634" s="867"/>
      <c r="AF634" s="867"/>
      <c r="AG634" s="867"/>
      <c r="AH634" s="867"/>
      <c r="AI634" s="867"/>
      <c r="AJ634" s="867"/>
      <c r="AK634" s="867"/>
      <c r="AL634" s="867"/>
      <c r="AM634" s="867"/>
      <c r="AN634" s="867"/>
      <c r="AO634" s="867"/>
      <c r="AP634" s="867"/>
      <c r="AQ634" s="867"/>
      <c r="AR634" s="867"/>
      <c r="AS634" s="867"/>
      <c r="AT634" s="867"/>
      <c r="AU634" s="867"/>
      <c r="AV634" s="867"/>
      <c r="AW634" s="867"/>
      <c r="AX634" s="867"/>
    </row>
    <row r="635" spans="2:51">
      <c r="B635" s="327" t="s">
        <v>911</v>
      </c>
      <c r="C635" s="315"/>
      <c r="D635" s="327" t="s">
        <v>925</v>
      </c>
      <c r="E635" s="316"/>
      <c r="F635" s="335"/>
      <c r="G635" s="665">
        <f t="shared" ref="G635:L635" si="398">G569</f>
        <v>86.511600000000001</v>
      </c>
      <c r="H635" s="665">
        <f t="shared" si="398"/>
        <v>112.6493</v>
      </c>
      <c r="I635" s="665">
        <f t="shared" si="398"/>
        <v>161.49360000000001</v>
      </c>
      <c r="J635" s="665">
        <f t="shared" si="398"/>
        <v>22.62401384</v>
      </c>
      <c r="K635" s="665">
        <f t="shared" si="398"/>
        <v>12.980578</v>
      </c>
      <c r="L635" s="665">
        <f t="shared" si="398"/>
        <v>36.210638000000003</v>
      </c>
      <c r="M635" s="665">
        <f>M569</f>
        <v>59.281721859999998</v>
      </c>
      <c r="N635" s="1565"/>
      <c r="O635" s="316"/>
      <c r="P635" s="316"/>
      <c r="U635" s="327" t="str">
        <f>D635</f>
        <v>物流费用</v>
      </c>
      <c r="V635" s="335"/>
      <c r="W635" s="335"/>
      <c r="X635" s="335">
        <f>X569</f>
        <v>115.32656068</v>
      </c>
      <c r="Y635" s="335"/>
      <c r="Z635" s="867"/>
      <c r="AA635" s="867"/>
      <c r="AB635" s="867"/>
      <c r="AC635" s="867"/>
      <c r="AD635" s="867"/>
      <c r="AE635" s="867"/>
      <c r="AF635" s="867"/>
      <c r="AG635" s="867"/>
      <c r="AH635" s="867"/>
      <c r="AI635" s="867"/>
      <c r="AJ635" s="867"/>
      <c r="AK635" s="867"/>
      <c r="AL635" s="867"/>
      <c r="AM635" s="867"/>
      <c r="AN635" s="867"/>
      <c r="AO635" s="867"/>
      <c r="AP635" s="867"/>
      <c r="AQ635" s="867"/>
      <c r="AR635" s="867"/>
      <c r="AS635" s="867"/>
      <c r="AT635" s="867"/>
      <c r="AU635" s="867"/>
      <c r="AV635" s="867"/>
      <c r="AW635" s="867"/>
      <c r="AX635" s="867"/>
    </row>
    <row r="636" spans="2:51">
      <c r="B636" s="327" t="s">
        <v>912</v>
      </c>
      <c r="C636" s="315"/>
      <c r="D636" s="327" t="s">
        <v>43</v>
      </c>
      <c r="E636" s="316"/>
      <c r="F636" s="335"/>
      <c r="G636" s="665">
        <f t="shared" ref="G636:L636" si="399">G630-SUM(G631:G635)</f>
        <v>12.448305959999971</v>
      </c>
      <c r="H636" s="665">
        <f t="shared" si="399"/>
        <v>87.19726006000019</v>
      </c>
      <c r="I636" s="665">
        <f t="shared" si="399"/>
        <v>52.252217919999794</v>
      </c>
      <c r="J636" s="665">
        <f t="shared" si="399"/>
        <v>63.339547589999711</v>
      </c>
      <c r="K636" s="665">
        <f t="shared" si="399"/>
        <v>27.241895349999822</v>
      </c>
      <c r="L636" s="665">
        <f t="shared" si="399"/>
        <v>124.75448488999973</v>
      </c>
      <c r="M636" s="665">
        <f>M630-SUM(M631:M635)</f>
        <v>88.211339940000016</v>
      </c>
      <c r="N636" s="1565"/>
      <c r="O636" s="316"/>
      <c r="P636" s="316"/>
      <c r="U636" s="327" t="str">
        <f>D636</f>
        <v>其他费用</v>
      </c>
      <c r="V636" s="335"/>
      <c r="W636" s="335"/>
      <c r="X636" s="335">
        <f>X630-SUM(X631:X635)</f>
        <v>27.537275749999935</v>
      </c>
      <c r="Y636" s="335"/>
      <c r="Z636" s="867"/>
      <c r="AA636" s="867"/>
      <c r="AB636" s="867"/>
      <c r="AC636" s="867"/>
      <c r="AD636" s="867"/>
      <c r="AE636" s="867"/>
      <c r="AF636" s="867"/>
      <c r="AG636" s="867"/>
      <c r="AH636" s="867"/>
      <c r="AI636" s="867"/>
      <c r="AJ636" s="867"/>
      <c r="AK636" s="867"/>
      <c r="AL636" s="867"/>
      <c r="AM636" s="867"/>
      <c r="AN636" s="867"/>
      <c r="AO636" s="867"/>
      <c r="AP636" s="867"/>
      <c r="AQ636" s="867"/>
      <c r="AR636" s="867"/>
      <c r="AS636" s="867"/>
      <c r="AT636" s="867"/>
      <c r="AU636" s="867"/>
      <c r="AV636" s="867"/>
      <c r="AW636" s="867"/>
      <c r="AX636" s="867"/>
    </row>
    <row r="637" spans="2:51">
      <c r="B637" s="327"/>
      <c r="C637" s="315"/>
      <c r="D637" s="327"/>
      <c r="E637" s="316"/>
      <c r="F637" s="316"/>
      <c r="G637" s="316"/>
      <c r="H637" s="316"/>
      <c r="I637" s="316"/>
      <c r="J637" s="316"/>
      <c r="K637" s="316"/>
      <c r="L637" s="316"/>
      <c r="M637" s="316"/>
      <c r="N637" s="1565"/>
      <c r="O637" s="316"/>
      <c r="P637" s="316"/>
      <c r="U637" s="327"/>
    </row>
    <row r="638" spans="2:51" s="341" customFormat="1" ht="22.5">
      <c r="B638" s="411" t="s">
        <v>922</v>
      </c>
      <c r="C638" s="340"/>
      <c r="D638" s="342" t="s">
        <v>874</v>
      </c>
      <c r="E638" s="339"/>
      <c r="F638" s="323">
        <f t="shared" ref="F638:L638" si="400">IF(ISNUMBER(F630/F$9),F630/F$9,"")</f>
        <v>0.32914976385884898</v>
      </c>
      <c r="G638" s="323">
        <f t="shared" si="400"/>
        <v>0.36644131762035009</v>
      </c>
      <c r="H638" s="323">
        <f t="shared" si="400"/>
        <v>0.28817509400139968</v>
      </c>
      <c r="I638" s="323">
        <f t="shared" si="400"/>
        <v>0.25406586709893958</v>
      </c>
      <c r="J638" s="323">
        <f t="shared" si="400"/>
        <v>0.2383015508202074</v>
      </c>
      <c r="K638" s="323">
        <f t="shared" si="400"/>
        <v>0.20558210115166692</v>
      </c>
      <c r="L638" s="323">
        <f t="shared" si="400"/>
        <v>0.2111959489802876</v>
      </c>
      <c r="M638" s="323">
        <f t="shared" ref="M638:M644" si="401">IF(ISNUMBER(M630/M$9),M630/M$9,"")</f>
        <v>0.20010319545025873</v>
      </c>
      <c r="N638" s="1569"/>
      <c r="O638" s="339"/>
      <c r="P638" s="339"/>
      <c r="Q638" s="347"/>
      <c r="R638" s="347"/>
      <c r="S638" s="347"/>
      <c r="T638" s="954"/>
      <c r="U638" s="342" t="str">
        <f>D638</f>
        <v>销售管理费用率</v>
      </c>
      <c r="V638" s="323"/>
      <c r="W638" s="323"/>
      <c r="X638" s="323">
        <f t="shared" ref="X638:X644" si="402">IF(ISNUMBER(X630/X$9),X630/X$9,"")</f>
        <v>0.25831238503045695</v>
      </c>
      <c r="Y638" s="323"/>
      <c r="Z638" s="872"/>
      <c r="AA638" s="872"/>
      <c r="AB638" s="872"/>
      <c r="AC638" s="872"/>
      <c r="AD638" s="872"/>
      <c r="AE638" s="872"/>
      <c r="AF638" s="872"/>
      <c r="AG638" s="872"/>
      <c r="AH638" s="872"/>
      <c r="AI638" s="872"/>
      <c r="AJ638" s="872"/>
      <c r="AK638" s="872"/>
      <c r="AL638" s="872"/>
      <c r="AM638" s="872"/>
      <c r="AN638" s="872"/>
      <c r="AO638" s="872"/>
      <c r="AP638" s="872"/>
      <c r="AQ638" s="872"/>
      <c r="AR638" s="872"/>
      <c r="AS638" s="872"/>
      <c r="AT638" s="872"/>
      <c r="AU638" s="872"/>
      <c r="AV638" s="872"/>
      <c r="AW638" s="872"/>
      <c r="AX638" s="872"/>
      <c r="AY638" s="954"/>
    </row>
    <row r="639" spans="2:51" s="38" customFormat="1">
      <c r="B639" s="328" t="s">
        <v>924</v>
      </c>
      <c r="C639" s="321"/>
      <c r="D639" s="328" t="str">
        <f t="shared" ref="D639:D644" si="403">D631</f>
        <v>折旧</v>
      </c>
      <c r="E639" s="322"/>
      <c r="F639" s="323"/>
      <c r="G639" s="323">
        <f t="shared" ref="G639:L644" si="404">IF(ISNUMBER(G631/G$9),G631/G$9,"")</f>
        <v>2.5632478094001303E-2</v>
      </c>
      <c r="H639" s="323">
        <f t="shared" si="404"/>
        <v>2.4277145556731737E-2</v>
      </c>
      <c r="I639" s="323">
        <f t="shared" si="404"/>
        <v>2.5125589910832698E-2</v>
      </c>
      <c r="J639" s="323">
        <f t="shared" si="404"/>
        <v>2.4807867691508827E-2</v>
      </c>
      <c r="K639" s="323">
        <f t="shared" si="404"/>
        <v>2.4924315994575577E-2</v>
      </c>
      <c r="L639" s="323">
        <f t="shared" si="404"/>
        <v>2.1459962226300131E-2</v>
      </c>
      <c r="M639" s="323">
        <f t="shared" si="401"/>
        <v>2.057798885890581E-2</v>
      </c>
      <c r="N639" s="1576"/>
      <c r="O639" s="322"/>
      <c r="P639" s="322"/>
      <c r="Q639" s="869"/>
      <c r="R639" s="869"/>
      <c r="S639" s="869"/>
      <c r="T639" s="945"/>
      <c r="U639" s="328" t="str">
        <f>D639</f>
        <v>折旧</v>
      </c>
      <c r="V639" s="323"/>
      <c r="W639" s="323"/>
      <c r="X639" s="323">
        <f t="shared" si="402"/>
        <v>2.1662247200646675E-2</v>
      </c>
      <c r="Y639" s="323"/>
      <c r="Z639" s="872"/>
      <c r="AA639" s="872"/>
      <c r="AB639" s="872"/>
      <c r="AC639" s="872"/>
      <c r="AD639" s="872"/>
      <c r="AE639" s="872"/>
      <c r="AF639" s="872"/>
      <c r="AG639" s="872"/>
      <c r="AH639" s="872"/>
      <c r="AI639" s="872"/>
      <c r="AJ639" s="872"/>
      <c r="AK639" s="872"/>
      <c r="AL639" s="872"/>
      <c r="AM639" s="872"/>
      <c r="AN639" s="872"/>
      <c r="AO639" s="872"/>
      <c r="AP639" s="872"/>
      <c r="AQ639" s="872"/>
      <c r="AR639" s="872"/>
      <c r="AS639" s="872"/>
      <c r="AT639" s="872"/>
      <c r="AU639" s="872"/>
      <c r="AV639" s="872"/>
      <c r="AW639" s="872"/>
      <c r="AX639" s="872"/>
      <c r="AY639" s="945"/>
    </row>
    <row r="640" spans="2:51" s="38" customFormat="1">
      <c r="B640" s="328" t="s">
        <v>38</v>
      </c>
      <c r="C640" s="321"/>
      <c r="D640" s="328" t="str">
        <f t="shared" si="403"/>
        <v>摊销</v>
      </c>
      <c r="E640" s="322"/>
      <c r="F640" s="323"/>
      <c r="G640" s="323">
        <f t="shared" si="404"/>
        <v>2.3413428156537765E-3</v>
      </c>
      <c r="H640" s="323">
        <f t="shared" si="404"/>
        <v>1.7935467249028355E-3</v>
      </c>
      <c r="I640" s="323">
        <f t="shared" si="404"/>
        <v>1.9879884731259343E-3</v>
      </c>
      <c r="J640" s="323">
        <f t="shared" si="404"/>
        <v>1.7208673986816084E-3</v>
      </c>
      <c r="K640" s="323">
        <f t="shared" si="404"/>
        <v>1.405032628563334E-3</v>
      </c>
      <c r="L640" s="323">
        <f t="shared" si="404"/>
        <v>1.0956420173132862E-3</v>
      </c>
      <c r="M640" s="323">
        <f t="shared" si="401"/>
        <v>1.0808845366836119E-3</v>
      </c>
      <c r="N640" s="1576"/>
      <c r="O640" s="322"/>
      <c r="P640" s="322"/>
      <c r="Q640" s="869"/>
      <c r="R640" s="869"/>
      <c r="S640" s="869"/>
      <c r="T640" s="945"/>
      <c r="U640" s="328" t="str">
        <f>D640</f>
        <v>摊销</v>
      </c>
      <c r="V640" s="323"/>
      <c r="W640" s="323"/>
      <c r="X640" s="323">
        <f t="shared" si="402"/>
        <v>2.6748711762250629E-3</v>
      </c>
      <c r="Y640" s="323"/>
      <c r="Z640" s="872"/>
      <c r="AA640" s="872"/>
      <c r="AB640" s="872"/>
      <c r="AC640" s="872"/>
      <c r="AD640" s="872"/>
      <c r="AE640" s="872"/>
      <c r="AF640" s="872"/>
      <c r="AG640" s="872"/>
      <c r="AH640" s="872"/>
      <c r="AI640" s="872"/>
      <c r="AJ640" s="872"/>
      <c r="AK640" s="872"/>
      <c r="AL640" s="872"/>
      <c r="AM640" s="872"/>
      <c r="AN640" s="872"/>
      <c r="AO640" s="872"/>
      <c r="AP640" s="872"/>
      <c r="AQ640" s="872"/>
      <c r="AR640" s="872"/>
      <c r="AS640" s="872"/>
      <c r="AT640" s="872"/>
      <c r="AU640" s="872"/>
      <c r="AV640" s="872"/>
      <c r="AW640" s="872"/>
      <c r="AX640" s="872"/>
      <c r="AY640" s="945"/>
    </row>
    <row r="641" spans="2:66" s="38" customFormat="1">
      <c r="B641" s="328" t="s">
        <v>917</v>
      </c>
      <c r="C641" s="321"/>
      <c r="D641" s="328" t="str">
        <f t="shared" si="403"/>
        <v>人工成本</v>
      </c>
      <c r="E641" s="322"/>
      <c r="F641" s="323"/>
      <c r="G641" s="323">
        <f t="shared" si="404"/>
        <v>0.12716626240753137</v>
      </c>
      <c r="H641" s="323">
        <f t="shared" si="404"/>
        <v>0.11239703447965115</v>
      </c>
      <c r="I641" s="323">
        <f t="shared" si="404"/>
        <v>0.1017455144813893</v>
      </c>
      <c r="J641" s="323">
        <f t="shared" si="404"/>
        <v>0.10699942450644385</v>
      </c>
      <c r="K641" s="323">
        <f t="shared" si="404"/>
        <v>9.9688898702606027E-2</v>
      </c>
      <c r="L641" s="323">
        <f t="shared" si="404"/>
        <v>9.7665608892911607E-2</v>
      </c>
      <c r="M641" s="323">
        <f t="shared" si="401"/>
        <v>8.5047286211473547E-2</v>
      </c>
      <c r="N641" s="1576"/>
      <c r="O641" s="322"/>
      <c r="P641" s="322"/>
      <c r="Q641" s="869"/>
      <c r="R641" s="869"/>
      <c r="S641" s="869"/>
      <c r="T641" s="945"/>
      <c r="U641" s="328" t="str">
        <f>D641</f>
        <v>人工成本</v>
      </c>
      <c r="V641" s="323"/>
      <c r="W641" s="323"/>
      <c r="X641" s="323">
        <f t="shared" si="402"/>
        <v>0.10264087971327367</v>
      </c>
      <c r="Y641" s="323"/>
      <c r="Z641" s="872"/>
      <c r="AA641" s="872"/>
      <c r="AB641" s="872"/>
      <c r="AC641" s="872"/>
      <c r="AD641" s="872"/>
      <c r="AE641" s="872"/>
      <c r="AF641" s="872"/>
      <c r="AG641" s="872"/>
      <c r="AH641" s="872"/>
      <c r="AI641" s="872"/>
      <c r="AJ641" s="872"/>
      <c r="AK641" s="872"/>
      <c r="AL641" s="872"/>
      <c r="AM641" s="872"/>
      <c r="AN641" s="872"/>
      <c r="AO641" s="872"/>
      <c r="AP641" s="872"/>
      <c r="AQ641" s="872"/>
      <c r="AR641" s="872"/>
      <c r="AS641" s="872"/>
      <c r="AT641" s="872"/>
      <c r="AU641" s="872"/>
      <c r="AV641" s="872"/>
      <c r="AW641" s="872"/>
      <c r="AX641" s="872"/>
      <c r="AY641" s="945"/>
    </row>
    <row r="642" spans="2:66" s="38" customFormat="1">
      <c r="B642" s="328" t="s">
        <v>910</v>
      </c>
      <c r="C642" s="321"/>
      <c r="D642" s="328" t="str">
        <f t="shared" si="403"/>
        <v>广告宣传费用</v>
      </c>
      <c r="E642" s="322"/>
      <c r="F642" s="323"/>
      <c r="G642" s="323">
        <f t="shared" si="404"/>
        <v>0.17872222751200789</v>
      </c>
      <c r="H642" s="323">
        <f t="shared" si="404"/>
        <v>0.10222353428573354</v>
      </c>
      <c r="I642" s="323">
        <f t="shared" si="404"/>
        <v>8.2099845720010292E-2</v>
      </c>
      <c r="J642" s="323">
        <f t="shared" si="404"/>
        <v>9.2453851460952766E-2</v>
      </c>
      <c r="K642" s="323">
        <f t="shared" si="404"/>
        <v>7.483479676628324E-2</v>
      </c>
      <c r="L642" s="323">
        <f t="shared" si="404"/>
        <v>7.6682978247944039E-2</v>
      </c>
      <c r="M642" s="323">
        <f t="shared" si="401"/>
        <v>8.4084930180539905E-2</v>
      </c>
      <c r="N642" s="1576"/>
      <c r="O642" s="322"/>
      <c r="P642" s="322"/>
      <c r="Q642" s="869"/>
      <c r="R642" s="869"/>
      <c r="S642" s="869"/>
      <c r="T642" s="945"/>
      <c r="U642" s="328" t="str">
        <f>D642</f>
        <v>广告宣传费用</v>
      </c>
      <c r="V642" s="323"/>
      <c r="W642" s="323"/>
      <c r="X642" s="323">
        <f t="shared" si="402"/>
        <v>9.2536537694092882E-2</v>
      </c>
      <c r="Y642" s="323"/>
      <c r="Z642" s="872"/>
      <c r="AA642" s="872"/>
      <c r="AB642" s="872"/>
      <c r="AC642" s="872"/>
      <c r="AD642" s="872"/>
      <c r="AE642" s="872"/>
      <c r="AF642" s="872"/>
      <c r="AG642" s="872"/>
      <c r="AH642" s="872"/>
      <c r="AI642" s="872"/>
      <c r="AJ642" s="872"/>
      <c r="AK642" s="872"/>
      <c r="AL642" s="872"/>
      <c r="AM642" s="872"/>
      <c r="AN642" s="872"/>
      <c r="AO642" s="872"/>
      <c r="AP642" s="872"/>
      <c r="AQ642" s="872"/>
      <c r="AR642" s="872"/>
      <c r="AS642" s="872"/>
      <c r="AT642" s="872"/>
      <c r="AU642" s="872"/>
      <c r="AV642" s="872"/>
      <c r="AW642" s="872"/>
      <c r="AX642" s="872"/>
      <c r="AY642" s="945"/>
    </row>
    <row r="643" spans="2:66" s="38" customFormat="1">
      <c r="B643" s="328" t="s">
        <v>911</v>
      </c>
      <c r="C643" s="321"/>
      <c r="D643" s="328" t="str">
        <f t="shared" si="403"/>
        <v>物流费用</v>
      </c>
      <c r="E643" s="322"/>
      <c r="F643" s="323"/>
      <c r="G643" s="323">
        <f t="shared" si="404"/>
        <v>2.8480847637961403E-2</v>
      </c>
      <c r="H643" s="323">
        <f t="shared" si="404"/>
        <v>2.6765637307051678E-2</v>
      </c>
      <c r="I643" s="323">
        <f t="shared" si="404"/>
        <v>3.2569025856713708E-2</v>
      </c>
      <c r="J643" s="323">
        <f t="shared" si="404"/>
        <v>3.2422742084611349E-3</v>
      </c>
      <c r="K643" s="323">
        <f t="shared" si="404"/>
        <v>1.5261591074953505E-3</v>
      </c>
      <c r="L643" s="323">
        <f t="shared" si="404"/>
        <v>3.215067036848678E-3</v>
      </c>
      <c r="M643" s="323">
        <f t="shared" si="401"/>
        <v>3.7428042450773432E-3</v>
      </c>
      <c r="N643" s="1576"/>
      <c r="O643" s="322"/>
      <c r="P643" s="322"/>
      <c r="Q643" s="869"/>
      <c r="R643" s="869"/>
      <c r="S643" s="869"/>
      <c r="T643" s="945"/>
      <c r="U643" s="328" t="str">
        <f>D643</f>
        <v>物流费用</v>
      </c>
      <c r="V643" s="323"/>
      <c r="W643" s="323"/>
      <c r="X643" s="323">
        <f t="shared" si="402"/>
        <v>3.131949013240936E-2</v>
      </c>
      <c r="Y643" s="323"/>
      <c r="Z643" s="872"/>
      <c r="AA643" s="872"/>
      <c r="AB643" s="872"/>
      <c r="AC643" s="872"/>
      <c r="AD643" s="872"/>
      <c r="AE643" s="872"/>
      <c r="AF643" s="872"/>
      <c r="AG643" s="872"/>
      <c r="AH643" s="872"/>
      <c r="AI643" s="872"/>
      <c r="AJ643" s="872"/>
      <c r="AK643" s="872"/>
      <c r="AL643" s="872"/>
      <c r="AM643" s="872"/>
      <c r="AN643" s="872"/>
      <c r="AO643" s="872"/>
      <c r="AP643" s="872"/>
      <c r="AQ643" s="872"/>
      <c r="AR643" s="872"/>
      <c r="AS643" s="872"/>
      <c r="AT643" s="872"/>
      <c r="AU643" s="872"/>
      <c r="AV643" s="872"/>
      <c r="AW643" s="872"/>
      <c r="AX643" s="872"/>
      <c r="AY643" s="945"/>
    </row>
    <row r="644" spans="2:66" s="38" customFormat="1">
      <c r="B644" s="328" t="s">
        <v>912</v>
      </c>
      <c r="C644" s="321"/>
      <c r="D644" s="328" t="str">
        <f t="shared" si="403"/>
        <v>其他费用</v>
      </c>
      <c r="E644" s="322"/>
      <c r="F644" s="323"/>
      <c r="G644" s="323">
        <f t="shared" si="404"/>
        <v>4.0981591531943232E-3</v>
      </c>
      <c r="H644" s="323">
        <f t="shared" si="404"/>
        <v>2.0718195647328731E-2</v>
      </c>
      <c r="I644" s="323">
        <f t="shared" si="404"/>
        <v>1.0537902656867595E-2</v>
      </c>
      <c r="J644" s="323">
        <f t="shared" si="404"/>
        <v>9.0772655541591866E-3</v>
      </c>
      <c r="K644" s="323">
        <f t="shared" si="404"/>
        <v>3.2028979521433847E-3</v>
      </c>
      <c r="L644" s="323">
        <f t="shared" si="404"/>
        <v>1.1076690558969841E-2</v>
      </c>
      <c r="M644" s="323">
        <f t="shared" si="401"/>
        <v>5.5693014175785052E-3</v>
      </c>
      <c r="N644" s="1576"/>
      <c r="O644" s="322"/>
      <c r="P644" s="322"/>
      <c r="Q644" s="869"/>
      <c r="R644" s="869"/>
      <c r="S644" s="869"/>
      <c r="T644" s="945"/>
      <c r="U644" s="328" t="str">
        <f>D644</f>
        <v>其他费用</v>
      </c>
      <c r="V644" s="323"/>
      <c r="W644" s="323"/>
      <c r="X644" s="323">
        <f t="shared" si="402"/>
        <v>7.4783591138092931E-3</v>
      </c>
      <c r="Y644" s="323"/>
      <c r="Z644" s="872"/>
      <c r="AA644" s="872"/>
      <c r="AB644" s="872"/>
      <c r="AC644" s="872"/>
      <c r="AD644" s="872"/>
      <c r="AE644" s="872"/>
      <c r="AF644" s="872"/>
      <c r="AG644" s="872"/>
      <c r="AH644" s="872"/>
      <c r="AI644" s="872"/>
      <c r="AJ644" s="872"/>
      <c r="AK644" s="872"/>
      <c r="AL644" s="872"/>
      <c r="AM644" s="872"/>
      <c r="AN644" s="872"/>
      <c r="AO644" s="872"/>
      <c r="AP644" s="872"/>
      <c r="AQ644" s="872"/>
      <c r="AR644" s="872"/>
      <c r="AS644" s="872"/>
      <c r="AT644" s="872"/>
      <c r="AU644" s="872"/>
      <c r="AV644" s="872"/>
      <c r="AW644" s="872"/>
      <c r="AX644" s="872"/>
      <c r="AY644" s="945"/>
    </row>
    <row r="647" spans="2:66">
      <c r="BE647" s="37">
        <v>2023</v>
      </c>
      <c r="BN647" s="37">
        <v>2022</v>
      </c>
    </row>
    <row r="648" spans="2:66" s="305" customFormat="1">
      <c r="B648" s="910" t="s">
        <v>1266</v>
      </c>
      <c r="C648" s="910"/>
      <c r="D648" s="911" t="s">
        <v>1270</v>
      </c>
      <c r="E648" s="912"/>
      <c r="F648" s="912">
        <f t="shared" ref="F648:P648" si="405">F8</f>
        <v>2017</v>
      </c>
      <c r="G648" s="912">
        <f t="shared" si="405"/>
        <v>2018</v>
      </c>
      <c r="H648" s="912">
        <f t="shared" si="405"/>
        <v>2019</v>
      </c>
      <c r="I648" s="912">
        <f t="shared" si="405"/>
        <v>2020</v>
      </c>
      <c r="J648" s="912">
        <f t="shared" si="405"/>
        <v>2021</v>
      </c>
      <c r="K648" s="912">
        <f t="shared" si="405"/>
        <v>2022</v>
      </c>
      <c r="L648" s="912">
        <f t="shared" si="405"/>
        <v>2023</v>
      </c>
      <c r="M648" s="912">
        <f t="shared" si="405"/>
        <v>2024</v>
      </c>
      <c r="N648" s="1562" t="str">
        <f t="shared" si="405"/>
        <v>2025E</v>
      </c>
      <c r="O648" s="912" t="str">
        <f t="shared" si="405"/>
        <v>2026E</v>
      </c>
      <c r="P648" s="912" t="str">
        <f t="shared" si="405"/>
        <v>2027E</v>
      </c>
      <c r="Q648" s="1229"/>
      <c r="R648" s="1229"/>
      <c r="S648" s="1229"/>
      <c r="T648" s="948"/>
      <c r="U648" s="911" t="str">
        <f>D648</f>
        <v>产能</v>
      </c>
      <c r="V648" s="912" t="str">
        <f t="shared" ref="V648:AE648" si="406">V8</f>
        <v>1H20</v>
      </c>
      <c r="W648" s="912" t="str">
        <f t="shared" si="406"/>
        <v>2H20</v>
      </c>
      <c r="X648" s="912" t="str">
        <f t="shared" si="406"/>
        <v>1H21</v>
      </c>
      <c r="Y648" s="912" t="str">
        <f t="shared" si="406"/>
        <v>2H21</v>
      </c>
      <c r="Z648" s="912" t="str">
        <f t="shared" si="406"/>
        <v>1H22</v>
      </c>
      <c r="AA648" s="912" t="str">
        <f t="shared" si="406"/>
        <v>2H22</v>
      </c>
      <c r="AB648" s="912" t="str">
        <f t="shared" si="406"/>
        <v>1H23</v>
      </c>
      <c r="AC648" s="912" t="str">
        <f t="shared" si="406"/>
        <v>2H23</v>
      </c>
      <c r="AD648" s="912" t="str">
        <f t="shared" si="406"/>
        <v>1H24</v>
      </c>
      <c r="AE648" s="912" t="str">
        <f t="shared" si="406"/>
        <v>2H24</v>
      </c>
      <c r="AF648" s="912"/>
      <c r="AG648" s="912"/>
      <c r="AH648" s="1229"/>
      <c r="AI648" s="1229"/>
      <c r="AJ648" s="1229"/>
      <c r="AK648" s="1229"/>
      <c r="AL648" s="1229"/>
      <c r="AM648" s="1229"/>
      <c r="AN648" s="1229"/>
      <c r="AO648" s="1229"/>
      <c r="AP648" s="1229"/>
      <c r="AQ648" s="1229"/>
      <c r="AR648" s="1229"/>
      <c r="AS648" s="1229"/>
      <c r="AT648" s="1229"/>
      <c r="AU648" s="1229"/>
      <c r="AV648" s="1229"/>
      <c r="AW648" s="1229"/>
      <c r="AX648" s="1229"/>
      <c r="AY648" s="948"/>
    </row>
    <row r="650" spans="2:66" s="37" customFormat="1">
      <c r="B650" s="37" t="s">
        <v>1265</v>
      </c>
      <c r="G650" s="1215">
        <v>1045.296</v>
      </c>
      <c r="H650" s="1215">
        <v>1530.828</v>
      </c>
      <c r="I650" s="1202">
        <v>1772.5229999999999</v>
      </c>
      <c r="J650" s="1215">
        <v>2364.5</v>
      </c>
      <c r="K650" s="1215">
        <v>2804.2</v>
      </c>
      <c r="L650" s="1215">
        <v>3351.9</v>
      </c>
      <c r="M650" s="2093">
        <v>4874</v>
      </c>
      <c r="N650" s="2079">
        <f>M650+('Capacity projects'!T82+'Capacity projects'!T83+'Capacity projects'!T84+'Capacity projects'!T85)/2</f>
        <v>6579.3</v>
      </c>
      <c r="O650" s="2078">
        <f>M650+('Capacity projects'!T82+'Capacity projects'!T83+'Capacity projects'!T84+'Capacity projects'!T85)+SUM('Capacity projects'!T86:T88)/2</f>
        <v>10187</v>
      </c>
      <c r="P650" s="2078">
        <f>M650+('Capacity projects'!T82+'Capacity projects'!T83+'Capacity projects'!T84+'Capacity projects'!T85)+SUM('Capacity projects'!T86:T88)+'Capacity projects'!T89/2</f>
        <v>12667.300000000001</v>
      </c>
      <c r="Q650" s="1313"/>
      <c r="R650" s="1313"/>
      <c r="S650" s="1313"/>
      <c r="T650" s="944"/>
      <c r="AY650" s="944"/>
    </row>
    <row r="651" spans="2:66">
      <c r="B651" s="36" t="s">
        <v>1267</v>
      </c>
      <c r="C651" s="36"/>
      <c r="D651" s="36"/>
      <c r="E651" s="36"/>
      <c r="F651" s="36"/>
      <c r="G651" s="630">
        <v>648.40200000000004</v>
      </c>
      <c r="H651" s="630">
        <v>1016.131</v>
      </c>
      <c r="I651" s="630">
        <v>1233.768</v>
      </c>
      <c r="J651" s="1213">
        <v>1688.8</v>
      </c>
      <c r="K651" s="1213">
        <v>2058.6</v>
      </c>
      <c r="L651" s="1213">
        <v>2892.3</v>
      </c>
      <c r="M651" s="2094">
        <v>4363.3</v>
      </c>
      <c r="N651" s="1577">
        <f>N201+N106</f>
        <v>6065.0582800000002</v>
      </c>
      <c r="O651" s="1173">
        <f>O201+O106</f>
        <v>7516.2598020000005</v>
      </c>
      <c r="P651" s="1173">
        <f>P201+P106</f>
        <v>8915.1530061600006</v>
      </c>
      <c r="Q651" s="1173"/>
      <c r="R651" s="1173"/>
      <c r="S651" s="1173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</row>
    <row r="652" spans="2:66">
      <c r="B652" s="36" t="s">
        <v>1268</v>
      </c>
      <c r="G652" s="630"/>
      <c r="H652" s="630"/>
      <c r="I652" s="630"/>
      <c r="J652" s="630">
        <v>9.9450000000000003</v>
      </c>
      <c r="K652" s="630">
        <v>11.164</v>
      </c>
      <c r="L652" s="630">
        <v>37.204999999999998</v>
      </c>
      <c r="M652" s="1924">
        <v>65.331999999999994</v>
      </c>
    </row>
    <row r="653" spans="2:66">
      <c r="L653" s="751"/>
    </row>
    <row r="654" spans="2:66" s="37" customFormat="1">
      <c r="B654" s="760" t="s">
        <v>1269</v>
      </c>
      <c r="C654" s="760"/>
      <c r="D654" s="760"/>
      <c r="E654" s="396"/>
      <c r="F654" s="396"/>
      <c r="G654" s="1816">
        <f t="shared" ref="G654:P654" si="407">G651/G650</f>
        <v>0.62030467924874866</v>
      </c>
      <c r="H654" s="1816">
        <f t="shared" si="407"/>
        <v>0.66377868708960119</v>
      </c>
      <c r="I654" s="1816">
        <f t="shared" si="407"/>
        <v>0.69605189890342756</v>
      </c>
      <c r="J654" s="1816">
        <f t="shared" si="407"/>
        <v>0.71423133854937615</v>
      </c>
      <c r="K654" s="1816">
        <f t="shared" si="407"/>
        <v>0.73411311604022544</v>
      </c>
      <c r="L654" s="1816">
        <f t="shared" si="407"/>
        <v>0.86288373758167014</v>
      </c>
      <c r="M654" s="1816">
        <f>M651/M650</f>
        <v>0.89521953221173578</v>
      </c>
      <c r="N654" s="2128">
        <f t="shared" si="407"/>
        <v>0.92183944796558903</v>
      </c>
      <c r="O654" s="1816">
        <f t="shared" si="407"/>
        <v>0.73782858564837539</v>
      </c>
      <c r="P654" s="1816">
        <f t="shared" si="407"/>
        <v>0.70379267927340472</v>
      </c>
      <c r="Q654" s="1312"/>
      <c r="R654" s="1312"/>
      <c r="S654" s="1312"/>
      <c r="T654" s="944"/>
      <c r="U654" s="760"/>
      <c r="V654" s="396"/>
      <c r="W654" s="396"/>
      <c r="X654" s="396"/>
      <c r="Y654" s="396"/>
      <c r="Z654" s="396"/>
      <c r="AA654" s="396"/>
      <c r="AB654" s="396"/>
      <c r="AC654" s="396"/>
      <c r="AD654" s="396"/>
      <c r="AE654" s="396"/>
      <c r="AF654" s="396"/>
      <c r="AG654" s="396"/>
      <c r="AH654" s="396"/>
      <c r="AI654" s="396"/>
      <c r="AJ654" s="396"/>
      <c r="AK654" s="396"/>
      <c r="AL654" s="396"/>
      <c r="AM654" s="396"/>
      <c r="AN654" s="396"/>
      <c r="AO654" s="396"/>
      <c r="AP654" s="396"/>
      <c r="AQ654" s="396"/>
      <c r="AR654" s="396"/>
      <c r="AS654" s="396"/>
      <c r="AT654" s="396"/>
      <c r="AU654" s="396"/>
      <c r="AV654" s="396"/>
      <c r="AW654" s="396"/>
      <c r="AX654" s="396"/>
      <c r="AY654" s="944"/>
    </row>
    <row r="656" spans="2:66">
      <c r="B656" s="36" t="s">
        <v>1775</v>
      </c>
      <c r="H656" s="751">
        <f>-Model!E207/(H650-G650)*1000</f>
        <v>1046.8269002249081</v>
      </c>
      <c r="I656" s="751">
        <f>-Model!F207/(I650-H650)*1000</f>
        <v>2670.1786229752379</v>
      </c>
      <c r="J656" s="751">
        <f>-Model!G207/(J650-I650)*1000</f>
        <v>1029.5737696734839</v>
      </c>
      <c r="K656" s="751">
        <f>-Model!H207/(K650-J650)*1000</f>
        <v>1802.8029835797142</v>
      </c>
      <c r="L656" s="751">
        <f>-Model!I207/(L650-K650)*1000</f>
        <v>1675.5954502282264</v>
      </c>
      <c r="M656" s="751">
        <f>-Model!J207/(M650-L650)*1000</f>
        <v>1108.6529860127457</v>
      </c>
      <c r="N656" s="1589">
        <f>-Model!K207/(N650-M650)*1000</f>
        <v>1450.7995484354915</v>
      </c>
      <c r="O656" s="751">
        <f>-Model!L207/(O650-N650)*1000</f>
        <v>822.84660214582868</v>
      </c>
      <c r="P656" s="751">
        <f>-Model!M207/(P650-O650)*1000</f>
        <v>1391.6127514457546</v>
      </c>
    </row>
    <row r="657" spans="2:51">
      <c r="B657" s="36" t="s">
        <v>1700</v>
      </c>
      <c r="N657" s="1532"/>
      <c r="O657" s="1532"/>
      <c r="P657" s="1532"/>
    </row>
    <row r="658" spans="2:51" s="305" customFormat="1">
      <c r="B658" s="1250" t="s">
        <v>1281</v>
      </c>
      <c r="C658" s="910"/>
      <c r="D658" s="911"/>
      <c r="E658" s="912"/>
      <c r="F658" s="912"/>
      <c r="G658" s="912"/>
      <c r="H658" s="912"/>
      <c r="I658" s="912"/>
      <c r="J658" s="912"/>
      <c r="K658" s="912"/>
      <c r="L658" s="912"/>
      <c r="M658" s="912"/>
      <c r="N658" s="1562"/>
      <c r="O658" s="912"/>
      <c r="P658" s="912"/>
      <c r="Q658" s="1229"/>
      <c r="R658" s="1229"/>
      <c r="S658" s="1229"/>
      <c r="T658" s="948"/>
      <c r="U658" s="911"/>
      <c r="V658" s="912"/>
      <c r="W658" s="912"/>
      <c r="X658" s="912"/>
      <c r="Y658" s="912"/>
      <c r="Z658" s="912"/>
      <c r="AA658" s="912"/>
      <c r="AB658" s="912"/>
      <c r="AC658" s="912"/>
      <c r="AD658" s="912"/>
      <c r="AE658" s="912"/>
      <c r="AF658" s="912"/>
      <c r="AG658" s="912"/>
      <c r="AH658" s="1229"/>
      <c r="AI658" s="1229"/>
      <c r="AJ658" s="1229"/>
      <c r="AK658" s="1229"/>
      <c r="AL658" s="1229"/>
      <c r="AM658" s="1229"/>
      <c r="AN658" s="1229"/>
      <c r="AO658" s="1229"/>
      <c r="AP658" s="1229"/>
      <c r="AQ658" s="1229"/>
      <c r="AR658" s="1229"/>
      <c r="AS658" s="1229"/>
      <c r="AT658" s="1229"/>
      <c r="AU658" s="1229"/>
      <c r="AV658" s="1229"/>
      <c r="AW658" s="1229"/>
      <c r="AX658" s="1229"/>
      <c r="AY658" s="948"/>
    </row>
    <row r="659" spans="2:51">
      <c r="B659" s="36" t="s">
        <v>1315</v>
      </c>
      <c r="G659" s="867">
        <f t="shared" ref="G659:P659" si="408">G201+G106</f>
        <v>659.91899999999998</v>
      </c>
      <c r="H659" s="867">
        <f t="shared" si="408"/>
        <v>990.83999999999992</v>
      </c>
      <c r="I659" s="867">
        <f t="shared" si="408"/>
        <v>1219.8219999999999</v>
      </c>
      <c r="J659" s="867">
        <f t="shared" si="408"/>
        <v>1692.9289999999999</v>
      </c>
      <c r="K659" s="867">
        <f t="shared" si="408"/>
        <v>2055.5619999999999</v>
      </c>
      <c r="L659" s="867">
        <f t="shared" si="408"/>
        <v>2857.1510000000003</v>
      </c>
      <c r="M659" s="867">
        <f t="shared" si="408"/>
        <v>4216.4880000000003</v>
      </c>
      <c r="N659" s="1532">
        <f t="shared" si="408"/>
        <v>6065.0582800000002</v>
      </c>
      <c r="O659" s="867">
        <f t="shared" si="408"/>
        <v>7516.2598020000005</v>
      </c>
      <c r="P659" s="867">
        <f t="shared" si="408"/>
        <v>8915.1530061600006</v>
      </c>
      <c r="Q659" s="867"/>
      <c r="R659" s="867"/>
      <c r="S659" s="867"/>
    </row>
    <row r="660" spans="2:51" s="37" customFormat="1">
      <c r="B660" s="37" t="s">
        <v>1316</v>
      </c>
      <c r="C660" s="760"/>
      <c r="D660" s="760"/>
      <c r="E660" s="396"/>
      <c r="F660" s="396"/>
      <c r="G660" s="1270">
        <f t="shared" ref="G660:M660" si="409">G23/G659</f>
        <v>2.4870356169620815</v>
      </c>
      <c r="H660" s="1270">
        <f t="shared" si="409"/>
        <v>2.262443239624965</v>
      </c>
      <c r="I660" s="1270">
        <f t="shared" si="409"/>
        <v>2.1706835144717838</v>
      </c>
      <c r="J660" s="1270">
        <f t="shared" si="409"/>
        <v>2.2928101489016965</v>
      </c>
      <c r="K660" s="1270">
        <f t="shared" si="409"/>
        <v>2.3864331646187273</v>
      </c>
      <c r="L660" s="1270">
        <f t="shared" si="409"/>
        <v>2.2440724204321016</v>
      </c>
      <c r="M660" s="1270">
        <f t="shared" si="409"/>
        <v>2.0731853150418069</v>
      </c>
      <c r="N660" s="1578">
        <f>N662/N667</f>
        <v>1.9067251339609743</v>
      </c>
      <c r="O660" s="1279">
        <f>O662/O667</f>
        <v>1.829007929019099</v>
      </c>
      <c r="P660" s="1279">
        <f>P662/P667</f>
        <v>1.7972468609825423</v>
      </c>
      <c r="Q660" s="1279"/>
      <c r="R660" s="1279"/>
      <c r="S660" s="1279"/>
      <c r="T660" s="944"/>
      <c r="U660" s="760"/>
      <c r="V660" s="396"/>
      <c r="W660" s="396"/>
      <c r="X660" s="396"/>
      <c r="Y660" s="396"/>
      <c r="Z660" s="396"/>
      <c r="AA660" s="396"/>
      <c r="AB660" s="396"/>
      <c r="AC660" s="396"/>
      <c r="AD660" s="396"/>
      <c r="AE660" s="396"/>
      <c r="AF660" s="396"/>
      <c r="AG660" s="396"/>
      <c r="AH660" s="396"/>
      <c r="AI660" s="396"/>
      <c r="AJ660" s="396"/>
      <c r="AK660" s="396"/>
      <c r="AL660" s="396"/>
      <c r="AM660" s="396"/>
      <c r="AN660" s="396"/>
      <c r="AO660" s="396"/>
      <c r="AP660" s="396"/>
      <c r="AQ660" s="396"/>
      <c r="AR660" s="396"/>
      <c r="AS660" s="396"/>
      <c r="AT660" s="396"/>
      <c r="AU660" s="396"/>
      <c r="AV660" s="396"/>
      <c r="AW660" s="396"/>
      <c r="AX660" s="396"/>
      <c r="AY660" s="944"/>
    </row>
    <row r="661" spans="2:51" s="37" customFormat="1">
      <c r="B661" s="1274" t="s">
        <v>216</v>
      </c>
      <c r="C661" s="760"/>
      <c r="D661" s="760"/>
      <c r="E661" s="396"/>
      <c r="F661" s="396"/>
      <c r="G661" s="1270"/>
      <c r="H661" s="1199">
        <f t="shared" ref="H661:M661" si="410">H660/G660-1</f>
        <v>-9.0305251684114074E-2</v>
      </c>
      <c r="I661" s="1199">
        <f t="shared" si="410"/>
        <v>-4.0557802090271156E-2</v>
      </c>
      <c r="J661" s="1199">
        <f t="shared" si="410"/>
        <v>5.6261833480423906E-2</v>
      </c>
      <c r="K661" s="1199">
        <f t="shared" si="410"/>
        <v>4.0833304825468542E-2</v>
      </c>
      <c r="L661" s="1199">
        <f t="shared" si="410"/>
        <v>-5.9654192833583974E-2</v>
      </c>
      <c r="M661" s="1199">
        <f t="shared" si="410"/>
        <v>-7.6150441418191828E-2</v>
      </c>
      <c r="N661" s="1579">
        <f>N660/M660-1</f>
        <v>-8.0291993133993378E-2</v>
      </c>
      <c r="O661" s="1199">
        <f>O660/N660-1</f>
        <v>-4.0759521945582078E-2</v>
      </c>
      <c r="P661" s="1199">
        <f>P660/O660-1</f>
        <v>-1.7365188817738075E-2</v>
      </c>
      <c r="Q661" s="1199"/>
      <c r="R661" s="1199"/>
      <c r="S661" s="1199"/>
      <c r="T661" s="944"/>
      <c r="U661" s="760"/>
      <c r="V661" s="396"/>
      <c r="W661" s="396"/>
      <c r="X661" s="396"/>
      <c r="Y661" s="396"/>
      <c r="Z661" s="396"/>
      <c r="AA661" s="396"/>
      <c r="AB661" s="396"/>
      <c r="AC661" s="396"/>
      <c r="AD661" s="396"/>
      <c r="AE661" s="396"/>
      <c r="AF661" s="396"/>
      <c r="AG661" s="396"/>
      <c r="AH661" s="396"/>
      <c r="AI661" s="396"/>
      <c r="AJ661" s="396"/>
      <c r="AK661" s="396"/>
      <c r="AL661" s="396"/>
      <c r="AM661" s="396"/>
      <c r="AN661" s="396"/>
      <c r="AO661" s="396"/>
      <c r="AP661" s="396"/>
      <c r="AQ661" s="396"/>
      <c r="AR661" s="396"/>
      <c r="AS661" s="396"/>
      <c r="AT661" s="396"/>
      <c r="AU661" s="396"/>
      <c r="AV661" s="396"/>
      <c r="AW661" s="396"/>
      <c r="AX661" s="396"/>
      <c r="AY661" s="944"/>
    </row>
    <row r="662" spans="2:51" s="37" customFormat="1">
      <c r="B662" s="1271" t="s">
        <v>1318</v>
      </c>
      <c r="C662" s="760"/>
      <c r="D662" s="760"/>
      <c r="E662" s="396"/>
      <c r="F662" s="396"/>
      <c r="G662" s="874">
        <f t="shared" ref="G662:L662" si="411">G666/G659</f>
        <v>2.0650123727305929</v>
      </c>
      <c r="H662" s="874">
        <f t="shared" si="411"/>
        <v>1.8902154737394536</v>
      </c>
      <c r="I662" s="874">
        <f t="shared" si="411"/>
        <v>1.8324620313455573</v>
      </c>
      <c r="J662" s="874">
        <f t="shared" si="411"/>
        <v>1.8309462013468967</v>
      </c>
      <c r="K662" s="874">
        <f t="shared" si="411"/>
        <v>1.9551517842808925</v>
      </c>
      <c r="L662" s="874">
        <f t="shared" si="411"/>
        <v>1.8406755145247833</v>
      </c>
      <c r="M662" s="874">
        <f>M666/M659</f>
        <v>1.6604676925441266</v>
      </c>
      <c r="N662" s="1580">
        <f>M662*(1+N663)</f>
        <v>1.6106536617678029</v>
      </c>
      <c r="O662" s="391">
        <f>N662*(1+O663)</f>
        <v>1.5945471251501249</v>
      </c>
      <c r="P662" s="391">
        <f>O662*(1+P663)</f>
        <v>1.5786016538986236</v>
      </c>
      <c r="Q662" s="391"/>
      <c r="R662" s="391"/>
      <c r="S662" s="391"/>
      <c r="T662" s="944"/>
      <c r="U662" s="760"/>
      <c r="V662" s="396"/>
      <c r="W662" s="396"/>
      <c r="X662" s="396"/>
      <c r="Y662" s="396"/>
      <c r="Z662" s="396"/>
      <c r="AA662" s="396"/>
      <c r="AB662" s="396"/>
      <c r="AC662" s="396"/>
      <c r="AD662" s="396"/>
      <c r="AE662" s="396"/>
      <c r="AF662" s="396"/>
      <c r="AG662" s="396"/>
      <c r="AH662" s="396"/>
      <c r="AI662" s="396"/>
      <c r="AJ662" s="396"/>
      <c r="AK662" s="396"/>
      <c r="AL662" s="396"/>
      <c r="AM662" s="396"/>
      <c r="AN662" s="396"/>
      <c r="AO662" s="396"/>
      <c r="AP662" s="396"/>
      <c r="AQ662" s="396"/>
      <c r="AR662" s="396"/>
      <c r="AS662" s="396"/>
      <c r="AT662" s="396"/>
      <c r="AU662" s="396"/>
      <c r="AV662" s="396"/>
      <c r="AW662" s="396"/>
      <c r="AX662" s="396"/>
      <c r="AY662" s="944"/>
    </row>
    <row r="663" spans="2:51" s="37" customFormat="1">
      <c r="B663" s="1274" t="s">
        <v>216</v>
      </c>
      <c r="C663" s="760"/>
      <c r="D663" s="760"/>
      <c r="E663" s="396"/>
      <c r="F663" s="396"/>
      <c r="G663" s="874"/>
      <c r="H663" s="1199">
        <f t="shared" ref="H663:M663" si="412">H662/G662-1</f>
        <v>-8.4646901538901198E-2</v>
      </c>
      <c r="I663" s="1199">
        <f t="shared" si="412"/>
        <v>-3.0553893562008327E-2</v>
      </c>
      <c r="J663" s="1199">
        <f t="shared" si="412"/>
        <v>-8.272094988770462E-4</v>
      </c>
      <c r="K663" s="1199">
        <f t="shared" si="412"/>
        <v>6.7836828216266909E-2</v>
      </c>
      <c r="L663" s="1199">
        <f t="shared" si="412"/>
        <v>-5.8551090854674359E-2</v>
      </c>
      <c r="M663" s="1199">
        <f t="shared" si="412"/>
        <v>-9.7903090772184176E-2</v>
      </c>
      <c r="N663" s="1581">
        <v>-0.03</v>
      </c>
      <c r="O663" s="1278">
        <v>-0.01</v>
      </c>
      <c r="P663" s="1278">
        <v>-0.01</v>
      </c>
      <c r="Q663" s="1278"/>
      <c r="R663" s="1278"/>
      <c r="S663" s="1278"/>
      <c r="T663" s="944"/>
      <c r="U663" s="760"/>
      <c r="V663" s="396"/>
      <c r="W663" s="396"/>
      <c r="X663" s="396"/>
      <c r="Y663" s="396"/>
      <c r="Z663" s="396"/>
      <c r="AA663" s="396"/>
      <c r="AB663" s="396"/>
      <c r="AC663" s="396"/>
      <c r="AD663" s="396"/>
      <c r="AE663" s="396"/>
      <c r="AF663" s="396"/>
      <c r="AG663" s="396"/>
      <c r="AH663" s="396"/>
      <c r="AI663" s="396"/>
      <c r="AJ663" s="396"/>
      <c r="AK663" s="396"/>
      <c r="AL663" s="396"/>
      <c r="AM663" s="396"/>
      <c r="AN663" s="396"/>
      <c r="AO663" s="396"/>
      <c r="AP663" s="396"/>
      <c r="AQ663" s="396"/>
      <c r="AR663" s="396"/>
      <c r="AS663" s="396"/>
      <c r="AT663" s="396"/>
      <c r="AU663" s="396"/>
      <c r="AV663" s="396"/>
      <c r="AW663" s="396"/>
      <c r="AX663" s="396"/>
      <c r="AY663" s="944"/>
    </row>
    <row r="664" spans="2:51" s="55" customFormat="1">
      <c r="B664" s="1275" t="s">
        <v>1319</v>
      </c>
      <c r="C664" s="1256"/>
      <c r="D664" s="1256"/>
      <c r="E664" s="1257"/>
      <c r="F664" s="1257"/>
      <c r="G664" s="1276"/>
      <c r="H664" s="1277">
        <f>SUMPRODUCT(H668:H673,H701:H706)/SUM(H668:H673)</f>
        <v>-2.7190251433799655E-2</v>
      </c>
      <c r="I664" s="1277">
        <f>SUMPRODUCT(I668:I673,I701:I706)/SUM(I668:I673)</f>
        <v>-2.6437453183483429E-2</v>
      </c>
      <c r="J664" s="1277">
        <f>SUMPRODUCT($I$668:$I$673,J701:J706)/SUM($I$668:$I$673)</f>
        <v>0.13563554830887661</v>
      </c>
      <c r="K664" s="1277">
        <f>SUMPRODUCT($I$668:$I$673,K701:K706)/SUM($I$668:$I$673)</f>
        <v>5.8084553394704003E-2</v>
      </c>
      <c r="L664" s="1277">
        <f>SUMPRODUCT($I$668:$I$673,L701:L706)/SUM($I$668:$I$673)</f>
        <v>-3.1755955640921797E-2</v>
      </c>
      <c r="M664" s="1277">
        <f>SUMPRODUCT($I$668:$I$673,M701:M706)/SUM($I$668:$I$673)</f>
        <v>2.1525993471089151E-2</v>
      </c>
      <c r="N664" s="1582">
        <f>SUMPRODUCT(N683:N688,N701:N706)</f>
        <v>-3.11765138780308E-2</v>
      </c>
      <c r="O664" s="1277">
        <f>SUMPRODUCT(O683:O688,O701:O706)</f>
        <v>6.7099137579114884E-3</v>
      </c>
      <c r="P664" s="1277">
        <f>SUMPRODUCT(P683:P688,P701:P706)</f>
        <v>6.7099137579114884E-3</v>
      </c>
      <c r="Q664" s="1277"/>
      <c r="R664" s="1277"/>
      <c r="S664" s="1277"/>
      <c r="T664" s="947"/>
      <c r="U664" s="1256"/>
      <c r="V664" s="1257"/>
      <c r="W664" s="1257"/>
      <c r="X664" s="1257"/>
      <c r="Y664" s="1257"/>
      <c r="Z664" s="1257"/>
      <c r="AA664" s="1257"/>
      <c r="AB664" s="1257"/>
      <c r="AC664" s="1257"/>
      <c r="AD664" s="1257"/>
      <c r="AE664" s="1257"/>
      <c r="AF664" s="1257"/>
      <c r="AG664" s="1257"/>
      <c r="AH664" s="1257"/>
      <c r="AI664" s="1257"/>
      <c r="AJ664" s="1257"/>
      <c r="AK664" s="1257"/>
      <c r="AL664" s="1257"/>
      <c r="AM664" s="1257"/>
      <c r="AN664" s="1257"/>
      <c r="AO664" s="1257"/>
      <c r="AP664" s="1257"/>
      <c r="AQ664" s="1257"/>
      <c r="AR664" s="1257"/>
      <c r="AS664" s="1257"/>
      <c r="AT664" s="1257"/>
      <c r="AU664" s="1257"/>
      <c r="AV664" s="1257"/>
      <c r="AW664" s="1257"/>
      <c r="AX664" s="1257"/>
      <c r="AY664" s="947"/>
    </row>
    <row r="665" spans="2:51" s="37" customFormat="1">
      <c r="C665" s="760"/>
      <c r="D665" s="760"/>
      <c r="E665" s="396"/>
      <c r="F665" s="396"/>
      <c r="G665" s="1202"/>
      <c r="H665" s="1202"/>
      <c r="I665" s="1202"/>
      <c r="J665" s="1202"/>
      <c r="K665" s="1202"/>
      <c r="L665" s="1202"/>
      <c r="M665" s="1202"/>
      <c r="N665" s="1583"/>
      <c r="O665" s="396"/>
      <c r="P665" s="396"/>
      <c r="Q665" s="396"/>
      <c r="R665" s="396"/>
      <c r="S665" s="396"/>
      <c r="T665" s="944"/>
      <c r="U665" s="760"/>
      <c r="V665" s="396"/>
      <c r="W665" s="396"/>
      <c r="X665" s="396"/>
      <c r="Y665" s="396"/>
      <c r="Z665" s="396"/>
      <c r="AA665" s="396"/>
      <c r="AB665" s="396"/>
      <c r="AC665" s="396"/>
      <c r="AD665" s="396"/>
      <c r="AE665" s="396"/>
      <c r="AF665" s="396"/>
      <c r="AG665" s="396"/>
      <c r="AH665" s="396"/>
      <c r="AI665" s="396"/>
      <c r="AJ665" s="396"/>
      <c r="AK665" s="396"/>
      <c r="AL665" s="396"/>
      <c r="AM665" s="396"/>
      <c r="AN665" s="396"/>
      <c r="AO665" s="396"/>
      <c r="AP665" s="396"/>
      <c r="AQ665" s="396"/>
      <c r="AR665" s="396"/>
      <c r="AS665" s="396"/>
      <c r="AT665" s="396"/>
      <c r="AU665" s="396"/>
      <c r="AV665" s="396"/>
      <c r="AW665" s="396"/>
      <c r="AX665" s="396"/>
      <c r="AY665" s="944"/>
    </row>
    <row r="666" spans="2:51" s="37" customFormat="1">
      <c r="B666" s="37" t="s">
        <v>1290</v>
      </c>
      <c r="C666" s="760"/>
      <c r="D666" s="760" t="s">
        <v>1287</v>
      </c>
      <c r="E666" s="396"/>
      <c r="F666" s="396"/>
      <c r="G666" s="1202">
        <v>1362.7409</v>
      </c>
      <c r="H666" s="1202">
        <v>1872.9011</v>
      </c>
      <c r="I666" s="1202">
        <v>2235.2775000000001</v>
      </c>
      <c r="J666" s="1202">
        <v>3099.6619217000002</v>
      </c>
      <c r="K666" s="1202">
        <v>4018.935712</v>
      </c>
      <c r="L666" s="1202">
        <v>5259.0878869999997</v>
      </c>
      <c r="M666" s="1202">
        <v>7001.3420999999998</v>
      </c>
      <c r="N666" s="1529">
        <f>N662*N659</f>
        <v>9768.7083275171335</v>
      </c>
      <c r="O666" s="756">
        <f>O662*O659</f>
        <v>11985.030459160547</v>
      </c>
      <c r="P666" s="756">
        <f>P662*P659</f>
        <v>14073.475280283463</v>
      </c>
      <c r="Q666" s="756"/>
      <c r="R666" s="756"/>
      <c r="S666" s="756"/>
      <c r="T666" s="944"/>
      <c r="U666" s="760"/>
      <c r="V666" s="396"/>
      <c r="W666" s="396"/>
      <c r="X666" s="396"/>
      <c r="Y666" s="396"/>
      <c r="Z666" s="396"/>
      <c r="AA666" s="396"/>
      <c r="AB666" s="396"/>
      <c r="AC666" s="396"/>
      <c r="AD666" s="396"/>
      <c r="AE666" s="396"/>
      <c r="AF666" s="396"/>
      <c r="AG666" s="396"/>
      <c r="AH666" s="396"/>
      <c r="AI666" s="396"/>
      <c r="AJ666" s="396"/>
      <c r="AK666" s="396"/>
      <c r="AL666" s="396"/>
      <c r="AM666" s="396"/>
      <c r="AN666" s="396"/>
      <c r="AO666" s="396"/>
      <c r="AP666" s="396"/>
      <c r="AQ666" s="396"/>
      <c r="AR666" s="396"/>
      <c r="AS666" s="396"/>
      <c r="AT666" s="396"/>
      <c r="AU666" s="396"/>
      <c r="AV666" s="396"/>
      <c r="AW666" s="396"/>
      <c r="AX666" s="396"/>
      <c r="AY666" s="944"/>
    </row>
    <row r="667" spans="2:51" s="38" customFormat="1">
      <c r="B667" s="1254" t="s">
        <v>1288</v>
      </c>
      <c r="C667" s="1251"/>
      <c r="D667" s="1251" t="s">
        <v>1289</v>
      </c>
      <c r="E667" s="869"/>
      <c r="F667" s="869"/>
      <c r="G667" s="347">
        <f t="shared" ref="G667:P667" si="413">G666/G$23</f>
        <v>0.83031073565927016</v>
      </c>
      <c r="H667" s="347">
        <f t="shared" si="413"/>
        <v>0.83547531298632094</v>
      </c>
      <c r="I667" s="347">
        <f t="shared" si="413"/>
        <v>0.84418664403570165</v>
      </c>
      <c r="J667" s="347">
        <f t="shared" si="413"/>
        <v>0.79855988173462933</v>
      </c>
      <c r="K667" s="347">
        <f t="shared" si="413"/>
        <v>0.8192778298877107</v>
      </c>
      <c r="L667" s="347">
        <f t="shared" si="413"/>
        <v>0.82023890929970822</v>
      </c>
      <c r="M667" s="347">
        <f>M666/M$23</f>
        <v>0.80092584126308175</v>
      </c>
      <c r="N667" s="1492">
        <f t="shared" si="413"/>
        <v>0.84472252087110145</v>
      </c>
      <c r="O667" s="347">
        <f t="shared" si="413"/>
        <v>0.87180984830682717</v>
      </c>
      <c r="P667" s="347">
        <f t="shared" si="413"/>
        <v>0.87834436557903528</v>
      </c>
      <c r="Q667" s="1278"/>
      <c r="R667" s="1278"/>
      <c r="S667" s="1278"/>
      <c r="T667" s="945"/>
      <c r="U667" s="1251"/>
      <c r="V667" s="869"/>
      <c r="W667" s="869"/>
      <c r="X667" s="869"/>
      <c r="Y667" s="869"/>
      <c r="Z667" s="869"/>
      <c r="AA667" s="869"/>
      <c r="AB667" s="869"/>
      <c r="AC667" s="869"/>
      <c r="AD667" s="869"/>
      <c r="AE667" s="869"/>
      <c r="AF667" s="869"/>
      <c r="AG667" s="869"/>
      <c r="AH667" s="869"/>
      <c r="AI667" s="869"/>
      <c r="AJ667" s="869"/>
      <c r="AK667" s="869"/>
      <c r="AL667" s="869"/>
      <c r="AM667" s="869"/>
      <c r="AN667" s="869"/>
      <c r="AO667" s="869"/>
      <c r="AP667" s="869"/>
      <c r="AQ667" s="869"/>
      <c r="AR667" s="869"/>
      <c r="AS667" s="869"/>
      <c r="AT667" s="869"/>
      <c r="AU667" s="869"/>
      <c r="AV667" s="869"/>
      <c r="AW667" s="869"/>
      <c r="AX667" s="869"/>
      <c r="AY667" s="945"/>
    </row>
    <row r="668" spans="2:51">
      <c r="B668" s="302" t="s">
        <v>1283</v>
      </c>
      <c r="D668" s="39" t="s">
        <v>1194</v>
      </c>
      <c r="G668" s="630">
        <v>290.64080000000001</v>
      </c>
      <c r="H668" s="630">
        <v>499.01029999999997</v>
      </c>
      <c r="I668" s="630">
        <v>703.86189999999999</v>
      </c>
      <c r="J668" s="867"/>
      <c r="K668" s="867"/>
      <c r="L668" s="867"/>
      <c r="M668" s="867"/>
    </row>
    <row r="669" spans="2:51">
      <c r="B669" s="302" t="s">
        <v>1197</v>
      </c>
      <c r="D669" s="39" t="s">
        <v>1286</v>
      </c>
      <c r="G669" s="630">
        <v>337.04590000000002</v>
      </c>
      <c r="H669" s="630">
        <v>414.95639999999997</v>
      </c>
      <c r="I669" s="630">
        <v>432.67930000000001</v>
      </c>
      <c r="J669" s="867"/>
      <c r="K669" s="867"/>
      <c r="L669" s="867"/>
      <c r="M669" s="867"/>
    </row>
    <row r="670" spans="2:51">
      <c r="B670" s="302" t="s">
        <v>1284</v>
      </c>
      <c r="D670" s="39" t="s">
        <v>1285</v>
      </c>
      <c r="G670" s="630">
        <v>129.08269999999999</v>
      </c>
      <c r="H670" s="630">
        <v>160.7587</v>
      </c>
      <c r="I670" s="630">
        <v>176.19730000000001</v>
      </c>
      <c r="J670" s="867"/>
      <c r="K670" s="867"/>
      <c r="L670" s="867"/>
      <c r="M670" s="867"/>
    </row>
    <row r="671" spans="2:51">
      <c r="B671" s="302" t="s">
        <v>1282</v>
      </c>
      <c r="D671" s="39" t="s">
        <v>1282</v>
      </c>
      <c r="G671" s="630">
        <v>83.063100000000006</v>
      </c>
      <c r="H671" s="630">
        <v>145.03370000000001</v>
      </c>
      <c r="I671" s="630">
        <v>180.72059999999999</v>
      </c>
      <c r="J671" s="867"/>
      <c r="K671" s="867"/>
      <c r="L671" s="867"/>
      <c r="M671" s="867"/>
    </row>
    <row r="672" spans="2:51">
      <c r="B672" s="302" t="s">
        <v>1199</v>
      </c>
      <c r="D672" s="39" t="s">
        <v>1199</v>
      </c>
      <c r="G672" s="630">
        <v>104.7724</v>
      </c>
      <c r="H672" s="630">
        <v>138.90969999999999</v>
      </c>
      <c r="I672" s="630">
        <v>148.8963</v>
      </c>
      <c r="J672" s="867"/>
      <c r="K672" s="867"/>
      <c r="L672" s="867"/>
      <c r="M672" s="867"/>
    </row>
    <row r="673" spans="2:51">
      <c r="B673" s="302" t="s">
        <v>1198</v>
      </c>
      <c r="D673" s="39" t="s">
        <v>1198</v>
      </c>
      <c r="G673" s="630">
        <v>95.607600000000005</v>
      </c>
      <c r="H673" s="630">
        <v>113.0971</v>
      </c>
      <c r="I673" s="630">
        <v>119.6546</v>
      </c>
      <c r="J673" s="867"/>
      <c r="K673" s="867"/>
      <c r="L673" s="867"/>
      <c r="M673" s="867"/>
    </row>
    <row r="674" spans="2:51" s="37" customFormat="1">
      <c r="B674" s="302" t="s">
        <v>207</v>
      </c>
      <c r="C674" s="760"/>
      <c r="D674" s="760"/>
      <c r="E674" s="396"/>
      <c r="F674" s="396"/>
      <c r="G674" s="867">
        <f>G666-SUM(G668:G673)</f>
        <v>322.52840000000015</v>
      </c>
      <c r="H674" s="867">
        <f>H666-SUM(H668:H673)</f>
        <v>401.13520000000017</v>
      </c>
      <c r="I674" s="867">
        <f>I666-SUM(I668:I673)</f>
        <v>473.26750000000015</v>
      </c>
      <c r="J674" s="867"/>
      <c r="K674" s="867"/>
      <c r="L674" s="867"/>
      <c r="M674" s="867"/>
      <c r="N674" s="1583"/>
      <c r="O674" s="396"/>
      <c r="P674" s="396"/>
      <c r="Q674" s="396"/>
      <c r="R674" s="396"/>
      <c r="S674" s="396"/>
      <c r="T674" s="944"/>
      <c r="U674" s="760"/>
      <c r="V674" s="396"/>
      <c r="W674" s="396"/>
      <c r="X674" s="396"/>
      <c r="Y674" s="396"/>
      <c r="Z674" s="396"/>
      <c r="AA674" s="396"/>
      <c r="AB674" s="396"/>
      <c r="AC674" s="396"/>
      <c r="AD674" s="396"/>
      <c r="AE674" s="396"/>
      <c r="AF674" s="396"/>
      <c r="AG674" s="396"/>
      <c r="AH674" s="396"/>
      <c r="AI674" s="396"/>
      <c r="AJ674" s="396"/>
      <c r="AK674" s="396"/>
      <c r="AL674" s="396"/>
      <c r="AM674" s="396"/>
      <c r="AN674" s="396"/>
      <c r="AO674" s="396"/>
      <c r="AP674" s="396"/>
      <c r="AQ674" s="396"/>
      <c r="AR674" s="396"/>
      <c r="AS674" s="396"/>
      <c r="AT674" s="396"/>
      <c r="AU674" s="396"/>
      <c r="AV674" s="396"/>
      <c r="AW674" s="396"/>
      <c r="AX674" s="396"/>
      <c r="AY674" s="944"/>
    </row>
    <row r="675" spans="2:51" s="37" customFormat="1">
      <c r="B675" s="37" t="s">
        <v>1291</v>
      </c>
      <c r="C675" s="760"/>
      <c r="D675" s="760"/>
      <c r="E675" s="396"/>
      <c r="F675" s="396"/>
      <c r="G675" s="1202">
        <v>66.878299999999996</v>
      </c>
      <c r="H675" s="1202">
        <v>72.751900000000006</v>
      </c>
      <c r="I675" s="1202">
        <v>66.983500000000006</v>
      </c>
      <c r="J675" s="1202">
        <v>100.25804856000001</v>
      </c>
      <c r="K675" s="1202">
        <v>100.79542960000001</v>
      </c>
      <c r="L675" s="1202">
        <v>130.841071</v>
      </c>
      <c r="M675" s="1202">
        <v>169.57409999999999</v>
      </c>
      <c r="N675" s="1583"/>
      <c r="O675" s="396"/>
      <c r="P675" s="396"/>
      <c r="Q675" s="396"/>
      <c r="R675" s="396"/>
      <c r="S675" s="396"/>
      <c r="T675" s="944"/>
      <c r="U675" s="760"/>
      <c r="V675" s="396"/>
      <c r="W675" s="396"/>
      <c r="X675" s="396"/>
      <c r="Y675" s="396"/>
      <c r="Z675" s="396"/>
      <c r="AA675" s="396"/>
      <c r="AB675" s="396"/>
      <c r="AC675" s="396"/>
      <c r="AD675" s="396"/>
      <c r="AE675" s="396"/>
      <c r="AF675" s="396"/>
      <c r="AG675" s="396"/>
      <c r="AH675" s="396"/>
      <c r="AI675" s="396"/>
      <c r="AJ675" s="396"/>
      <c r="AK675" s="396"/>
      <c r="AL675" s="396"/>
      <c r="AM675" s="396"/>
      <c r="AN675" s="396"/>
      <c r="AO675" s="396"/>
      <c r="AP675" s="396"/>
      <c r="AQ675" s="396"/>
      <c r="AR675" s="396"/>
      <c r="AS675" s="396"/>
      <c r="AT675" s="396"/>
      <c r="AU675" s="396"/>
      <c r="AV675" s="396"/>
      <c r="AW675" s="396"/>
      <c r="AX675" s="396"/>
      <c r="AY675" s="944"/>
    </row>
    <row r="676" spans="2:51">
      <c r="B676" s="1252" t="s">
        <v>1288</v>
      </c>
      <c r="C676" s="1251"/>
      <c r="D676" s="1251" t="s">
        <v>1289</v>
      </c>
      <c r="G676" s="347">
        <f t="shared" ref="G676:M676" si="414">G675/G23</f>
        <v>4.0748590192487333E-2</v>
      </c>
      <c r="H676" s="347">
        <f t="shared" si="414"/>
        <v>3.245361777130118E-2</v>
      </c>
      <c r="I676" s="347">
        <f t="shared" si="414"/>
        <v>2.5297340518466015E-2</v>
      </c>
      <c r="J676" s="347">
        <f t="shared" si="414"/>
        <v>2.5829286362013485E-2</v>
      </c>
      <c r="K676" s="347">
        <f t="shared" si="414"/>
        <v>2.0547594373982243E-2</v>
      </c>
      <c r="L676" s="347">
        <f t="shared" si="414"/>
        <v>2.0406758676525173E-2</v>
      </c>
      <c r="M676" s="347">
        <f t="shared" si="414"/>
        <v>1.9398606261352369E-2</v>
      </c>
    </row>
    <row r="677" spans="2:51">
      <c r="B677" s="37" t="s">
        <v>1292</v>
      </c>
      <c r="G677" s="1202">
        <v>208.59110000000001</v>
      </c>
      <c r="H677" s="1202">
        <v>290.24599999999998</v>
      </c>
      <c r="I677" s="1202">
        <v>339.11040000000003</v>
      </c>
      <c r="J677" s="1202">
        <v>465.78937100000002</v>
      </c>
      <c r="K677" s="1202">
        <v>523.88784499999997</v>
      </c>
      <c r="L677" s="1202">
        <v>634.35029759999998</v>
      </c>
      <c r="M677" s="1202">
        <v>911.26099999999997</v>
      </c>
    </row>
    <row r="678" spans="2:51">
      <c r="B678" s="1252" t="s">
        <v>1288</v>
      </c>
      <c r="C678" s="1251"/>
      <c r="D678" s="1251" t="s">
        <v>1289</v>
      </c>
      <c r="G678" s="347">
        <f t="shared" ref="G678:M678" si="415">G677/G23</f>
        <v>0.12709344064816458</v>
      </c>
      <c r="H678" s="347">
        <f t="shared" si="415"/>
        <v>0.12947473184410416</v>
      </c>
      <c r="I678" s="347">
        <f t="shared" si="415"/>
        <v>0.12807021523439679</v>
      </c>
      <c r="J678" s="347">
        <f t="shared" si="415"/>
        <v>0.12000041114645389</v>
      </c>
      <c r="K678" s="347">
        <f t="shared" si="415"/>
        <v>0.10679685556417015</v>
      </c>
      <c r="L678" s="347">
        <f t="shared" si="415"/>
        <v>9.8937079470292066E-2</v>
      </c>
      <c r="M678" s="347">
        <f t="shared" si="415"/>
        <v>0.10424465375506178</v>
      </c>
    </row>
    <row r="679" spans="2:51">
      <c r="B679" s="37" t="s">
        <v>1303</v>
      </c>
      <c r="J679" s="1202">
        <v>206.97434430000001</v>
      </c>
      <c r="K679" s="1202">
        <v>257.938267</v>
      </c>
      <c r="L679" s="1202">
        <v>380.66497179999999</v>
      </c>
      <c r="M679" s="1202">
        <v>648.36360000000002</v>
      </c>
      <c r="N679" s="1589"/>
    </row>
    <row r="680" spans="2:51">
      <c r="B680" s="1252" t="s">
        <v>1288</v>
      </c>
      <c r="C680" s="1251"/>
      <c r="D680" s="1251" t="s">
        <v>1289</v>
      </c>
      <c r="J680" s="347">
        <f>J679/J23</f>
        <v>5.332239840390799E-2</v>
      </c>
      <c r="K680" s="347">
        <f>K679/K23</f>
        <v>5.2581857182182487E-2</v>
      </c>
      <c r="L680" s="347">
        <f>L679/L23</f>
        <v>5.9370793564727554E-2</v>
      </c>
      <c r="M680" s="347">
        <f>M679/M23</f>
        <v>7.4170231129594463E-2</v>
      </c>
    </row>
    <row r="682" spans="2:51" s="37" customFormat="1" ht="22.5">
      <c r="B682" s="760" t="s">
        <v>1295</v>
      </c>
      <c r="C682" s="760"/>
      <c r="D682" s="760"/>
      <c r="E682" s="396"/>
      <c r="F682" s="396"/>
      <c r="G682" s="396"/>
      <c r="H682" s="396"/>
      <c r="I682" s="396"/>
      <c r="J682" s="396"/>
      <c r="K682" s="396"/>
      <c r="L682" s="396"/>
      <c r="M682" s="396"/>
      <c r="N682" s="2128"/>
      <c r="O682" s="396"/>
      <c r="P682" s="396"/>
      <c r="Q682" s="396"/>
      <c r="R682" s="396"/>
      <c r="S682" s="396"/>
      <c r="T682" s="944"/>
      <c r="U682" s="760"/>
      <c r="V682" s="396"/>
      <c r="W682" s="396"/>
      <c r="X682" s="396"/>
      <c r="Y682" s="396"/>
      <c r="Z682" s="396"/>
      <c r="AA682" s="396"/>
      <c r="AB682" s="396"/>
      <c r="AC682" s="396"/>
      <c r="AD682" s="396"/>
      <c r="AE682" s="396"/>
      <c r="AF682" s="396"/>
      <c r="AG682" s="396"/>
      <c r="AH682" s="396"/>
      <c r="AI682" s="396"/>
      <c r="AJ682" s="396"/>
      <c r="AK682" s="396"/>
      <c r="AL682" s="396"/>
      <c r="AM682" s="396"/>
      <c r="AN682" s="396"/>
      <c r="AO682" s="396"/>
      <c r="AP682" s="396"/>
      <c r="AQ682" s="396"/>
      <c r="AR682" s="396"/>
      <c r="AS682" s="396"/>
      <c r="AT682" s="396"/>
      <c r="AU682" s="396"/>
      <c r="AV682" s="396"/>
      <c r="AW682" s="396"/>
      <c r="AX682" s="396"/>
      <c r="AY682" s="944"/>
    </row>
    <row r="683" spans="2:51">
      <c r="B683" s="302" t="s">
        <v>1283</v>
      </c>
      <c r="G683" s="1199">
        <f>G668/$I$666</f>
        <v>0.13002448241884956</v>
      </c>
      <c r="H683" s="1199">
        <f>H668/$I$666</f>
        <v>0.22324310963627556</v>
      </c>
      <c r="I683" s="1199">
        <f>I668/$I$666</f>
        <v>0.3148879277852526</v>
      </c>
      <c r="J683" s="1199"/>
      <c r="K683" s="1199"/>
      <c r="L683" s="1357">
        <v>0.32</v>
      </c>
      <c r="M683" s="1358">
        <v>0.28999999999999998</v>
      </c>
      <c r="N683" s="1584">
        <f t="shared" ref="N683:O688" si="416">M683</f>
        <v>0.28999999999999998</v>
      </c>
      <c r="O683" s="1358">
        <f t="shared" si="416"/>
        <v>0.28999999999999998</v>
      </c>
      <c r="P683" s="1358">
        <f t="shared" ref="P683:P688" si="417">O683</f>
        <v>0.28999999999999998</v>
      </c>
      <c r="Q683" s="1358"/>
      <c r="R683" s="1358"/>
      <c r="S683" s="1358"/>
    </row>
    <row r="684" spans="2:51">
      <c r="B684" s="302" t="s">
        <v>1197</v>
      </c>
      <c r="G684" s="1199">
        <f>G669/$I$666</f>
        <v>0.1507848130713077</v>
      </c>
      <c r="H684" s="1199">
        <f t="shared" ref="H684:I688" si="418">H669/$I$666</f>
        <v>0.18563976955881314</v>
      </c>
      <c r="I684" s="1199">
        <f t="shared" si="418"/>
        <v>0.19356849429209572</v>
      </c>
      <c r="J684" s="1199"/>
      <c r="K684" s="1199"/>
      <c r="L684" s="1357">
        <f>0.5-L683</f>
        <v>0.18</v>
      </c>
      <c r="M684" s="1358">
        <f>L684</f>
        <v>0.18</v>
      </c>
      <c r="N684" s="1584">
        <f t="shared" si="416"/>
        <v>0.18</v>
      </c>
      <c r="O684" s="1358">
        <f t="shared" si="416"/>
        <v>0.18</v>
      </c>
      <c r="P684" s="1358">
        <f t="shared" si="417"/>
        <v>0.18</v>
      </c>
      <c r="Q684" s="1358"/>
      <c r="R684" s="1358"/>
      <c r="S684" s="1358"/>
    </row>
    <row r="685" spans="2:51">
      <c r="B685" s="302" t="s">
        <v>1284</v>
      </c>
      <c r="G685" s="1199">
        <f>G670/$I$666</f>
        <v>5.7747952994650541E-2</v>
      </c>
      <c r="H685" s="1199">
        <f t="shared" si="418"/>
        <v>7.1918900449720449E-2</v>
      </c>
      <c r="I685" s="1199">
        <f t="shared" si="418"/>
        <v>7.8825693901540192E-2</v>
      </c>
      <c r="J685" s="1199"/>
      <c r="K685" s="1199"/>
      <c r="L685" s="1199"/>
      <c r="M685" s="1358">
        <f>I685</f>
        <v>7.8825693901540192E-2</v>
      </c>
      <c r="N685" s="1584">
        <f t="shared" si="416"/>
        <v>7.8825693901540192E-2</v>
      </c>
      <c r="O685" s="1358">
        <f t="shared" si="416"/>
        <v>7.8825693901540192E-2</v>
      </c>
      <c r="P685" s="1358">
        <f t="shared" si="417"/>
        <v>7.8825693901540192E-2</v>
      </c>
      <c r="Q685" s="1358"/>
      <c r="R685" s="1358"/>
      <c r="S685" s="1358"/>
    </row>
    <row r="686" spans="2:51">
      <c r="B686" s="302" t="s">
        <v>1282</v>
      </c>
      <c r="G686" s="1199">
        <f>G671/$I$666</f>
        <v>3.7160084150625591E-2</v>
      </c>
      <c r="H686" s="1199">
        <f t="shared" si="418"/>
        <v>6.488397972958615E-2</v>
      </c>
      <c r="I686" s="1199">
        <f t="shared" si="418"/>
        <v>8.0849290524330861E-2</v>
      </c>
      <c r="J686" s="1199"/>
      <c r="K686" s="1199"/>
      <c r="L686" s="1199"/>
      <c r="M686" s="1358">
        <f>I686</f>
        <v>8.0849290524330861E-2</v>
      </c>
      <c r="N686" s="1584">
        <f t="shared" si="416"/>
        <v>8.0849290524330861E-2</v>
      </c>
      <c r="O686" s="1358">
        <f t="shared" si="416"/>
        <v>8.0849290524330861E-2</v>
      </c>
      <c r="P686" s="1358">
        <f t="shared" si="417"/>
        <v>8.0849290524330861E-2</v>
      </c>
      <c r="Q686" s="1358"/>
      <c r="R686" s="1358"/>
      <c r="S686" s="1358"/>
    </row>
    <row r="687" spans="2:51">
      <c r="B687" s="302" t="s">
        <v>1199</v>
      </c>
      <c r="G687" s="1199">
        <f>G672/$I$666</f>
        <v>4.687221161578372E-2</v>
      </c>
      <c r="H687" s="1199">
        <f t="shared" si="418"/>
        <v>6.2144275151519206E-2</v>
      </c>
      <c r="I687" s="1199">
        <f t="shared" si="418"/>
        <v>6.6611997839194456E-2</v>
      </c>
      <c r="J687" s="1199"/>
      <c r="K687" s="1199"/>
      <c r="L687" s="1199"/>
      <c r="M687" s="1358">
        <f>I687</f>
        <v>6.6611997839194456E-2</v>
      </c>
      <c r="N687" s="1584">
        <f t="shared" si="416"/>
        <v>6.6611997839194456E-2</v>
      </c>
      <c r="O687" s="1358">
        <f t="shared" si="416"/>
        <v>6.6611997839194456E-2</v>
      </c>
      <c r="P687" s="1358">
        <f t="shared" si="417"/>
        <v>6.6611997839194456E-2</v>
      </c>
      <c r="Q687" s="1358"/>
      <c r="R687" s="1358"/>
      <c r="S687" s="1358"/>
    </row>
    <row r="688" spans="2:51">
      <c r="B688" s="302" t="s">
        <v>1198</v>
      </c>
      <c r="G688" s="1199">
        <f>G673/$I$666</f>
        <v>4.2772139029717784E-2</v>
      </c>
      <c r="H688" s="1199">
        <f t="shared" si="418"/>
        <v>5.0596447197271924E-2</v>
      </c>
      <c r="I688" s="1199">
        <f t="shared" si="418"/>
        <v>5.3530087427623635E-2</v>
      </c>
      <c r="J688" s="1199"/>
      <c r="K688" s="1199"/>
      <c r="L688" s="1199"/>
      <c r="M688" s="1358">
        <f>I688</f>
        <v>5.3530087427623635E-2</v>
      </c>
      <c r="N688" s="1584">
        <f t="shared" si="416"/>
        <v>5.3530087427623635E-2</v>
      </c>
      <c r="O688" s="1358">
        <f t="shared" si="416"/>
        <v>5.3530087427623635E-2</v>
      </c>
      <c r="P688" s="1358">
        <f t="shared" si="417"/>
        <v>5.3530087427623635E-2</v>
      </c>
      <c r="Q688" s="1358"/>
      <c r="R688" s="1358"/>
      <c r="S688" s="1358"/>
    </row>
    <row r="689" spans="2:51" s="55" customFormat="1" ht="10.5">
      <c r="B689" s="1255" t="s">
        <v>1296</v>
      </c>
      <c r="C689" s="1256"/>
      <c r="E689" s="1257"/>
      <c r="F689" s="1257"/>
      <c r="G689" s="794">
        <f>SUM(G668:G673)/G666</f>
        <v>0.7633237543541842</v>
      </c>
      <c r="H689" s="794">
        <f>SUM(H668:H673)/H666</f>
        <v>0.78582147236712063</v>
      </c>
      <c r="I689" s="794">
        <f>SUM(I668:I673)/I666</f>
        <v>0.78827349177003747</v>
      </c>
      <c r="J689" s="794"/>
      <c r="K689" s="794"/>
      <c r="L689" s="794"/>
      <c r="M689" s="1257"/>
      <c r="N689" s="1585"/>
      <c r="O689" s="1257"/>
      <c r="P689" s="1257"/>
      <c r="Q689" s="1257"/>
      <c r="R689" s="1257"/>
      <c r="S689" s="1257"/>
      <c r="T689" s="947"/>
      <c r="U689" s="1256"/>
      <c r="V689" s="1257"/>
      <c r="W689" s="1257"/>
      <c r="X689" s="1257"/>
      <c r="Y689" s="1257"/>
      <c r="Z689" s="1257"/>
      <c r="AA689" s="1257"/>
      <c r="AB689" s="1257"/>
      <c r="AC689" s="1257"/>
      <c r="AD689" s="1257"/>
      <c r="AE689" s="1257"/>
      <c r="AF689" s="1257"/>
      <c r="AG689" s="1257"/>
      <c r="AH689" s="1257"/>
      <c r="AI689" s="1257"/>
      <c r="AJ689" s="1257"/>
      <c r="AK689" s="1257"/>
      <c r="AL689" s="1257"/>
      <c r="AM689" s="1257"/>
      <c r="AN689" s="1257"/>
      <c r="AO689" s="1257"/>
      <c r="AP689" s="1257"/>
      <c r="AQ689" s="1257"/>
      <c r="AR689" s="1257"/>
      <c r="AS689" s="1257"/>
      <c r="AT689" s="1257"/>
      <c r="AU689" s="1257"/>
      <c r="AV689" s="1257"/>
      <c r="AW689" s="1257"/>
      <c r="AX689" s="1257"/>
      <c r="AY689" s="947"/>
    </row>
    <row r="690" spans="2:51">
      <c r="B690" s="39" t="s">
        <v>1753</v>
      </c>
      <c r="I690" s="2017">
        <v>136.03200000000001</v>
      </c>
      <c r="J690" s="2017">
        <v>206.974344</v>
      </c>
      <c r="K690" s="2017">
        <v>257.938267</v>
      </c>
      <c r="L690" s="630">
        <f>380.664972</f>
        <v>380.66497199999998</v>
      </c>
      <c r="M690" s="630">
        <v>648.36363800000004</v>
      </c>
    </row>
    <row r="691" spans="2:51">
      <c r="B691" s="39" t="s">
        <v>1754</v>
      </c>
      <c r="I691" s="1648">
        <f>I690*1000/(I201+I106)</f>
        <v>111.51790999014611</v>
      </c>
      <c r="J691" s="1648">
        <f>J690*1000/(J201+J106)</f>
        <v>122.25813604705219</v>
      </c>
      <c r="K691" s="1648">
        <f>K690*1000/(K201+K106)</f>
        <v>125.48308783680571</v>
      </c>
      <c r="L691" s="867">
        <f>L690*1000/(L201+L106)</f>
        <v>133.23236048777258</v>
      </c>
      <c r="M691" s="867">
        <f>M690*1000/(M201+M106)</f>
        <v>153.76864300337152</v>
      </c>
    </row>
    <row r="692" spans="2:51">
      <c r="B692" s="36" t="s">
        <v>1293</v>
      </c>
    </row>
    <row r="693" spans="2:51">
      <c r="B693" s="302" t="s">
        <v>1283</v>
      </c>
      <c r="G693" s="1258">
        <v>5.1938000000000004</v>
      </c>
      <c r="H693" s="1258">
        <v>5.0506000000000002</v>
      </c>
      <c r="I693" s="1258">
        <v>5.0003000000000002</v>
      </c>
      <c r="J693" s="1258"/>
      <c r="K693" s="1258"/>
      <c r="L693" s="1258"/>
    </row>
    <row r="694" spans="2:51">
      <c r="B694" s="302" t="s">
        <v>1197</v>
      </c>
      <c r="G694" s="1258">
        <v>0.19639999999999999</v>
      </c>
      <c r="H694" s="1258">
        <v>0.1885</v>
      </c>
      <c r="I694" s="1258">
        <v>0.17760000000000001</v>
      </c>
      <c r="J694" s="1258"/>
      <c r="K694" s="1258"/>
      <c r="L694" s="1258"/>
    </row>
    <row r="695" spans="2:51">
      <c r="B695" s="302" t="s">
        <v>1284</v>
      </c>
      <c r="G695" s="1258">
        <v>1.4887999999999999</v>
      </c>
      <c r="H695" s="1258">
        <v>1.3771</v>
      </c>
      <c r="I695" s="1258">
        <v>1.3506</v>
      </c>
      <c r="J695" s="1258"/>
      <c r="K695" s="1258"/>
      <c r="L695" s="1258"/>
    </row>
    <row r="696" spans="2:51">
      <c r="B696" s="302" t="s">
        <v>1282</v>
      </c>
      <c r="G696" s="1258">
        <v>86.389499999999998</v>
      </c>
      <c r="H696" s="1258">
        <v>89.158900000000003</v>
      </c>
      <c r="I696" s="1258">
        <v>88.326800000000006</v>
      </c>
      <c r="J696" s="1258"/>
      <c r="K696" s="1258"/>
      <c r="L696" s="1258"/>
    </row>
    <row r="697" spans="2:51">
      <c r="B697" s="302" t="s">
        <v>1199</v>
      </c>
      <c r="G697" s="1258">
        <v>6.6500000000000004E-2</v>
      </c>
      <c r="H697" s="1258">
        <v>6.93E-2</v>
      </c>
      <c r="I697" s="1258">
        <v>6.7500000000000004E-2</v>
      </c>
      <c r="J697" s="1258"/>
      <c r="K697" s="1258"/>
      <c r="L697" s="1258"/>
    </row>
    <row r="698" spans="2:51">
      <c r="B698" s="302" t="s">
        <v>1198</v>
      </c>
      <c r="G698" s="1258">
        <v>5.5100000000000003E-2</v>
      </c>
      <c r="H698" s="1258">
        <v>5.1200000000000002E-2</v>
      </c>
      <c r="I698" s="1258">
        <v>4.8800000000000003E-2</v>
      </c>
      <c r="J698" s="1258"/>
      <c r="K698" s="1258"/>
      <c r="L698" s="1258"/>
    </row>
    <row r="700" spans="2:51">
      <c r="B700" s="36" t="s">
        <v>1294</v>
      </c>
      <c r="J700" s="34" t="s">
        <v>1317</v>
      </c>
    </row>
    <row r="701" spans="2:51">
      <c r="B701" s="302" t="s">
        <v>1283</v>
      </c>
      <c r="H701" s="1199">
        <f t="shared" ref="H701:I706" si="419">H693/G693-1</f>
        <v>-2.7571335053332868E-2</v>
      </c>
      <c r="I701" s="1199">
        <f t="shared" si="419"/>
        <v>-9.9592127668000074E-3</v>
      </c>
      <c r="J701" s="1272">
        <v>1.5531148103655301E-2</v>
      </c>
      <c r="K701" s="1272">
        <v>4.985213350232609E-3</v>
      </c>
      <c r="L701" s="1272">
        <v>5.8853203295778922E-3</v>
      </c>
      <c r="M701" s="1272">
        <v>3.8081913961582892E-2</v>
      </c>
      <c r="N701" s="2129">
        <v>-0.04</v>
      </c>
      <c r="O701" s="1273">
        <v>0.01</v>
      </c>
      <c r="P701" s="1273">
        <v>0.01</v>
      </c>
      <c r="Q701" s="1273"/>
      <c r="R701" s="1273"/>
      <c r="S701" s="1273"/>
    </row>
    <row r="702" spans="2:51">
      <c r="B702" s="302" t="s">
        <v>1197</v>
      </c>
      <c r="H702" s="1199">
        <f t="shared" si="419"/>
        <v>-4.0224032586558045E-2</v>
      </c>
      <c r="I702" s="1199">
        <f t="shared" si="419"/>
        <v>-5.7824933687002589E-2</v>
      </c>
      <c r="J702" s="1272">
        <v>0.26847987320860933</v>
      </c>
      <c r="K702" s="1272">
        <v>0.15248387460973989</v>
      </c>
      <c r="L702" s="1272">
        <v>-4.6915855953601482E-2</v>
      </c>
      <c r="M702" s="1272">
        <v>1.72948573270999E-2</v>
      </c>
      <c r="N702" s="2129">
        <v>-0.1</v>
      </c>
      <c r="O702" s="1273">
        <v>0.01</v>
      </c>
      <c r="P702" s="1273">
        <v>0.01</v>
      </c>
      <c r="Q702" s="1273"/>
      <c r="R702" s="1273"/>
      <c r="S702" s="1273"/>
    </row>
    <row r="703" spans="2:51">
      <c r="B703" s="302" t="s">
        <v>1284</v>
      </c>
      <c r="H703" s="1199">
        <f t="shared" si="419"/>
        <v>-7.5026867275658216E-2</v>
      </c>
      <c r="I703" s="1199">
        <f t="shared" si="419"/>
        <v>-1.9243337448260789E-2</v>
      </c>
      <c r="J703" s="1272">
        <v>0.20991476868416403</v>
      </c>
      <c r="K703" s="1272">
        <v>-5.1025563108756833E-2</v>
      </c>
      <c r="L703" s="1272">
        <v>-0.16039716678850524</v>
      </c>
      <c r="M703" s="1272">
        <v>-4.4752417678260881E-2</v>
      </c>
      <c r="N703" s="2129">
        <v>-0.02</v>
      </c>
      <c r="O703" s="1273">
        <v>0</v>
      </c>
      <c r="P703" s="1273">
        <v>0</v>
      </c>
      <c r="Q703" s="1273"/>
      <c r="R703" s="1273"/>
      <c r="S703" s="1273"/>
    </row>
    <row r="704" spans="2:51">
      <c r="B704" s="302" t="s">
        <v>1282</v>
      </c>
      <c r="H704" s="1199">
        <f t="shared" si="419"/>
        <v>3.2057136573310441E-2</v>
      </c>
      <c r="I704" s="1199">
        <f t="shared" si="419"/>
        <v>-9.3327755277374802E-3</v>
      </c>
      <c r="J704" s="1272">
        <f t="shared" ref="J704:M705" si="420">J701</f>
        <v>1.5531148103655301E-2</v>
      </c>
      <c r="K704" s="1272">
        <f t="shared" si="420"/>
        <v>4.985213350232609E-3</v>
      </c>
      <c r="L704" s="1272">
        <f t="shared" si="420"/>
        <v>5.8853203295778922E-3</v>
      </c>
      <c r="M704" s="1272">
        <f t="shared" si="420"/>
        <v>3.8081913961582892E-2</v>
      </c>
      <c r="N704" s="2129">
        <v>0</v>
      </c>
      <c r="O704" s="1273">
        <v>0.01</v>
      </c>
      <c r="P704" s="1273">
        <v>0.01</v>
      </c>
      <c r="Q704" s="1273"/>
      <c r="R704" s="1273"/>
      <c r="S704" s="1273"/>
    </row>
    <row r="705" spans="2:51">
      <c r="B705" s="302" t="s">
        <v>1199</v>
      </c>
      <c r="H705" s="1199">
        <f t="shared" si="419"/>
        <v>4.2105263157894646E-2</v>
      </c>
      <c r="I705" s="1199">
        <f t="shared" si="419"/>
        <v>-2.5974025974025872E-2</v>
      </c>
      <c r="J705" s="1272">
        <f t="shared" si="420"/>
        <v>0.26847987320860933</v>
      </c>
      <c r="K705" s="1272">
        <f t="shared" si="420"/>
        <v>0.15248387460973989</v>
      </c>
      <c r="L705" s="1272">
        <f t="shared" si="420"/>
        <v>-4.6915855953601482E-2</v>
      </c>
      <c r="M705" s="1272">
        <f t="shared" si="420"/>
        <v>1.72948573270999E-2</v>
      </c>
      <c r="N705" s="2129">
        <v>0</v>
      </c>
      <c r="O705" s="1273">
        <v>0.01</v>
      </c>
      <c r="P705" s="1273">
        <v>0.01</v>
      </c>
      <c r="Q705" s="1273"/>
      <c r="R705" s="1273"/>
      <c r="S705" s="1273"/>
    </row>
    <row r="706" spans="2:51">
      <c r="B706" s="302" t="s">
        <v>1198</v>
      </c>
      <c r="H706" s="1199">
        <f t="shared" si="419"/>
        <v>-7.0780399274047223E-2</v>
      </c>
      <c r="I706" s="1199">
        <f t="shared" si="419"/>
        <v>-4.6875E-2</v>
      </c>
      <c r="J706" s="1272">
        <f>J702</f>
        <v>0.26847987320860933</v>
      </c>
      <c r="K706" s="1272">
        <f>K702</f>
        <v>0.15248387460973989</v>
      </c>
      <c r="L706" s="1272">
        <f>L702</f>
        <v>-4.6915855953601482E-2</v>
      </c>
      <c r="M706" s="1272">
        <f>M702</f>
        <v>1.72948573270999E-2</v>
      </c>
      <c r="N706" s="2129">
        <v>0</v>
      </c>
      <c r="O706" s="1273">
        <v>0.01</v>
      </c>
      <c r="P706" s="1273">
        <v>0.01</v>
      </c>
      <c r="Q706" s="1273"/>
      <c r="R706" s="1273"/>
      <c r="S706" s="1273"/>
    </row>
    <row r="707" spans="2:51">
      <c r="B707" s="302" t="s">
        <v>207</v>
      </c>
      <c r="H707" s="1199">
        <f>H674/G674-1</f>
        <v>0.24372055298076067</v>
      </c>
      <c r="I707" s="1199">
        <f>I674/H674-1</f>
        <v>0.17982041964903583</v>
      </c>
      <c r="J707" s="1199"/>
      <c r="K707" s="1199"/>
      <c r="L707" s="1199"/>
    </row>
    <row r="708" spans="2:51" ht="10.5" customHeight="1"/>
    <row r="709" spans="2:51" s="305" customFormat="1">
      <c r="B709" s="1250" t="s">
        <v>1304</v>
      </c>
      <c r="C709" s="910"/>
      <c r="D709" s="911"/>
      <c r="E709" s="912"/>
      <c r="F709" s="912">
        <v>2017</v>
      </c>
      <c r="G709" s="912">
        <v>2018</v>
      </c>
      <c r="H709" s="912">
        <v>2019</v>
      </c>
      <c r="I709" s="912">
        <v>2020</v>
      </c>
      <c r="J709" s="912">
        <v>2021</v>
      </c>
      <c r="K709" s="912">
        <v>2022</v>
      </c>
      <c r="L709" s="912">
        <v>2023</v>
      </c>
      <c r="M709" s="912"/>
      <c r="N709" s="1562"/>
      <c r="O709" s="912"/>
      <c r="P709" s="912"/>
      <c r="Q709" s="1229"/>
      <c r="R709" s="1229"/>
      <c r="S709" s="1229"/>
      <c r="T709" s="948"/>
      <c r="U709" s="911"/>
      <c r="V709" s="912"/>
      <c r="W709" s="912"/>
      <c r="X709" s="912"/>
      <c r="Y709" s="912"/>
      <c r="Z709" s="912"/>
      <c r="AA709" s="912"/>
      <c r="AB709" s="912"/>
      <c r="AC709" s="912"/>
      <c r="AD709" s="912"/>
      <c r="AE709" s="912"/>
      <c r="AF709" s="912"/>
      <c r="AG709" s="912"/>
      <c r="AH709" s="1229"/>
      <c r="AI709" s="1229"/>
      <c r="AJ709" s="1229"/>
      <c r="AK709" s="1229"/>
      <c r="AL709" s="1229"/>
      <c r="AM709" s="1229"/>
      <c r="AN709" s="1229"/>
      <c r="AO709" s="1229"/>
      <c r="AP709" s="1229"/>
      <c r="AQ709" s="1229"/>
      <c r="AR709" s="1229"/>
      <c r="AS709" s="1229"/>
      <c r="AT709" s="1229"/>
      <c r="AU709" s="1229"/>
      <c r="AV709" s="1229"/>
      <c r="AW709" s="1229"/>
      <c r="AX709" s="1229"/>
      <c r="AY709" s="948"/>
    </row>
    <row r="710" spans="2:51">
      <c r="B710" s="36" t="s">
        <v>1313</v>
      </c>
      <c r="F710" s="1267">
        <v>36473.300000000003</v>
      </c>
      <c r="G710" s="1267">
        <v>41277.800000000003</v>
      </c>
      <c r="H710" s="1267">
        <v>47259.4</v>
      </c>
      <c r="I710" s="1267">
        <v>48863.3</v>
      </c>
      <c r="J710" s="1267">
        <v>54864</v>
      </c>
      <c r="K710" s="1267">
        <v>53255</v>
      </c>
      <c r="L710" s="1267">
        <v>57574.6</v>
      </c>
    </row>
    <row r="712" spans="2:51">
      <c r="B712" s="39" t="s">
        <v>1305</v>
      </c>
      <c r="F712" s="1267">
        <v>3765.2</v>
      </c>
      <c r="G712" s="1267">
        <v>4039.4</v>
      </c>
      <c r="H712" s="1267">
        <v>5707</v>
      </c>
      <c r="I712" s="1267">
        <v>6529.2</v>
      </c>
      <c r="J712" s="1267">
        <v>7325.8</v>
      </c>
      <c r="K712" s="1267">
        <v>9106</v>
      </c>
      <c r="L712" s="1267">
        <v>9544.6</v>
      </c>
    </row>
    <row r="713" spans="2:51" s="38" customFormat="1">
      <c r="B713" s="1253" t="s">
        <v>1312</v>
      </c>
      <c r="C713" s="1251"/>
      <c r="D713" s="1251"/>
      <c r="E713" s="869"/>
      <c r="F713" s="1268"/>
      <c r="G713" s="347">
        <f t="shared" ref="G713:L713" si="421">G74/G712</f>
        <v>0.71433804525424571</v>
      </c>
      <c r="H713" s="347">
        <f t="shared" si="421"/>
        <v>0.70142465393376563</v>
      </c>
      <c r="I713" s="347">
        <f t="shared" si="421"/>
        <v>0.71297460638363053</v>
      </c>
      <c r="J713" s="347">
        <f t="shared" si="421"/>
        <v>0.89981952540063881</v>
      </c>
      <c r="K713" s="347">
        <f t="shared" si="421"/>
        <v>0.89746396090489788</v>
      </c>
      <c r="L713" s="347">
        <f t="shared" si="421"/>
        <v>1.0829169373258176</v>
      </c>
      <c r="M713" s="869"/>
      <c r="N713" s="1586"/>
      <c r="O713" s="869"/>
      <c r="P713" s="869"/>
      <c r="Q713" s="869"/>
      <c r="R713" s="869"/>
      <c r="S713" s="869"/>
      <c r="T713" s="945"/>
      <c r="U713" s="1251"/>
      <c r="V713" s="869"/>
      <c r="W713" s="869"/>
      <c r="X713" s="869"/>
      <c r="Y713" s="869"/>
      <c r="Z713" s="869"/>
      <c r="AA713" s="869"/>
      <c r="AB713" s="869"/>
      <c r="AC713" s="869"/>
      <c r="AD713" s="869"/>
      <c r="AE713" s="869"/>
      <c r="AF713" s="869"/>
      <c r="AG713" s="869"/>
      <c r="AH713" s="869"/>
      <c r="AI713" s="869"/>
      <c r="AJ713" s="869"/>
      <c r="AK713" s="869"/>
      <c r="AL713" s="869"/>
      <c r="AM713" s="869"/>
      <c r="AN713" s="869"/>
      <c r="AO713" s="869"/>
      <c r="AP713" s="869"/>
      <c r="AQ713" s="869"/>
      <c r="AR713" s="869"/>
      <c r="AS713" s="869"/>
      <c r="AT713" s="869"/>
      <c r="AU713" s="869"/>
      <c r="AV713" s="869"/>
      <c r="AW713" s="869"/>
      <c r="AX713" s="869"/>
      <c r="AY713" s="945"/>
    </row>
    <row r="714" spans="2:51">
      <c r="B714" s="1253" t="s">
        <v>1314</v>
      </c>
      <c r="F714" s="872">
        <f>F712/F710</f>
        <v>0.10323167906386314</v>
      </c>
      <c r="G714" s="872">
        <f t="shared" ref="G714:L714" si="422">G712/G710</f>
        <v>9.7858897518763102E-2</v>
      </c>
      <c r="H714" s="872">
        <f t="shared" si="422"/>
        <v>0.12075904476146544</v>
      </c>
      <c r="I714" s="872">
        <f t="shared" si="422"/>
        <v>0.13362175702418788</v>
      </c>
      <c r="J714" s="872">
        <f t="shared" si="422"/>
        <v>0.133526538349373</v>
      </c>
      <c r="K714" s="872">
        <f t="shared" si="422"/>
        <v>0.17098863956436017</v>
      </c>
      <c r="L714" s="872">
        <f t="shared" si="422"/>
        <v>0.16577796458855121</v>
      </c>
    </row>
    <row r="715" spans="2:51">
      <c r="F715" s="1267"/>
      <c r="G715" s="1267"/>
      <c r="H715" s="1267"/>
      <c r="I715" s="1267"/>
      <c r="J715" s="1267"/>
      <c r="K715" s="1267"/>
      <c r="L715" s="1267"/>
    </row>
    <row r="716" spans="2:51">
      <c r="F716" s="1267">
        <v>20311.8</v>
      </c>
      <c r="G716" s="1267">
        <v>22444.6</v>
      </c>
      <c r="H716" s="1267">
        <v>24690.6</v>
      </c>
      <c r="I716" s="1267">
        <v>25369.3</v>
      </c>
      <c r="J716" s="1267">
        <v>28465.200000000001</v>
      </c>
      <c r="K716" s="1267">
        <v>27813.4</v>
      </c>
      <c r="L716" s="1267">
        <v>29392</v>
      </c>
    </row>
    <row r="717" spans="2:51">
      <c r="B717" s="39" t="s">
        <v>1306</v>
      </c>
      <c r="F717" s="1267">
        <v>3424</v>
      </c>
      <c r="G717" s="1267">
        <v>3941.1</v>
      </c>
      <c r="H717" s="1267">
        <v>4252.6000000000004</v>
      </c>
      <c r="I717" s="1267">
        <v>3897.6</v>
      </c>
      <c r="J717" s="1267">
        <v>3620.3</v>
      </c>
      <c r="K717" s="1267">
        <v>3643</v>
      </c>
      <c r="L717" s="1267">
        <v>3120.2</v>
      </c>
    </row>
    <row r="718" spans="2:51">
      <c r="B718" s="39" t="s">
        <v>1307</v>
      </c>
      <c r="F718" s="1267">
        <v>2200</v>
      </c>
      <c r="G718" s="1267">
        <v>2464</v>
      </c>
      <c r="H718" s="1267">
        <v>2715.3</v>
      </c>
      <c r="I718" s="1267">
        <v>2709.1</v>
      </c>
      <c r="J718" s="1267">
        <v>3289</v>
      </c>
      <c r="K718" s="1267">
        <v>3016.6</v>
      </c>
      <c r="L718" s="1267">
        <v>3095.1</v>
      </c>
    </row>
    <row r="719" spans="2:51">
      <c r="B719" s="39" t="s">
        <v>1308</v>
      </c>
      <c r="F719" s="1267">
        <v>948.1</v>
      </c>
      <c r="G719" s="1267">
        <v>1232.5999999999999</v>
      </c>
      <c r="H719" s="1267">
        <v>1760.8</v>
      </c>
      <c r="I719" s="1267">
        <v>1423.7</v>
      </c>
      <c r="J719" s="1267">
        <v>1578.3</v>
      </c>
      <c r="K719" s="1267">
        <v>1797</v>
      </c>
      <c r="L719" s="1267">
        <v>2074.8000000000002</v>
      </c>
    </row>
    <row r="720" spans="2:51">
      <c r="B720" s="39" t="s">
        <v>1310</v>
      </c>
      <c r="F720" s="1267">
        <v>600</v>
      </c>
      <c r="G720" s="1267">
        <v>1300</v>
      </c>
      <c r="H720" s="1267">
        <v>1227.2</v>
      </c>
      <c r="I720" s="1267">
        <v>1115.2</v>
      </c>
      <c r="J720" s="1267">
        <v>1025.7</v>
      </c>
      <c r="K720" s="1267">
        <v>968.8</v>
      </c>
      <c r="L720" s="1267">
        <v>933.3</v>
      </c>
    </row>
    <row r="721" spans="2:51">
      <c r="B721" s="39" t="s">
        <v>1309</v>
      </c>
      <c r="F721" s="1267">
        <v>89.8</v>
      </c>
      <c r="G721" s="1267">
        <v>109.6</v>
      </c>
      <c r="H721" s="1267">
        <v>199.4</v>
      </c>
      <c r="I721" s="1267">
        <v>394.6</v>
      </c>
      <c r="J721" s="1267">
        <v>571.6</v>
      </c>
      <c r="K721" s="1267">
        <v>683.8</v>
      </c>
      <c r="L721" s="1267">
        <v>748.8</v>
      </c>
    </row>
    <row r="722" spans="2:51">
      <c r="B722" s="39" t="s">
        <v>1311</v>
      </c>
      <c r="F722" s="1267">
        <v>75.5</v>
      </c>
      <c r="G722" s="1267">
        <v>115.2</v>
      </c>
      <c r="H722" s="1267">
        <v>352.6</v>
      </c>
      <c r="I722" s="1267">
        <v>395</v>
      </c>
      <c r="J722" s="1267">
        <v>547.20000000000005</v>
      </c>
      <c r="K722" s="1267">
        <v>594.4</v>
      </c>
      <c r="L722" s="1267">
        <v>657.8</v>
      </c>
    </row>
    <row r="724" spans="2:51" s="305" customFormat="1">
      <c r="B724" s="1250" t="s">
        <v>1323</v>
      </c>
      <c r="C724" s="910"/>
      <c r="D724" s="911"/>
      <c r="E724" s="912"/>
      <c r="F724" s="912">
        <v>2017</v>
      </c>
      <c r="G724" s="912">
        <v>2018</v>
      </c>
      <c r="H724" s="912">
        <v>2019</v>
      </c>
      <c r="I724" s="912">
        <v>2020</v>
      </c>
      <c r="J724" s="912">
        <v>2021</v>
      </c>
      <c r="K724" s="912">
        <v>2022</v>
      </c>
      <c r="L724" s="912">
        <v>2023</v>
      </c>
      <c r="M724" s="912"/>
      <c r="N724" s="1562"/>
      <c r="O724" s="912"/>
      <c r="P724" s="912"/>
      <c r="Q724" s="1229"/>
      <c r="R724" s="1229"/>
      <c r="S724" s="1229"/>
      <c r="T724" s="948"/>
      <c r="U724" s="911"/>
      <c r="V724" s="912"/>
      <c r="W724" s="912"/>
      <c r="X724" s="912"/>
      <c r="Y724" s="912"/>
      <c r="Z724" s="912"/>
      <c r="AA724" s="912"/>
      <c r="AB724" s="912"/>
      <c r="AC724" s="912"/>
      <c r="AD724" s="912"/>
      <c r="AE724" s="912"/>
      <c r="AF724" s="912"/>
      <c r="AG724" s="912"/>
      <c r="AH724" s="1229"/>
      <c r="AI724" s="1229"/>
      <c r="AJ724" s="1229"/>
      <c r="AK724" s="1229"/>
      <c r="AL724" s="1229"/>
      <c r="AM724" s="1229"/>
      <c r="AN724" s="1229"/>
      <c r="AO724" s="1229"/>
      <c r="AP724" s="1229"/>
      <c r="AQ724" s="1229"/>
      <c r="AR724" s="1229"/>
      <c r="AS724" s="1229"/>
      <c r="AT724" s="1229"/>
      <c r="AU724" s="1229"/>
      <c r="AV724" s="1229"/>
      <c r="AW724" s="1229"/>
      <c r="AX724" s="1229"/>
      <c r="AY724" s="948"/>
    </row>
    <row r="725" spans="2:51">
      <c r="B725" s="1291" t="s">
        <v>1329</v>
      </c>
    </row>
    <row r="726" spans="2:51" s="37" customFormat="1">
      <c r="B726" s="1292" t="s">
        <v>1333</v>
      </c>
      <c r="C726" s="760"/>
      <c r="D726" s="760"/>
      <c r="E726" s="396"/>
      <c r="F726" s="396"/>
      <c r="G726" s="396"/>
      <c r="H726" s="396"/>
      <c r="I726" s="1286">
        <f>I74/I728*2</f>
        <v>46090.631683168314</v>
      </c>
      <c r="J726" s="1286">
        <f>J74/J728*2</f>
        <v>56341.007514358971</v>
      </c>
      <c r="K726" s="1286">
        <f>K74/K728*2</f>
        <v>61399.750773854248</v>
      </c>
      <c r="L726" s="1286">
        <f>L74/L728*2</f>
        <v>66813.244990303807</v>
      </c>
      <c r="M726" s="396"/>
      <c r="N726" s="1583"/>
      <c r="O726" s="396"/>
      <c r="P726" s="396"/>
      <c r="Q726" s="396"/>
      <c r="R726" s="396"/>
      <c r="S726" s="396"/>
      <c r="T726" s="944"/>
      <c r="U726" s="760"/>
      <c r="V726" s="396"/>
      <c r="W726" s="396"/>
      <c r="X726" s="396"/>
      <c r="Y726" s="396"/>
      <c r="Z726" s="1286"/>
      <c r="AA726" s="1296"/>
      <c r="AB726" s="1286">
        <f>AB74/AB728</f>
        <v>17670.297660013763</v>
      </c>
      <c r="AC726" s="1286">
        <f>L726-AB726</f>
        <v>49142.947330290044</v>
      </c>
      <c r="AD726" s="1286">
        <f>AD74/AD728</f>
        <v>23592.364762560217</v>
      </c>
      <c r="AE726" s="1286"/>
      <c r="AF726" s="1286"/>
      <c r="AG726" s="1286"/>
      <c r="AH726" s="1286"/>
      <c r="AI726" s="1286"/>
      <c r="AJ726" s="1286"/>
      <c r="AK726" s="1286"/>
      <c r="AL726" s="1286"/>
      <c r="AM726" s="1286"/>
      <c r="AN726" s="1286"/>
      <c r="AO726" s="1286"/>
      <c r="AP726" s="1286"/>
      <c r="AQ726" s="1286"/>
      <c r="AR726" s="1286"/>
      <c r="AS726" s="1286"/>
      <c r="AT726" s="1286"/>
      <c r="AU726" s="1286"/>
      <c r="AV726" s="1286"/>
      <c r="AW726" s="396"/>
      <c r="AX726" s="396"/>
      <c r="AY726" s="944"/>
    </row>
    <row r="727" spans="2:51">
      <c r="B727" s="1274" t="s">
        <v>216</v>
      </c>
      <c r="J727" s="492">
        <f>J726/I726-1</f>
        <v>0.22239608043675307</v>
      </c>
      <c r="K727" s="492">
        <f>K726/J726-1</f>
        <v>8.9787944566060762E-2</v>
      </c>
      <c r="L727" s="492">
        <f>L726/K726-1</f>
        <v>8.8168016127433191E-2</v>
      </c>
      <c r="AB727" s="492"/>
      <c r="AC727" s="492"/>
      <c r="AD727" s="492"/>
      <c r="AE727" s="492"/>
      <c r="AF727" s="492"/>
      <c r="AG727" s="492"/>
      <c r="AH727" s="492"/>
      <c r="AI727" s="492"/>
      <c r="AJ727" s="492"/>
      <c r="AK727" s="492"/>
      <c r="AL727" s="492"/>
      <c r="AM727" s="492"/>
      <c r="AN727" s="492"/>
      <c r="AO727" s="492"/>
      <c r="AP727" s="492"/>
      <c r="AQ727" s="492"/>
      <c r="AR727" s="492"/>
      <c r="AS727" s="492"/>
      <c r="AT727" s="492"/>
      <c r="AU727" s="492"/>
      <c r="AV727" s="492"/>
    </row>
    <row r="728" spans="2:51">
      <c r="B728" s="1271" t="s">
        <v>1324</v>
      </c>
      <c r="C728" s="36"/>
      <c r="D728" s="36"/>
      <c r="G728" s="1285"/>
      <c r="H728" s="1285"/>
      <c r="I728" s="1285">
        <v>0.20200000000000001</v>
      </c>
      <c r="J728" s="1285">
        <v>0.23400000000000001</v>
      </c>
      <c r="K728" s="1285">
        <v>0.26619999999999999</v>
      </c>
      <c r="L728" s="1285">
        <v>0.30940000000000001</v>
      </c>
      <c r="U728" s="36"/>
      <c r="Z728" s="1294"/>
      <c r="AA728" s="1297"/>
      <c r="AB728" s="1294">
        <v>0.29060000000000002</v>
      </c>
      <c r="AC728" s="1297">
        <f>AC74/AC726</f>
        <v>0.10583452524822962</v>
      </c>
      <c r="AD728" s="1294">
        <v>0.29060000000000002</v>
      </c>
      <c r="AE728" s="1297"/>
      <c r="AF728" s="1297"/>
      <c r="AG728" s="1297"/>
      <c r="AH728" s="1297"/>
      <c r="AI728" s="1297"/>
      <c r="AJ728" s="1297"/>
      <c r="AK728" s="1297"/>
      <c r="AL728" s="1297"/>
      <c r="AM728" s="1297"/>
      <c r="AN728" s="1297"/>
      <c r="AO728" s="1297"/>
      <c r="AP728" s="1297"/>
      <c r="AQ728" s="1297"/>
      <c r="AR728" s="1297"/>
      <c r="AS728" s="1297"/>
      <c r="AT728" s="1297"/>
      <c r="AU728" s="1297"/>
      <c r="AV728" s="1297"/>
    </row>
    <row r="729" spans="2:51">
      <c r="B729" s="1271"/>
      <c r="C729" s="36"/>
      <c r="D729" s="36"/>
      <c r="G729" s="1285"/>
      <c r="H729" s="1285"/>
      <c r="I729" s="1285"/>
      <c r="J729" s="1285"/>
      <c r="K729" s="1285"/>
      <c r="L729" s="1285"/>
      <c r="U729" s="36"/>
      <c r="AA729" s="36"/>
    </row>
    <row r="730" spans="2:51" s="37" customFormat="1">
      <c r="B730" s="1292" t="s">
        <v>1326</v>
      </c>
      <c r="E730" s="396"/>
      <c r="F730" s="396"/>
      <c r="G730" s="1214"/>
      <c r="H730" s="1214"/>
      <c r="I730" s="756">
        <f>I106/I732</f>
        <v>3899.4444444444439</v>
      </c>
      <c r="J730" s="756">
        <f>J106/J732</f>
        <v>4757.930599369085</v>
      </c>
      <c r="K730" s="756">
        <f>K106/K732</f>
        <v>5066.5694822888281</v>
      </c>
      <c r="L730" s="756">
        <f>L106/L732</f>
        <v>5542.8870292887032</v>
      </c>
      <c r="M730" s="396"/>
      <c r="N730" s="1583"/>
      <c r="O730" s="396"/>
      <c r="P730" s="396"/>
      <c r="Q730" s="396"/>
      <c r="R730" s="396"/>
      <c r="S730" s="396"/>
      <c r="T730" s="944"/>
      <c r="V730" s="396"/>
      <c r="W730" s="396"/>
      <c r="X730" s="396"/>
      <c r="Y730" s="396"/>
      <c r="Z730" s="756"/>
      <c r="AA730" s="1296"/>
      <c r="AB730" s="756">
        <f>AB106/AB732</f>
        <v>2954.0964023494857</v>
      </c>
      <c r="AC730" s="1286">
        <f>L730-AB730</f>
        <v>2588.7906269392174</v>
      </c>
      <c r="AD730" s="756">
        <f>AD106/AD732</f>
        <v>2954.0964023494857</v>
      </c>
      <c r="AE730" s="1286"/>
      <c r="AF730" s="1286"/>
      <c r="AG730" s="1286"/>
      <c r="AH730" s="1286"/>
      <c r="AI730" s="1286"/>
      <c r="AJ730" s="1286"/>
      <c r="AK730" s="1286"/>
      <c r="AL730" s="1286"/>
      <c r="AM730" s="1286"/>
      <c r="AN730" s="1286"/>
      <c r="AO730" s="1286"/>
      <c r="AP730" s="1286"/>
      <c r="AQ730" s="1286"/>
      <c r="AR730" s="1286"/>
      <c r="AS730" s="1286"/>
      <c r="AT730" s="1286"/>
      <c r="AU730" s="1286"/>
      <c r="AV730" s="1286"/>
      <c r="AW730" s="396"/>
      <c r="AX730" s="396"/>
      <c r="AY730" s="944"/>
    </row>
    <row r="731" spans="2:51">
      <c r="B731" s="1274" t="s">
        <v>216</v>
      </c>
      <c r="J731" s="492">
        <f>J730/I730-1</f>
        <v>0.22015601636477489</v>
      </c>
      <c r="K731" s="492">
        <f>K730/J730-1</f>
        <v>6.4868302820698887E-2</v>
      </c>
      <c r="L731" s="492">
        <f>L730/K730-1</f>
        <v>9.401184542419383E-2</v>
      </c>
      <c r="Z731" s="1286"/>
      <c r="AA731" s="37"/>
      <c r="AB731" s="492"/>
      <c r="AC731" s="492"/>
      <c r="AD731" s="492"/>
      <c r="AE731" s="492"/>
      <c r="AF731" s="492"/>
      <c r="AG731" s="492"/>
      <c r="AH731" s="492"/>
      <c r="AI731" s="492"/>
      <c r="AJ731" s="492"/>
      <c r="AK731" s="492"/>
      <c r="AL731" s="492"/>
      <c r="AM731" s="492"/>
      <c r="AN731" s="492"/>
      <c r="AO731" s="492"/>
      <c r="AP731" s="492"/>
      <c r="AQ731" s="492"/>
      <c r="AR731" s="492"/>
      <c r="AS731" s="492"/>
      <c r="AT731" s="492"/>
      <c r="AU731" s="492"/>
      <c r="AV731" s="492"/>
    </row>
    <row r="732" spans="2:51">
      <c r="B732" s="1271" t="s">
        <v>1325</v>
      </c>
      <c r="C732" s="36"/>
      <c r="D732" s="36"/>
      <c r="G732" s="1285"/>
      <c r="H732" s="1285"/>
      <c r="I732" s="1285">
        <v>0.27</v>
      </c>
      <c r="J732" s="1285">
        <v>0.317</v>
      </c>
      <c r="K732" s="1285">
        <v>0.36699999999999999</v>
      </c>
      <c r="L732" s="1285">
        <v>0.43020000000000003</v>
      </c>
      <c r="U732" s="36"/>
      <c r="Z732" s="1294"/>
      <c r="AA732" s="492"/>
      <c r="AB732" s="1294">
        <v>0.40860000000000002</v>
      </c>
      <c r="AC732" s="492">
        <f>AC106/AC730</f>
        <v>0.45484798876616417</v>
      </c>
      <c r="AD732" s="1294">
        <v>0.40860000000000002</v>
      </c>
      <c r="AE732" s="492"/>
      <c r="AF732" s="492"/>
      <c r="AG732" s="492"/>
      <c r="AH732" s="492"/>
      <c r="AI732" s="492"/>
      <c r="AJ732" s="492"/>
      <c r="AK732" s="492"/>
      <c r="AL732" s="492"/>
      <c r="AM732" s="492"/>
      <c r="AN732" s="492"/>
      <c r="AO732" s="492"/>
      <c r="AP732" s="492"/>
      <c r="AQ732" s="492"/>
      <c r="AR732" s="492"/>
      <c r="AS732" s="492"/>
      <c r="AT732" s="492"/>
      <c r="AU732" s="492"/>
      <c r="AV732" s="492"/>
    </row>
    <row r="733" spans="2:51">
      <c r="B733" s="302"/>
    </row>
    <row r="734" spans="2:51" s="37" customFormat="1">
      <c r="B734" s="1293" t="s">
        <v>1327</v>
      </c>
      <c r="C734" s="760"/>
      <c r="D734" s="760"/>
      <c r="E734" s="396"/>
      <c r="F734" s="396"/>
      <c r="G734" s="396"/>
      <c r="H734" s="396"/>
      <c r="I734" s="1270">
        <f>I726/I730</f>
        <v>11.81979441939065</v>
      </c>
      <c r="J734" s="1270">
        <f>J726/J730</f>
        <v>11.841494182750363</v>
      </c>
      <c r="K734" s="1270">
        <f>K726/K730</f>
        <v>12.118604311751557</v>
      </c>
      <c r="L734" s="1270">
        <f>L726/L730</f>
        <v>12.053870958809291</v>
      </c>
      <c r="M734" s="396"/>
      <c r="N734" s="1583"/>
      <c r="O734" s="396"/>
      <c r="P734" s="396"/>
      <c r="Q734" s="396"/>
      <c r="R734" s="396"/>
      <c r="S734" s="396"/>
      <c r="T734" s="944"/>
      <c r="U734" s="760"/>
      <c r="V734" s="396"/>
      <c r="W734" s="396"/>
      <c r="X734" s="396"/>
      <c r="Y734" s="396"/>
      <c r="Z734" s="396"/>
      <c r="AA734" s="396"/>
      <c r="AB734" s="396"/>
      <c r="AC734" s="396"/>
      <c r="AD734" s="396"/>
      <c r="AE734" s="396"/>
      <c r="AF734" s="396"/>
      <c r="AG734" s="396"/>
      <c r="AH734" s="396"/>
      <c r="AI734" s="396"/>
      <c r="AJ734" s="396"/>
      <c r="AK734" s="396"/>
      <c r="AL734" s="396"/>
      <c r="AM734" s="396"/>
      <c r="AN734" s="396"/>
      <c r="AO734" s="396"/>
      <c r="AP734" s="396"/>
      <c r="AQ734" s="396"/>
      <c r="AR734" s="396"/>
      <c r="AS734" s="396"/>
      <c r="AT734" s="396"/>
      <c r="AU734" s="396"/>
      <c r="AV734" s="396"/>
      <c r="AW734" s="396"/>
      <c r="AX734" s="396"/>
      <c r="AY734" s="944"/>
    </row>
    <row r="735" spans="2:51">
      <c r="B735" s="1274" t="s">
        <v>216</v>
      </c>
      <c r="J735" s="492">
        <f>J734/I734-1</f>
        <v>1.8358833148666154E-3</v>
      </c>
      <c r="K735" s="492">
        <f>K734/J734-1</f>
        <v>2.3401618471836416E-2</v>
      </c>
      <c r="L735" s="492">
        <f>L734/K734-1</f>
        <v>-5.3416508433643539E-3</v>
      </c>
    </row>
    <row r="736" spans="2:51">
      <c r="B736" s="302" t="s">
        <v>1332</v>
      </c>
      <c r="G736" s="874">
        <f t="shared" ref="G736:L736" si="423">G137</f>
        <v>5.3230391623330267</v>
      </c>
      <c r="H736" s="874">
        <f t="shared" si="423"/>
        <v>4.7172338577675861</v>
      </c>
      <c r="I736" s="874">
        <f t="shared" si="423"/>
        <v>4.4214786531794656</v>
      </c>
      <c r="J736" s="874">
        <f t="shared" si="423"/>
        <v>4.3705199349583363</v>
      </c>
      <c r="K736" s="874">
        <f t="shared" si="423"/>
        <v>4.3950578580221578</v>
      </c>
      <c r="L736" s="874">
        <f t="shared" si="423"/>
        <v>4.3345742383258896</v>
      </c>
    </row>
    <row r="737" spans="2:51">
      <c r="B737" s="1274" t="s">
        <v>216</v>
      </c>
      <c r="H737" s="492">
        <f>H736/G736-1</f>
        <v>-0.11380816223413304</v>
      </c>
      <c r="I737" s="492">
        <f>I736/H736-1</f>
        <v>-6.2696744216129585E-2</v>
      </c>
      <c r="J737" s="492">
        <f>J736/I736-1</f>
        <v>-1.152526614246685E-2</v>
      </c>
      <c r="K737" s="492">
        <f>K736/J736-1</f>
        <v>5.6144173757339821E-3</v>
      </c>
      <c r="L737" s="492">
        <f>L736/K736-1</f>
        <v>-1.376173457782115E-2</v>
      </c>
    </row>
    <row r="739" spans="2:51">
      <c r="B739" s="1291" t="s">
        <v>1330</v>
      </c>
    </row>
    <row r="740" spans="2:51">
      <c r="B740" s="1292" t="s">
        <v>1331</v>
      </c>
      <c r="AB740" s="1294">
        <v>0.2989</v>
      </c>
      <c r="AD740" s="1294">
        <v>0.2989</v>
      </c>
    </row>
    <row r="741" spans="2:51">
      <c r="B741" s="1274" t="s">
        <v>216</v>
      </c>
    </row>
    <row r="746" spans="2:51" s="305" customFormat="1">
      <c r="B746" s="1250" t="s">
        <v>1345</v>
      </c>
      <c r="C746" s="910"/>
      <c r="D746" s="911"/>
      <c r="E746" s="912"/>
      <c r="F746" s="912">
        <v>2017</v>
      </c>
      <c r="G746" s="912">
        <v>2018</v>
      </c>
      <c r="H746" s="912">
        <v>2019</v>
      </c>
      <c r="I746" s="912">
        <v>2020</v>
      </c>
      <c r="J746" s="912">
        <v>2021</v>
      </c>
      <c r="K746" s="912">
        <v>2022</v>
      </c>
      <c r="L746" s="912">
        <v>2023</v>
      </c>
      <c r="M746" s="912" t="s">
        <v>1070</v>
      </c>
      <c r="N746" s="1562" t="s">
        <v>1071</v>
      </c>
      <c r="O746" s="912" t="s">
        <v>1096</v>
      </c>
      <c r="P746" s="912" t="s">
        <v>1096</v>
      </c>
      <c r="Q746" s="1229"/>
      <c r="R746" s="1229"/>
      <c r="S746" s="1229"/>
      <c r="T746" s="948"/>
      <c r="U746" s="911"/>
      <c r="V746" s="912"/>
      <c r="W746" s="912"/>
      <c r="X746" s="912"/>
      <c r="Y746" s="912"/>
      <c r="Z746" s="912"/>
      <c r="AA746" s="912"/>
      <c r="AB746" s="912"/>
      <c r="AC746" s="912"/>
      <c r="AD746" s="912"/>
      <c r="AE746" s="912"/>
      <c r="AF746" s="912"/>
      <c r="AG746" s="912"/>
      <c r="AH746" s="1229"/>
      <c r="AI746" s="1229"/>
      <c r="AJ746" s="1229"/>
      <c r="AK746" s="1229"/>
      <c r="AL746" s="1229"/>
      <c r="AM746" s="1229"/>
      <c r="AN746" s="1229"/>
      <c r="AO746" s="1229"/>
      <c r="AP746" s="1229"/>
      <c r="AQ746" s="1229"/>
      <c r="AR746" s="1229"/>
      <c r="AS746" s="1229"/>
      <c r="AT746" s="1229"/>
      <c r="AU746" s="1229"/>
      <c r="AV746" s="1229"/>
      <c r="AW746" s="1229"/>
      <c r="AX746" s="1229"/>
      <c r="AY746" s="948"/>
    </row>
    <row r="747" spans="2:51">
      <c r="B747" s="37" t="s">
        <v>1342</v>
      </c>
    </row>
    <row r="748" spans="2:51">
      <c r="B748" s="1271" t="s">
        <v>1125</v>
      </c>
      <c r="D748" s="39" t="s">
        <v>1121</v>
      </c>
      <c r="G748" s="871">
        <f>120/24</f>
        <v>5</v>
      </c>
      <c r="H748" s="871">
        <f>120/24</f>
        <v>5</v>
      </c>
      <c r="I748" s="871">
        <f>120/24</f>
        <v>5</v>
      </c>
    </row>
    <row r="749" spans="2:51">
      <c r="B749" s="1271" t="s">
        <v>1124</v>
      </c>
      <c r="D749" s="39" t="s">
        <v>1120</v>
      </c>
      <c r="G749" s="871">
        <f>84/24</f>
        <v>3.5</v>
      </c>
      <c r="H749" s="871">
        <f>72/24</f>
        <v>3</v>
      </c>
      <c r="I749" s="871">
        <f>72/24</f>
        <v>3</v>
      </c>
    </row>
    <row r="750" spans="2:51">
      <c r="B750" s="302" t="s">
        <v>1126</v>
      </c>
      <c r="D750" s="39" t="s">
        <v>1122</v>
      </c>
      <c r="G750" s="871">
        <f>96/24</f>
        <v>4</v>
      </c>
      <c r="H750" s="871">
        <f>96/24</f>
        <v>4</v>
      </c>
      <c r="I750" s="871">
        <f>96/24</f>
        <v>4</v>
      </c>
    </row>
    <row r="751" spans="2:51">
      <c r="B751" s="302" t="s">
        <v>1127</v>
      </c>
      <c r="D751" s="39" t="s">
        <v>1123</v>
      </c>
      <c r="G751" s="871">
        <f>48/24</f>
        <v>2</v>
      </c>
      <c r="H751" s="871">
        <f>48/24</f>
        <v>2</v>
      </c>
      <c r="I751" s="871">
        <f>48/24</f>
        <v>2</v>
      </c>
    </row>
    <row r="752" spans="2:51">
      <c r="B752" s="302"/>
      <c r="G752" s="871"/>
      <c r="H752" s="871"/>
      <c r="I752" s="871"/>
    </row>
    <row r="753" spans="2:51" s="37" customFormat="1">
      <c r="B753" s="37" t="s">
        <v>1343</v>
      </c>
      <c r="C753" s="760"/>
      <c r="D753" s="760" t="s">
        <v>1344</v>
      </c>
      <c r="E753" s="396"/>
      <c r="F753" s="396"/>
      <c r="G753" s="396"/>
      <c r="H753" s="396"/>
      <c r="I753" s="396"/>
      <c r="J753" s="396"/>
      <c r="K753" s="396"/>
      <c r="L753" s="396"/>
      <c r="M753" s="396"/>
      <c r="N753" s="1583"/>
      <c r="O753" s="396"/>
      <c r="P753" s="396"/>
      <c r="Q753" s="396"/>
      <c r="R753" s="396"/>
      <c r="S753" s="396"/>
      <c r="T753" s="944"/>
      <c r="U753" s="760"/>
      <c r="V753" s="396"/>
      <c r="W753" s="396"/>
      <c r="X753" s="396"/>
      <c r="Y753" s="396"/>
      <c r="Z753" s="396"/>
      <c r="AA753" s="396"/>
      <c r="AB753" s="1333">
        <v>0.1235</v>
      </c>
      <c r="AC753" s="396"/>
      <c r="AD753" s="1333">
        <v>0.1235</v>
      </c>
      <c r="AE753" s="396"/>
      <c r="AF753" s="396"/>
      <c r="AG753" s="396"/>
      <c r="AH753" s="396"/>
      <c r="AI753" s="396"/>
      <c r="AJ753" s="396"/>
      <c r="AK753" s="396"/>
      <c r="AL753" s="396"/>
      <c r="AM753" s="396"/>
      <c r="AN753" s="396"/>
      <c r="AO753" s="396"/>
      <c r="AP753" s="396"/>
      <c r="AQ753" s="396"/>
      <c r="AR753" s="396"/>
      <c r="AS753" s="396"/>
      <c r="AT753" s="396"/>
      <c r="AU753" s="396"/>
      <c r="AV753" s="396"/>
      <c r="AW753" s="396"/>
      <c r="AX753" s="396"/>
      <c r="AY753" s="944"/>
    </row>
    <row r="754" spans="2:51">
      <c r="B754" s="1271" t="s">
        <v>1125</v>
      </c>
      <c r="D754" s="39" t="s">
        <v>1121</v>
      </c>
      <c r="G754" s="749">
        <f>78/24</f>
        <v>3.25</v>
      </c>
      <c r="H754" s="749">
        <f>80/24</f>
        <v>3.3333333333333335</v>
      </c>
      <c r="I754" s="749">
        <f>80/24</f>
        <v>3.3333333333333335</v>
      </c>
    </row>
    <row r="755" spans="2:51">
      <c r="B755" s="1271" t="s">
        <v>1124</v>
      </c>
      <c r="D755" s="39" t="s">
        <v>1120</v>
      </c>
      <c r="G755" s="749">
        <f>55/24</f>
        <v>2.2916666666666665</v>
      </c>
      <c r="H755" s="749">
        <f>46/24</f>
        <v>1.9166666666666667</v>
      </c>
      <c r="I755" s="749">
        <f>46/24</f>
        <v>1.9166666666666667</v>
      </c>
    </row>
    <row r="756" spans="2:51">
      <c r="B756" s="302" t="s">
        <v>1126</v>
      </c>
      <c r="D756" s="39" t="s">
        <v>1122</v>
      </c>
      <c r="G756" s="749">
        <f>56/24</f>
        <v>2.3333333333333335</v>
      </c>
      <c r="H756" s="749">
        <f>56/24</f>
        <v>2.3333333333333335</v>
      </c>
      <c r="I756" s="749">
        <f>56/24</f>
        <v>2.3333333333333335</v>
      </c>
    </row>
    <row r="757" spans="2:51">
      <c r="B757" s="302" t="s">
        <v>1127</v>
      </c>
      <c r="D757" s="39" t="s">
        <v>1123</v>
      </c>
      <c r="G757" s="749">
        <f>27/24</f>
        <v>1.125</v>
      </c>
      <c r="H757" s="749">
        <f>27/24</f>
        <v>1.125</v>
      </c>
      <c r="I757" s="749">
        <f>27/24</f>
        <v>1.125</v>
      </c>
    </row>
    <row r="759" spans="2:51" s="37" customFormat="1" ht="9.75" customHeight="1">
      <c r="B759" s="760" t="s">
        <v>1346</v>
      </c>
      <c r="C759" s="760"/>
      <c r="D759" s="760"/>
      <c r="E759" s="396"/>
      <c r="F759" s="396"/>
      <c r="G759" s="396"/>
      <c r="H759" s="396"/>
      <c r="I759" s="396"/>
      <c r="J759" s="396"/>
      <c r="K759" s="396"/>
      <c r="L759" s="396"/>
      <c r="M759" s="396"/>
      <c r="N759" s="1583"/>
      <c r="O759" s="396"/>
      <c r="P759" s="396"/>
      <c r="Q759" s="396"/>
      <c r="R759" s="396"/>
      <c r="S759" s="396"/>
      <c r="T759" s="944"/>
      <c r="U759" s="760"/>
      <c r="V759" s="396"/>
      <c r="W759" s="396"/>
      <c r="X759" s="396"/>
      <c r="Y759" s="396"/>
      <c r="Z759" s="396"/>
      <c r="AA759" s="396"/>
      <c r="AB759" s="396"/>
      <c r="AC759" s="396"/>
      <c r="AD759" s="396"/>
      <c r="AE759" s="396"/>
      <c r="AF759" s="396"/>
      <c r="AG759" s="396"/>
      <c r="AH759" s="396"/>
      <c r="AI759" s="396"/>
      <c r="AJ759" s="396"/>
      <c r="AK759" s="396"/>
      <c r="AL759" s="396"/>
      <c r="AM759" s="396"/>
      <c r="AN759" s="396"/>
      <c r="AO759" s="396"/>
      <c r="AP759" s="396"/>
      <c r="AQ759" s="396"/>
      <c r="AR759" s="396"/>
      <c r="AS759" s="396"/>
      <c r="AT759" s="396"/>
      <c r="AU759" s="396"/>
      <c r="AV759" s="396"/>
      <c r="AW759" s="396"/>
      <c r="AX759" s="396"/>
      <c r="AY759" s="944"/>
    </row>
    <row r="760" spans="2:51">
      <c r="B760" s="1271" t="s">
        <v>1125</v>
      </c>
      <c r="D760" s="39" t="s">
        <v>1121</v>
      </c>
      <c r="G760" s="1342">
        <f t="shared" ref="G760:I763" si="424">G748/(G754/1.13)</f>
        <v>1.7384615384615383</v>
      </c>
      <c r="H760" s="1342">
        <f t="shared" si="424"/>
        <v>1.6949999999999998</v>
      </c>
      <c r="I760" s="1342">
        <f t="shared" si="424"/>
        <v>1.6949999999999998</v>
      </c>
      <c r="J760" s="1343">
        <f>I760</f>
        <v>1.6949999999999998</v>
      </c>
      <c r="K760" s="1343">
        <f>J760</f>
        <v>1.6949999999999998</v>
      </c>
      <c r="L760" s="1343">
        <f>K760</f>
        <v>1.6949999999999998</v>
      </c>
      <c r="M760" s="1343">
        <f>L760</f>
        <v>1.6949999999999998</v>
      </c>
      <c r="N760" s="1587">
        <f t="shared" ref="N760:O763" si="425">M760</f>
        <v>1.6949999999999998</v>
      </c>
      <c r="O760" s="1343">
        <f t="shared" si="425"/>
        <v>1.6949999999999998</v>
      </c>
      <c r="P760" s="1343">
        <f t="shared" ref="P760:P763" si="426">O760</f>
        <v>1.6949999999999998</v>
      </c>
      <c r="Q760" s="1343"/>
      <c r="R760" s="1343"/>
      <c r="S760" s="1343"/>
    </row>
    <row r="761" spans="2:51">
      <c r="B761" s="1271" t="s">
        <v>1124</v>
      </c>
      <c r="D761" s="39" t="s">
        <v>1120</v>
      </c>
      <c r="G761" s="1342">
        <f t="shared" si="424"/>
        <v>1.7258181818181819</v>
      </c>
      <c r="H761" s="1342">
        <f t="shared" si="424"/>
        <v>1.7686956521739128</v>
      </c>
      <c r="I761" s="1342">
        <f t="shared" si="424"/>
        <v>1.7686956521739128</v>
      </c>
      <c r="J761" s="1343">
        <f t="shared" ref="J761:L763" si="427">I761</f>
        <v>1.7686956521739128</v>
      </c>
      <c r="K761" s="1343">
        <f t="shared" si="427"/>
        <v>1.7686956521739128</v>
      </c>
      <c r="L761" s="1343">
        <f t="shared" si="427"/>
        <v>1.7686956521739128</v>
      </c>
      <c r="M761" s="1343">
        <f>L761</f>
        <v>1.7686956521739128</v>
      </c>
      <c r="N761" s="1587">
        <f t="shared" si="425"/>
        <v>1.7686956521739128</v>
      </c>
      <c r="O761" s="1343">
        <f t="shared" si="425"/>
        <v>1.7686956521739128</v>
      </c>
      <c r="P761" s="1343">
        <f t="shared" si="426"/>
        <v>1.7686956521739128</v>
      </c>
      <c r="Q761" s="1343"/>
      <c r="R761" s="1343"/>
      <c r="S761" s="1343"/>
    </row>
    <row r="762" spans="2:51">
      <c r="B762" s="302" t="s">
        <v>1126</v>
      </c>
      <c r="D762" s="39" t="s">
        <v>1122</v>
      </c>
      <c r="G762" s="1342">
        <f t="shared" si="424"/>
        <v>1.9371428571428568</v>
      </c>
      <c r="H762" s="1342">
        <f t="shared" si="424"/>
        <v>1.9371428571428568</v>
      </c>
      <c r="I762" s="1342">
        <f t="shared" si="424"/>
        <v>1.9371428571428568</v>
      </c>
      <c r="J762" s="1343">
        <f t="shared" si="427"/>
        <v>1.9371428571428568</v>
      </c>
      <c r="K762" s="1343">
        <f t="shared" si="427"/>
        <v>1.9371428571428568</v>
      </c>
      <c r="L762" s="1343">
        <f t="shared" si="427"/>
        <v>1.9371428571428568</v>
      </c>
      <c r="M762" s="1343">
        <f>L762</f>
        <v>1.9371428571428568</v>
      </c>
      <c r="N762" s="1587">
        <f t="shared" si="425"/>
        <v>1.9371428571428568</v>
      </c>
      <c r="O762" s="1343">
        <f t="shared" si="425"/>
        <v>1.9371428571428568</v>
      </c>
      <c r="P762" s="1343">
        <f t="shared" si="426"/>
        <v>1.9371428571428568</v>
      </c>
      <c r="Q762" s="1343"/>
      <c r="R762" s="1343"/>
      <c r="S762" s="1343"/>
    </row>
    <row r="763" spans="2:51">
      <c r="B763" s="302" t="s">
        <v>1127</v>
      </c>
      <c r="D763" s="39" t="s">
        <v>1123</v>
      </c>
      <c r="G763" s="1342">
        <f t="shared" si="424"/>
        <v>2.0088888888888885</v>
      </c>
      <c r="H763" s="1342">
        <f t="shared" si="424"/>
        <v>2.0088888888888885</v>
      </c>
      <c r="I763" s="1342">
        <f t="shared" si="424"/>
        <v>2.0088888888888885</v>
      </c>
      <c r="J763" s="1343">
        <f t="shared" si="427"/>
        <v>2.0088888888888885</v>
      </c>
      <c r="K763" s="1343">
        <f t="shared" si="427"/>
        <v>2.0088888888888885</v>
      </c>
      <c r="L763" s="1343">
        <f t="shared" si="427"/>
        <v>2.0088888888888885</v>
      </c>
      <c r="M763" s="1343">
        <f>L763</f>
        <v>2.0088888888888885</v>
      </c>
      <c r="N763" s="1587">
        <f t="shared" si="425"/>
        <v>2.0088888888888885</v>
      </c>
      <c r="O763" s="1343">
        <f t="shared" si="425"/>
        <v>2.0088888888888885</v>
      </c>
      <c r="P763" s="1343">
        <f t="shared" si="426"/>
        <v>2.0088888888888885</v>
      </c>
      <c r="Q763" s="1343"/>
      <c r="R763" s="1343"/>
      <c r="S763" s="1343"/>
    </row>
    <row r="764" spans="2:51" s="37" customFormat="1">
      <c r="B764" s="760" t="s">
        <v>1347</v>
      </c>
      <c r="C764" s="760"/>
      <c r="D764" s="760"/>
      <c r="E764" s="396"/>
      <c r="F764" s="396"/>
      <c r="G764" s="1344">
        <f t="shared" ref="G764:P764" si="428">SUMPRODUCT(G760:G763,G75:G78)/G74</f>
        <v>1.7564489758974036</v>
      </c>
      <c r="H764" s="1344">
        <f t="shared" si="428"/>
        <v>1.7558416268694303</v>
      </c>
      <c r="I764" s="1344">
        <f t="shared" si="428"/>
        <v>1.738293921521886</v>
      </c>
      <c r="J764" s="1344">
        <f t="shared" si="428"/>
        <v>1.732293451959783</v>
      </c>
      <c r="K764" s="1344">
        <f t="shared" si="428"/>
        <v>1.7242709294485477</v>
      </c>
      <c r="L764" s="1344">
        <f t="shared" si="428"/>
        <v>1.7179742968638287</v>
      </c>
      <c r="M764" s="1344">
        <f t="shared" si="428"/>
        <v>1.7152934931642567</v>
      </c>
      <c r="N764" s="1588">
        <f t="shared" si="428"/>
        <v>1.7214541696654238</v>
      </c>
      <c r="O764" s="1344">
        <f t="shared" si="428"/>
        <v>1.7255964603617884</v>
      </c>
      <c r="P764" s="1344">
        <f t="shared" si="428"/>
        <v>1.7227371124374429</v>
      </c>
      <c r="Q764" s="1344"/>
      <c r="R764" s="1344"/>
      <c r="S764" s="1344"/>
      <c r="T764" s="944"/>
      <c r="U764" s="760"/>
      <c r="V764" s="396"/>
      <c r="W764" s="396"/>
      <c r="X764" s="396"/>
      <c r="Y764" s="396"/>
      <c r="Z764" s="396"/>
      <c r="AA764" s="396"/>
      <c r="AB764" s="396"/>
      <c r="AC764" s="396"/>
      <c r="AD764" s="396"/>
      <c r="AE764" s="396"/>
      <c r="AF764" s="396"/>
      <c r="AG764" s="396"/>
      <c r="AH764" s="396"/>
      <c r="AI764" s="396"/>
      <c r="AJ764" s="396"/>
      <c r="AK764" s="396"/>
      <c r="AL764" s="396"/>
      <c r="AM764" s="396"/>
      <c r="AN764" s="396"/>
      <c r="AO764" s="396"/>
      <c r="AP764" s="396"/>
      <c r="AQ764" s="396"/>
      <c r="AR764" s="396"/>
      <c r="AS764" s="396"/>
      <c r="AT764" s="396"/>
      <c r="AU764" s="396"/>
      <c r="AV764" s="396"/>
      <c r="AW764" s="396"/>
      <c r="AX764" s="396"/>
      <c r="AY764" s="944"/>
    </row>
    <row r="769" spans="2:51" s="305" customFormat="1">
      <c r="B769" s="1250" t="s">
        <v>1361</v>
      </c>
      <c r="C769" s="910"/>
      <c r="D769" s="911"/>
      <c r="E769" s="912"/>
      <c r="F769" s="912">
        <v>2017</v>
      </c>
      <c r="G769" s="912">
        <v>2018</v>
      </c>
      <c r="H769" s="912">
        <v>2019</v>
      </c>
      <c r="I769" s="912">
        <v>2020</v>
      </c>
      <c r="J769" s="912">
        <v>2021</v>
      </c>
      <c r="K769" s="912">
        <v>2022</v>
      </c>
      <c r="L769" s="912">
        <v>2023</v>
      </c>
      <c r="M769" s="912">
        <v>2024</v>
      </c>
      <c r="N769" s="1562" t="s">
        <v>1071</v>
      </c>
      <c r="O769" s="912" t="s">
        <v>1096</v>
      </c>
      <c r="P769" s="912" t="s">
        <v>1401</v>
      </c>
      <c r="Q769" s="1229"/>
      <c r="R769" s="1229"/>
      <c r="S769" s="1229"/>
      <c r="T769" s="948"/>
      <c r="U769" s="911"/>
      <c r="V769" s="912"/>
      <c r="W769" s="912"/>
      <c r="X769" s="912"/>
      <c r="Y769" s="912"/>
      <c r="Z769" s="912"/>
      <c r="AA769" s="912"/>
      <c r="AB769" s="912"/>
      <c r="AC769" s="912"/>
      <c r="AD769" s="912"/>
      <c r="AE769" s="912"/>
      <c r="AF769" s="912"/>
      <c r="AG769" s="912"/>
      <c r="AH769" s="1229"/>
      <c r="AI769" s="1229"/>
      <c r="AJ769" s="1229"/>
      <c r="AK769" s="1229"/>
      <c r="AL769" s="1229"/>
      <c r="AM769" s="1229"/>
      <c r="AN769" s="1229"/>
      <c r="AO769" s="1229"/>
      <c r="AP769" s="1229"/>
      <c r="AQ769" s="1229"/>
      <c r="AR769" s="1229"/>
      <c r="AS769" s="1229"/>
      <c r="AT769" s="1229"/>
      <c r="AU769" s="1229"/>
      <c r="AV769" s="1229"/>
      <c r="AW769" s="1229"/>
      <c r="AX769" s="1229"/>
      <c r="AY769" s="948"/>
    </row>
    <row r="770" spans="2:51">
      <c r="B770" s="39" t="s">
        <v>1362</v>
      </c>
      <c r="L770" s="751">
        <f t="shared" ref="L770:P770" si="429">L9</f>
        <v>11262.79408329</v>
      </c>
      <c r="M770" s="751">
        <f t="shared" si="429"/>
        <v>15838.851828270001</v>
      </c>
      <c r="N770" s="1589">
        <f t="shared" si="429"/>
        <v>20991.91050367153</v>
      </c>
      <c r="O770" s="751">
        <f t="shared" si="429"/>
        <v>25403.508464190782</v>
      </c>
      <c r="P770" s="751">
        <f t="shared" si="429"/>
        <v>29791.986591844819</v>
      </c>
    </row>
    <row r="771" spans="2:51">
      <c r="B771" s="302" t="s">
        <v>1363</v>
      </c>
      <c r="G771" s="1364">
        <f t="shared" ref="G771:P771" si="430">G11</f>
        <v>2885.4971</v>
      </c>
      <c r="H771" s="1364">
        <f t="shared" si="430"/>
        <v>4003.0305000000003</v>
      </c>
      <c r="I771" s="1364">
        <f t="shared" si="430"/>
        <v>4655.1538</v>
      </c>
      <c r="J771" s="1364">
        <f t="shared" si="430"/>
        <v>6591.89787918</v>
      </c>
      <c r="K771" s="1364">
        <f t="shared" si="430"/>
        <v>8172.3068279999998</v>
      </c>
      <c r="L771" s="1364">
        <f t="shared" si="430"/>
        <v>10336.009</v>
      </c>
      <c r="M771" s="751">
        <f t="shared" si="430"/>
        <v>13303.58428814</v>
      </c>
      <c r="N771" s="1589">
        <f t="shared" si="430"/>
        <v>15936.363618762907</v>
      </c>
      <c r="O771" s="751">
        <f t="shared" si="430"/>
        <v>18645.5454339526</v>
      </c>
      <c r="P771" s="751">
        <f t="shared" si="430"/>
        <v>21255.921794705966</v>
      </c>
      <c r="Q771" s="751"/>
      <c r="R771" s="751"/>
      <c r="S771" s="751"/>
      <c r="AF771" s="1634">
        <f>M771/L771-1</f>
        <v>0.28711036224329911</v>
      </c>
      <c r="AG771" s="1634">
        <f>N771/M771-1</f>
        <v>0.19789999999999996</v>
      </c>
      <c r="AH771" s="1634">
        <f>O771/N771-1</f>
        <v>0.16999999999999993</v>
      </c>
      <c r="AI771" s="1634">
        <f>P771/O771-1</f>
        <v>0.14000000000000012</v>
      </c>
      <c r="AJ771" s="1634"/>
      <c r="AK771" s="1634"/>
      <c r="AL771" s="1634"/>
      <c r="AM771" s="1634"/>
    </row>
    <row r="772" spans="2:51">
      <c r="B772" s="302" t="s">
        <v>1367</v>
      </c>
      <c r="G772" s="1364">
        <f t="shared" ref="G772:P772" si="431">G12</f>
        <v>135.6807</v>
      </c>
      <c r="H772" s="1364">
        <f t="shared" si="431"/>
        <v>188.77680000000001</v>
      </c>
      <c r="I772" s="1364">
        <f t="shared" si="431"/>
        <v>280.5093</v>
      </c>
      <c r="J772" s="1364">
        <f t="shared" si="431"/>
        <v>371.94956093000002</v>
      </c>
      <c r="K772" s="1364">
        <f t="shared" si="431"/>
        <v>319.02572300000003</v>
      </c>
      <c r="L772" s="1364">
        <f t="shared" si="431"/>
        <v>914.47520785999995</v>
      </c>
      <c r="M772" s="751">
        <f t="shared" si="431"/>
        <v>2518.1798534899999</v>
      </c>
      <c r="N772" s="1589">
        <f t="shared" si="431"/>
        <v>5031.826983243719</v>
      </c>
      <c r="O772" s="751">
        <f t="shared" si="431"/>
        <v>6725.0367631052313</v>
      </c>
      <c r="P772" s="751">
        <f t="shared" si="431"/>
        <v>8490.3589134203539</v>
      </c>
      <c r="Q772" s="751"/>
      <c r="R772" s="751"/>
      <c r="S772" s="751"/>
      <c r="AF772" s="1634"/>
      <c r="AG772" s="1634"/>
      <c r="AH772" s="1634"/>
      <c r="AI772" s="1634"/>
    </row>
    <row r="773" spans="2:51" ht="22.5">
      <c r="B773" s="1363" t="s">
        <v>1565</v>
      </c>
      <c r="L773" s="751">
        <f t="shared" ref="L773:P773" si="432">L188</f>
        <v>393.04205623208981</v>
      </c>
      <c r="M773" s="751">
        <f t="shared" si="432"/>
        <v>1495.01406929</v>
      </c>
      <c r="N773" s="1589">
        <f t="shared" si="432"/>
        <v>3303.9810931308998</v>
      </c>
      <c r="O773" s="751">
        <f t="shared" si="432"/>
        <v>4493.4142866580232</v>
      </c>
      <c r="P773" s="751">
        <f t="shared" si="432"/>
        <v>5684.1690726223997</v>
      </c>
      <c r="Q773" s="751"/>
      <c r="R773" s="751"/>
      <c r="S773" s="751"/>
      <c r="AF773" s="1634">
        <f>M773/L773-1</f>
        <v>2.8037000000000001</v>
      </c>
      <c r="AG773" s="1634">
        <f>N773/M773-1</f>
        <v>1.21</v>
      </c>
      <c r="AH773" s="1634">
        <f>O773/N773-1</f>
        <v>0.35999999999999988</v>
      </c>
      <c r="AI773" s="1634">
        <f>P773/O773-1</f>
        <v>0.26500000000000012</v>
      </c>
    </row>
    <row r="774" spans="2:51">
      <c r="B774" s="1363" t="s">
        <v>1564</v>
      </c>
      <c r="L774" s="751">
        <f t="shared" ref="L774:P774" si="433">L193</f>
        <v>182.48672142402921</v>
      </c>
      <c r="M774" s="751">
        <f t="shared" si="433"/>
        <v>319.35176249205114</v>
      </c>
      <c r="N774" s="1589">
        <f t="shared" si="433"/>
        <v>450</v>
      </c>
      <c r="O774" s="751">
        <f t="shared" si="433"/>
        <v>550</v>
      </c>
      <c r="P774" s="751">
        <f t="shared" si="433"/>
        <v>700</v>
      </c>
      <c r="Q774" s="751"/>
      <c r="R774" s="751"/>
      <c r="S774" s="751"/>
      <c r="AF774" s="1634"/>
      <c r="AG774" s="1634"/>
      <c r="AH774" s="1634"/>
      <c r="AI774" s="1634"/>
    </row>
    <row r="775" spans="2:51">
      <c r="B775" s="1363" t="s">
        <v>1364</v>
      </c>
      <c r="M775" s="751">
        <f t="shared" ref="M775:P777" si="434">M194</f>
        <v>80</v>
      </c>
      <c r="N775" s="1589">
        <f t="shared" si="434"/>
        <v>100</v>
      </c>
      <c r="O775" s="751">
        <f t="shared" si="434"/>
        <v>130</v>
      </c>
      <c r="P775" s="751">
        <f t="shared" si="434"/>
        <v>169</v>
      </c>
      <c r="Q775" s="751"/>
      <c r="R775" s="751"/>
      <c r="S775" s="751"/>
      <c r="AF775" s="1634"/>
      <c r="AG775" s="1634"/>
      <c r="AH775" s="1634"/>
      <c r="AI775" s="1634"/>
    </row>
    <row r="776" spans="2:51">
      <c r="B776" s="1363" t="s">
        <v>1365</v>
      </c>
      <c r="M776" s="751">
        <f t="shared" si="434"/>
        <v>150</v>
      </c>
      <c r="N776" s="1589">
        <f t="shared" si="434"/>
        <v>250</v>
      </c>
      <c r="O776" s="751">
        <f t="shared" si="434"/>
        <v>312.5</v>
      </c>
      <c r="P776" s="751">
        <f t="shared" si="434"/>
        <v>390.625</v>
      </c>
      <c r="Q776" s="751"/>
      <c r="R776" s="751"/>
      <c r="S776" s="751"/>
      <c r="AF776" s="1634"/>
      <c r="AG776" s="1634"/>
      <c r="AH776" s="1634"/>
      <c r="AI776" s="1634"/>
    </row>
    <row r="777" spans="2:51" ht="22.5">
      <c r="B777" s="1363" t="s">
        <v>1776</v>
      </c>
      <c r="L777" s="1589">
        <f>L196</f>
        <v>0</v>
      </c>
      <c r="M777" s="751">
        <f t="shared" si="434"/>
        <v>132</v>
      </c>
      <c r="N777" s="1589">
        <f t="shared" si="434"/>
        <v>800</v>
      </c>
      <c r="O777" s="751">
        <f t="shared" si="434"/>
        <v>1300</v>
      </c>
      <c r="P777" s="751">
        <f t="shared" si="434"/>
        <v>1654.25</v>
      </c>
      <c r="Q777" s="751"/>
      <c r="R777" s="751"/>
      <c r="S777" s="751"/>
      <c r="AF777" s="1634"/>
      <c r="AG777" s="1634">
        <f>N777/M777-1</f>
        <v>5.0606060606060606</v>
      </c>
      <c r="AH777" s="1634">
        <f>O777/N777-1</f>
        <v>0.625</v>
      </c>
      <c r="AI777" s="1634">
        <f>P777/O777-1</f>
        <v>0.27249999999999996</v>
      </c>
    </row>
    <row r="778" spans="2:51">
      <c r="B778" s="1363" t="s">
        <v>1566</v>
      </c>
      <c r="L778" s="751">
        <f t="shared" ref="L778:P778" si="435">L772-L773-L774-L775-L776-L777</f>
        <v>338.94643020388088</v>
      </c>
      <c r="M778" s="751">
        <f t="shared" si="435"/>
        <v>341.81402170794877</v>
      </c>
      <c r="N778" s="1589">
        <f t="shared" si="435"/>
        <v>127.84589011281923</v>
      </c>
      <c r="O778" s="751">
        <f t="shared" si="435"/>
        <v>-60.877523552791899</v>
      </c>
      <c r="P778" s="751">
        <f t="shared" si="435"/>
        <v>-107.68515920204572</v>
      </c>
      <c r="Q778" s="751"/>
      <c r="R778" s="751"/>
      <c r="S778" s="751"/>
      <c r="AF778" s="1634">
        <f>M778/L778-1</f>
        <v>8.4603089117740726E-3</v>
      </c>
      <c r="AG778" s="1634">
        <f>N778/M778-1</f>
        <v>-0.62597821624165917</v>
      </c>
      <c r="AH778" s="1634">
        <f>O778/N778-1</f>
        <v>-1.4761789643692866</v>
      </c>
      <c r="AI778" s="1634">
        <f>P778/O778-1</f>
        <v>0.76888205888767924</v>
      </c>
    </row>
    <row r="779" spans="2:51">
      <c r="B779" s="39" t="s">
        <v>1398</v>
      </c>
      <c r="L779" s="1199">
        <f t="shared" ref="L779:O779" si="436">L772/L9</f>
        <v>8.1194346722254063E-2</v>
      </c>
      <c r="M779" s="1199">
        <f t="shared" si="436"/>
        <v>0.15898752515604839</v>
      </c>
      <c r="N779" s="1579">
        <f t="shared" si="436"/>
        <v>0.23970314576006038</v>
      </c>
      <c r="O779" s="1199">
        <f t="shared" si="436"/>
        <v>0.26472866031811937</v>
      </c>
      <c r="P779" s="1199">
        <f>P772/P9</f>
        <v>0.28498800800831731</v>
      </c>
      <c r="Q779" s="1199"/>
      <c r="R779" s="1199"/>
      <c r="S779" s="1199"/>
      <c r="AF779" s="1634">
        <f>M779/L779-1</f>
        <v>0.95811077463195438</v>
      </c>
      <c r="AG779" s="1634">
        <f>N779/M779-1</f>
        <v>0.50768524464286457</v>
      </c>
      <c r="AH779" s="1634">
        <f>O779/N779-1</f>
        <v>0.10440211153135714</v>
      </c>
      <c r="AI779" s="1634">
        <f>P779/O779-1</f>
        <v>7.6528728192303275E-2</v>
      </c>
    </row>
    <row r="780" spans="2:51">
      <c r="B780" s="39" t="s">
        <v>1254</v>
      </c>
      <c r="AF780" s="1634"/>
      <c r="AG780" s="1634"/>
      <c r="AH780" s="1634"/>
      <c r="AI780" s="1634"/>
    </row>
    <row r="781" spans="2:51">
      <c r="B781" s="302" t="s">
        <v>1363</v>
      </c>
      <c r="F781" s="596"/>
      <c r="G781" s="1368">
        <f t="shared" ref="G781:P781" si="437">G41</f>
        <v>0.48082349484946629</v>
      </c>
      <c r="H781" s="1368">
        <f t="shared" si="437"/>
        <v>0.49011272834418834</v>
      </c>
      <c r="I781" s="1368">
        <f t="shared" si="437"/>
        <v>0.48666563927490419</v>
      </c>
      <c r="J781" s="1368">
        <f t="shared" si="437"/>
        <v>0.46088722574050672</v>
      </c>
      <c r="K781" s="1368">
        <f t="shared" si="437"/>
        <v>0.43263658824044338</v>
      </c>
      <c r="L781" s="1368">
        <f t="shared" si="437"/>
        <v>0.45324725631711432</v>
      </c>
      <c r="M781" s="1367">
        <f t="shared" si="437"/>
        <v>0.48207044690349776</v>
      </c>
      <c r="N781" s="1590">
        <f t="shared" si="437"/>
        <v>0.50864915934152377</v>
      </c>
      <c r="O781" s="1367">
        <f t="shared" si="437"/>
        <v>0.52093293035798571</v>
      </c>
      <c r="P781" s="1367">
        <f t="shared" si="437"/>
        <v>0.52093293035798571</v>
      </c>
      <c r="Q781" s="1367"/>
      <c r="R781" s="1367"/>
      <c r="S781" s="1367"/>
      <c r="AF781" s="1634">
        <f>M781/L781-1</f>
        <v>6.3592642171930391E-2</v>
      </c>
      <c r="AG781" s="1634">
        <f>N781/M781-1</f>
        <v>5.5134498720571079E-2</v>
      </c>
      <c r="AH781" s="1634">
        <f>O781/N781-1</f>
        <v>2.4149791247790597E-2</v>
      </c>
      <c r="AI781" s="1634">
        <f>P781/O781-1</f>
        <v>0</v>
      </c>
    </row>
    <row r="782" spans="2:51">
      <c r="B782" s="302" t="s">
        <v>1367</v>
      </c>
      <c r="F782" s="596"/>
      <c r="G782" s="1368">
        <f t="shared" ref="G782:P782" si="438">G42</f>
        <v>-2.5655822825206492E-2</v>
      </c>
      <c r="H782" s="1368">
        <f t="shared" si="438"/>
        <v>-4.7516432103944968E-2</v>
      </c>
      <c r="I782" s="1368">
        <f t="shared" si="438"/>
        <v>7.9394872112974565E-2</v>
      </c>
      <c r="J782" s="1368">
        <f t="shared" si="438"/>
        <v>0.13000050815787906</v>
      </c>
      <c r="K782" s="1368">
        <f t="shared" si="438"/>
        <v>0.1706741120683864</v>
      </c>
      <c r="L782" s="1368">
        <f t="shared" si="438"/>
        <v>0.17250953170088706</v>
      </c>
      <c r="M782" s="1367">
        <f t="shared" si="438"/>
        <v>0.26688507607531325</v>
      </c>
      <c r="N782" s="1590">
        <f t="shared" si="438"/>
        <v>0.25932719026165674</v>
      </c>
      <c r="O782" s="1367">
        <f t="shared" si="438"/>
        <v>0.2855125926261437</v>
      </c>
      <c r="P782" s="1367">
        <f t="shared" si="438"/>
        <v>0.31380912361124691</v>
      </c>
      <c r="Q782" s="1367"/>
      <c r="R782" s="1367"/>
      <c r="S782" s="1367"/>
    </row>
    <row r="783" spans="2:51">
      <c r="B783" s="1363" t="s">
        <v>1260</v>
      </c>
      <c r="L783" s="1366">
        <v>0.19</v>
      </c>
      <c r="M783" s="2191">
        <v>0.26</v>
      </c>
      <c r="N783" s="2095">
        <v>0.3</v>
      </c>
      <c r="O783" s="1366">
        <v>0.34</v>
      </c>
      <c r="P783" s="1366">
        <v>0.34</v>
      </c>
      <c r="Q783" s="1366"/>
      <c r="R783" s="1366"/>
      <c r="S783" s="1366"/>
    </row>
    <row r="784" spans="2:51">
      <c r="B784" s="1363" t="s">
        <v>1261</v>
      </c>
      <c r="L784" s="1366">
        <v>0.19</v>
      </c>
      <c r="M784" s="2191">
        <v>0.23</v>
      </c>
      <c r="N784" s="2095">
        <v>0.25</v>
      </c>
      <c r="O784" s="1366">
        <v>0.28000000000000003</v>
      </c>
      <c r="P784" s="1366">
        <v>0.28000000000000003</v>
      </c>
      <c r="Q784" s="1366"/>
      <c r="R784" s="1366"/>
      <c r="S784" s="1366"/>
    </row>
    <row r="785" spans="2:51">
      <c r="B785" s="1363" t="s">
        <v>1364</v>
      </c>
      <c r="L785" s="1366" t="s">
        <v>1376</v>
      </c>
      <c r="M785" s="2191">
        <v>0.17</v>
      </c>
      <c r="N785" s="2095">
        <v>0.2</v>
      </c>
      <c r="O785" s="1366">
        <v>0.22</v>
      </c>
      <c r="P785" s="1366">
        <v>0.22</v>
      </c>
      <c r="Q785" s="1366"/>
      <c r="R785" s="1366"/>
      <c r="S785" s="1366"/>
    </row>
    <row r="786" spans="2:51">
      <c r="B786" s="1363" t="s">
        <v>1365</v>
      </c>
      <c r="L786" s="1366"/>
      <c r="M786" s="2191">
        <v>0.17</v>
      </c>
      <c r="N786" s="2095">
        <v>0.2</v>
      </c>
      <c r="O786" s="1366">
        <v>0.22</v>
      </c>
      <c r="P786" s="1366">
        <v>0.22</v>
      </c>
      <c r="Q786" s="1366"/>
      <c r="R786" s="1366"/>
      <c r="S786" s="1366"/>
    </row>
    <row r="787" spans="2:51">
      <c r="B787" s="1363" t="s">
        <v>1366</v>
      </c>
      <c r="L787" s="1366"/>
      <c r="M787" s="2191">
        <v>0.12</v>
      </c>
      <c r="N787" s="2095">
        <v>0.15</v>
      </c>
      <c r="O787" s="1366">
        <v>0.15</v>
      </c>
      <c r="P787" s="1366">
        <v>0.15</v>
      </c>
      <c r="Q787" s="1366"/>
      <c r="R787" s="1366"/>
      <c r="S787" s="1366"/>
    </row>
    <row r="788" spans="2:51">
      <c r="B788" s="1363" t="s">
        <v>207</v>
      </c>
      <c r="L788" s="1366">
        <v>0.14499999999999999</v>
      </c>
      <c r="M788" s="2191">
        <v>0.112</v>
      </c>
      <c r="N788" s="2095">
        <v>0.12</v>
      </c>
      <c r="O788" s="1366">
        <v>0.14000000000000001</v>
      </c>
      <c r="P788" s="1366">
        <v>0.14000000000000001</v>
      </c>
      <c r="Q788" s="1366"/>
      <c r="R788" s="1366"/>
      <c r="S788" s="1366"/>
    </row>
    <row r="789" spans="2:51" s="38" customFormat="1">
      <c r="B789" s="1252" t="s">
        <v>1369</v>
      </c>
      <c r="C789" s="1251"/>
      <c r="D789" s="1251"/>
      <c r="E789" s="869"/>
      <c r="F789" s="869"/>
      <c r="G789" s="869"/>
      <c r="H789" s="869"/>
      <c r="I789" s="869"/>
      <c r="J789" s="869"/>
      <c r="K789" s="869"/>
      <c r="L789" s="872">
        <f t="shared" ref="L789:P789" si="439">SUMPRODUCT(L773:L778,L783:L788)/L772</f>
        <v>0.17332093726754183</v>
      </c>
      <c r="M789" s="872">
        <f t="shared" si="439"/>
        <v>0.22054728658485298</v>
      </c>
      <c r="N789" s="1591">
        <f t="shared" si="439"/>
        <v>0.26015120136522474</v>
      </c>
      <c r="O789" s="872">
        <f t="shared" si="439"/>
        <v>0.2922791463312005</v>
      </c>
      <c r="P789" s="872">
        <f t="shared" si="439"/>
        <v>0.29266095670887543</v>
      </c>
      <c r="Q789" s="872"/>
      <c r="R789" s="872"/>
      <c r="S789" s="872"/>
      <c r="T789" s="945"/>
      <c r="U789" s="1251"/>
      <c r="V789" s="869"/>
      <c r="W789" s="869"/>
      <c r="X789" s="869"/>
      <c r="Y789" s="869"/>
      <c r="Z789" s="869"/>
      <c r="AA789" s="869"/>
      <c r="AB789" s="869"/>
      <c r="AC789" s="869"/>
      <c r="AD789" s="869"/>
      <c r="AE789" s="869"/>
      <c r="AF789" s="869"/>
      <c r="AG789" s="869"/>
      <c r="AH789" s="869"/>
      <c r="AI789" s="869"/>
      <c r="AJ789" s="869"/>
      <c r="AK789" s="869"/>
      <c r="AL789" s="869"/>
      <c r="AM789" s="869"/>
      <c r="AN789" s="869"/>
      <c r="AO789" s="869"/>
      <c r="AP789" s="869"/>
      <c r="AQ789" s="869"/>
      <c r="AR789" s="869"/>
      <c r="AS789" s="869"/>
      <c r="AT789" s="869"/>
      <c r="AU789" s="869"/>
      <c r="AV789" s="869"/>
      <c r="AW789" s="869"/>
      <c r="AX789" s="869"/>
      <c r="AY789" s="945"/>
    </row>
    <row r="790" spans="2:51">
      <c r="L790" s="1634" t="e">
        <f t="shared" ref="L790:M790" si="440">L777/K777-1</f>
        <v>#DIV/0!</v>
      </c>
      <c r="M790" s="1634" t="e">
        <f t="shared" si="440"/>
        <v>#DIV/0!</v>
      </c>
      <c r="N790" s="1634">
        <f>N777/M777-1</f>
        <v>5.0606060606060606</v>
      </c>
      <c r="O790" s="1634">
        <f>O777/N777-1</f>
        <v>0.625</v>
      </c>
      <c r="P790" s="1634">
        <f t="shared" ref="P790" si="441">P777/O777-1</f>
        <v>0.27249999999999996</v>
      </c>
    </row>
    <row r="791" spans="2:51">
      <c r="L791" s="34">
        <v>1</v>
      </c>
      <c r="M791" s="2192">
        <v>1</v>
      </c>
      <c r="N791" s="1489">
        <v>1</v>
      </c>
      <c r="O791" s="34">
        <v>1</v>
      </c>
      <c r="P791" s="34">
        <v>1</v>
      </c>
    </row>
    <row r="792" spans="2:51">
      <c r="B792" s="39" t="s">
        <v>1367</v>
      </c>
      <c r="L792" s="1589">
        <f t="shared" ref="L792:P792" si="442">L772-L773-L777</f>
        <v>521.43315162791009</v>
      </c>
      <c r="M792" s="751">
        <f t="shared" si="442"/>
        <v>891.16578419999996</v>
      </c>
      <c r="N792" s="2070">
        <f t="shared" si="442"/>
        <v>927.84589011281923</v>
      </c>
      <c r="O792" s="2070">
        <f t="shared" si="442"/>
        <v>931.6224764472081</v>
      </c>
      <c r="P792" s="2070">
        <f t="shared" si="442"/>
        <v>1151.9398407979543</v>
      </c>
    </row>
    <row r="794" spans="2:51" s="305" customFormat="1">
      <c r="B794" s="1250" t="s">
        <v>1673</v>
      </c>
      <c r="C794" s="910"/>
      <c r="D794" s="911"/>
      <c r="E794" s="912"/>
      <c r="F794" s="912"/>
      <c r="G794" s="912"/>
      <c r="H794" s="912"/>
      <c r="I794" s="912"/>
      <c r="J794" s="912"/>
      <c r="K794" s="912"/>
      <c r="L794" s="912"/>
      <c r="M794" s="912"/>
      <c r="N794" s="1562"/>
      <c r="O794" s="912"/>
      <c r="P794" s="912"/>
      <c r="Q794" s="1229"/>
      <c r="R794" s="1229"/>
      <c r="S794" s="1229"/>
      <c r="T794" s="948"/>
      <c r="U794" s="911"/>
      <c r="V794" s="912"/>
      <c r="W794" s="912"/>
      <c r="X794" s="912"/>
      <c r="Y794" s="912"/>
      <c r="Z794" s="912"/>
      <c r="AA794" s="912"/>
      <c r="AB794" s="912"/>
      <c r="AC794" s="912"/>
      <c r="AD794" s="912"/>
      <c r="AE794" s="912"/>
      <c r="AF794" s="912"/>
      <c r="AG794" s="912"/>
      <c r="AH794" s="1229"/>
      <c r="AI794" s="1229"/>
      <c r="AJ794" s="1229"/>
      <c r="AK794" s="1229"/>
      <c r="AL794" s="1229"/>
      <c r="AM794" s="1229"/>
      <c r="AN794" s="1229"/>
      <c r="AO794" s="1229"/>
      <c r="AP794" s="1229"/>
      <c r="AQ794" s="1229"/>
      <c r="AR794" s="1229"/>
      <c r="AS794" s="1229"/>
      <c r="AT794" s="1229"/>
      <c r="AU794" s="1229"/>
      <c r="AV794" s="1229"/>
      <c r="AW794" s="1229"/>
      <c r="AX794" s="1229"/>
      <c r="AY794" s="948"/>
    </row>
    <row r="795" spans="2:51">
      <c r="L795" s="34" t="s">
        <v>1675</v>
      </c>
    </row>
    <row r="796" spans="2:51">
      <c r="B796" s="1810">
        <v>45615</v>
      </c>
      <c r="L796" s="34" t="s">
        <v>53</v>
      </c>
      <c r="M796" s="2193">
        <v>15975</v>
      </c>
      <c r="N796" s="1489">
        <v>20536</v>
      </c>
      <c r="O796" s="34">
        <v>25322</v>
      </c>
    </row>
    <row r="797" spans="2:51">
      <c r="L797" s="34" t="s">
        <v>1674</v>
      </c>
      <c r="M797" s="2193">
        <v>13433</v>
      </c>
      <c r="N797" s="1489">
        <v>16571</v>
      </c>
      <c r="O797" s="34">
        <v>19684</v>
      </c>
    </row>
    <row r="798" spans="2:51">
      <c r="L798" s="34" t="s">
        <v>1337</v>
      </c>
      <c r="M798" s="2193">
        <v>2162</v>
      </c>
      <c r="N798" s="1489">
        <v>3187</v>
      </c>
      <c r="O798" s="34">
        <v>4276</v>
      </c>
    </row>
    <row r="800" spans="2:51">
      <c r="L800" s="34" t="s">
        <v>989</v>
      </c>
    </row>
    <row r="801" spans="2:16">
      <c r="L801" s="34" t="s">
        <v>53</v>
      </c>
      <c r="M801" s="751">
        <f>M9</f>
        <v>15838.851828270001</v>
      </c>
      <c r="N801" s="1589">
        <f>N9</f>
        <v>20991.91050367153</v>
      </c>
      <c r="O801" s="1589">
        <f>O9</f>
        <v>25403.508464190782</v>
      </c>
    </row>
    <row r="802" spans="2:16">
      <c r="L802" s="34" t="s">
        <v>1674</v>
      </c>
      <c r="M802" s="751">
        <f t="shared" ref="M802:O803" si="443">M11</f>
        <v>13303.58428814</v>
      </c>
      <c r="N802" s="1589">
        <f t="shared" si="443"/>
        <v>15936.363618762907</v>
      </c>
      <c r="O802" s="1589">
        <f t="shared" si="443"/>
        <v>18645.5454339526</v>
      </c>
    </row>
    <row r="803" spans="2:16">
      <c r="L803" s="34" t="s">
        <v>1337</v>
      </c>
      <c r="M803" s="751">
        <f t="shared" si="443"/>
        <v>2518.1798534899999</v>
      </c>
      <c r="N803" s="1589">
        <f t="shared" si="443"/>
        <v>5031.826983243719</v>
      </c>
      <c r="O803" s="1589">
        <f t="shared" si="443"/>
        <v>6725.0367631052313</v>
      </c>
    </row>
    <row r="805" spans="2:16">
      <c r="M805" s="1199">
        <f t="shared" ref="M805:O807" si="444">M801/M796-1</f>
        <v>-8.5225772600938665E-3</v>
      </c>
      <c r="N805" s="1579">
        <f t="shared" si="444"/>
        <v>2.2200550431998867E-2</v>
      </c>
      <c r="O805" s="1579">
        <f t="shared" si="444"/>
        <v>3.2188794009471167E-3</v>
      </c>
    </row>
    <row r="806" spans="2:16">
      <c r="M806" s="1199">
        <f t="shared" si="444"/>
        <v>-9.6341630209185736E-3</v>
      </c>
      <c r="N806" s="1579">
        <f t="shared" si="444"/>
        <v>-3.8298013471552261E-2</v>
      </c>
      <c r="O806" s="1579">
        <f t="shared" si="444"/>
        <v>-5.2756277486659231E-2</v>
      </c>
    </row>
    <row r="807" spans="2:16">
      <c r="M807" s="1199">
        <f t="shared" si="444"/>
        <v>0.16474553815448645</v>
      </c>
      <c r="N807" s="1579">
        <f t="shared" si="444"/>
        <v>0.57886005122175055</v>
      </c>
      <c r="O807" s="1579">
        <f t="shared" si="444"/>
        <v>0.57274012233518046</v>
      </c>
    </row>
    <row r="808" spans="2:16">
      <c r="M808" s="1199"/>
      <c r="N808" s="1579"/>
      <c r="O808" s="1579"/>
    </row>
    <row r="809" spans="2:16">
      <c r="N809" s="1579">
        <f>N771/M771-1</f>
        <v>0.19789999999999996</v>
      </c>
      <c r="O809" s="1579">
        <f>O771/N771-1</f>
        <v>0.16999999999999993</v>
      </c>
      <c r="P809" s="1579">
        <f>P771/O771-1</f>
        <v>0.14000000000000012</v>
      </c>
    </row>
    <row r="810" spans="2:16">
      <c r="L810" s="1579">
        <f t="shared" ref="L810:M810" si="445">L772/K772-1</f>
        <v>1.866462300470987</v>
      </c>
      <c r="M810" s="1579">
        <f t="shared" si="445"/>
        <v>1.7536884891421969</v>
      </c>
      <c r="N810" s="1579">
        <f>N772/M772-1</f>
        <v>0.99820000000000042</v>
      </c>
      <c r="O810" s="1579">
        <f t="shared" ref="O810:P811" si="446">O772/N772-1</f>
        <v>0.33650000000000024</v>
      </c>
      <c r="P810" s="1579">
        <f t="shared" si="446"/>
        <v>0.26249999999999996</v>
      </c>
    </row>
    <row r="811" spans="2:16" ht="22.5">
      <c r="B811" s="1363" t="s">
        <v>1565</v>
      </c>
      <c r="N811" s="1579">
        <f>N773/M773-1</f>
        <v>1.21</v>
      </c>
      <c r="O811" s="1579">
        <f>O773/N773-1</f>
        <v>0.35999999999999988</v>
      </c>
      <c r="P811" s="1579">
        <f t="shared" si="446"/>
        <v>0.26500000000000012</v>
      </c>
    </row>
    <row r="812" spans="2:16">
      <c r="B812" s="1363" t="s">
        <v>1564</v>
      </c>
      <c r="N812" s="1579">
        <f t="shared" ref="N812:P812" si="447">N774/M774-1</f>
        <v>0.40910448243165964</v>
      </c>
      <c r="O812" s="1579">
        <f t="shared" si="447"/>
        <v>0.22222222222222232</v>
      </c>
      <c r="P812" s="1579">
        <f t="shared" si="447"/>
        <v>0.27272727272727271</v>
      </c>
    </row>
    <row r="813" spans="2:16">
      <c r="B813" s="1363" t="s">
        <v>1364</v>
      </c>
      <c r="N813" s="1579">
        <f t="shared" ref="N813:P813" si="448">N775/M775-1</f>
        <v>0.25</v>
      </c>
      <c r="O813" s="1579">
        <f t="shared" si="448"/>
        <v>0.30000000000000004</v>
      </c>
      <c r="P813" s="1579">
        <f t="shared" si="448"/>
        <v>0.30000000000000004</v>
      </c>
    </row>
    <row r="814" spans="2:16">
      <c r="B814" s="1363" t="s">
        <v>1365</v>
      </c>
      <c r="N814" s="1579">
        <f t="shared" ref="N814:P814" si="449">N776/M776-1</f>
        <v>0.66666666666666674</v>
      </c>
      <c r="O814" s="1579">
        <f t="shared" si="449"/>
        <v>0.25</v>
      </c>
      <c r="P814" s="1579">
        <f t="shared" si="449"/>
        <v>0.25</v>
      </c>
    </row>
    <row r="815" spans="2:16" ht="22.5">
      <c r="B815" s="1363" t="s">
        <v>1776</v>
      </c>
      <c r="N815" s="1579">
        <f t="shared" ref="N815:P816" si="450">N777/M777-1</f>
        <v>5.0606060606060606</v>
      </c>
      <c r="O815" s="1579">
        <f t="shared" si="450"/>
        <v>0.625</v>
      </c>
      <c r="P815" s="1579">
        <f t="shared" si="450"/>
        <v>0.27249999999999996</v>
      </c>
    </row>
    <row r="816" spans="2:16">
      <c r="B816" s="1363" t="s">
        <v>1566</v>
      </c>
      <c r="N816" s="1579">
        <f t="shared" si="450"/>
        <v>-0.62597821624165917</v>
      </c>
      <c r="O816" s="1579">
        <f t="shared" si="450"/>
        <v>-1.4761789643692866</v>
      </c>
      <c r="P816" s="1579">
        <f t="shared" si="450"/>
        <v>0.76888205888767924</v>
      </c>
    </row>
  </sheetData>
  <printOptions horizontalCentered="1" verticalCentered="1"/>
  <pageMargins left="0.1" right="0.1" top="0.1" bottom="0.1" header="0.1" footer="0.1"/>
  <pageSetup paperSize="9" orientation="portrait" r:id="rId1"/>
  <headerFooter alignWithMargins="0"/>
  <customProperties>
    <customPr name="Qube.Worksheet.ID" r:id="rId2"/>
    <customPr name="Qube.Worksheet.Visibility" r:id="rId3"/>
  </customPropertie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1">
    <pageSetUpPr fitToPage="1"/>
  </sheetPr>
  <dimension ref="A1:AV300"/>
  <sheetViews>
    <sheetView showGridLines="0" zoomScaleNormal="100" workbookViewId="0"/>
  </sheetViews>
  <sheetFormatPr defaultColWidth="9" defaultRowHeight="14.25" customHeight="1" outlineLevelRow="4" outlineLevelCol="1"/>
  <cols>
    <col min="1" max="1" width="1.5" style="129" customWidth="1"/>
    <col min="2" max="2" width="28" style="129" customWidth="1"/>
    <col min="3" max="3" width="28" style="129" hidden="1" customWidth="1" outlineLevel="1"/>
    <col min="4" max="4" width="9" style="129" hidden="1" customWidth="1" outlineLevel="1" collapsed="1"/>
    <col min="5" max="7" width="9" style="129" hidden="1" customWidth="1" outlineLevel="1"/>
    <col min="8" max="8" width="9" style="196" hidden="1" customWidth="1" collapsed="1"/>
    <col min="9" max="9" width="9.5" style="129" hidden="1" customWidth="1"/>
    <col min="10" max="11" width="0" style="129" hidden="1" customWidth="1"/>
    <col min="12" max="12" width="0" style="196" hidden="1" customWidth="1" outlineLevel="1"/>
    <col min="13" max="15" width="0" style="129" hidden="1" customWidth="1" outlineLevel="1"/>
    <col min="16" max="16" width="9" style="196" collapsed="1"/>
    <col min="17" max="18" width="9" style="129"/>
    <col min="19" max="19" width="9" style="2146"/>
    <col min="20" max="21" width="9" style="129"/>
    <col min="22" max="22" width="9" style="129" customWidth="1"/>
    <col min="23" max="23" width="9" style="2146" customWidth="1"/>
    <col min="24" max="26" width="9" style="129"/>
    <col min="27" max="27" width="9" style="2146"/>
    <col min="28" max="31" width="9" style="129" customWidth="1" outlineLevel="1"/>
    <col min="32" max="35" width="9" style="129"/>
    <col min="36" max="36" width="9" style="129" customWidth="1"/>
    <col min="37" max="43" width="9" style="129"/>
    <col min="44" max="44" width="9" style="129" customWidth="1"/>
    <col min="45" max="16384" width="9" style="129"/>
  </cols>
  <sheetData>
    <row r="1" spans="1:31" s="706" customFormat="1" ht="10.5" customHeight="1">
      <c r="A1" s="705"/>
      <c r="B1" s="705"/>
      <c r="C1" s="705"/>
      <c r="H1" s="1653"/>
      <c r="L1" s="1653"/>
      <c r="P1" s="1653"/>
      <c r="S1" s="2134"/>
      <c r="W1" s="2134"/>
      <c r="AA1" s="2134"/>
    </row>
    <row r="2" spans="1:31" s="706" customFormat="1" ht="10.5" customHeight="1">
      <c r="A2" s="705"/>
      <c r="B2" s="705"/>
      <c r="C2" s="705"/>
      <c r="H2" s="1653"/>
      <c r="L2" s="1653"/>
      <c r="P2" s="1653"/>
      <c r="S2" s="2134"/>
      <c r="W2" s="2134"/>
      <c r="AA2" s="2134"/>
    </row>
    <row r="3" spans="1:31" s="706" customFormat="1" ht="7.5" customHeight="1">
      <c r="A3" s="705"/>
      <c r="B3" s="705"/>
      <c r="C3" s="705"/>
      <c r="H3" s="1653"/>
      <c r="L3" s="1653"/>
      <c r="P3" s="1653"/>
      <c r="S3" s="2134"/>
      <c r="W3" s="2239"/>
      <c r="AA3" s="2134"/>
    </row>
    <row r="4" spans="1:31" s="706" customFormat="1" ht="15" customHeight="1">
      <c r="A4" s="705"/>
      <c r="B4" s="705" t="s">
        <v>108</v>
      </c>
      <c r="C4" s="705"/>
      <c r="H4" s="1653"/>
      <c r="L4" s="1653"/>
      <c r="P4" s="1653"/>
      <c r="S4" s="2134"/>
      <c r="W4" s="2134"/>
      <c r="AA4" s="2134"/>
    </row>
    <row r="5" spans="1:31" ht="12" customHeight="1">
      <c r="A5" s="705"/>
      <c r="B5" s="1089"/>
      <c r="C5" s="1089"/>
      <c r="D5" s="1090" t="s">
        <v>1059</v>
      </c>
      <c r="E5" s="1090" t="s">
        <v>1067</v>
      </c>
      <c r="F5" s="1090" t="s">
        <v>1069</v>
      </c>
      <c r="G5" s="1090">
        <v>2020</v>
      </c>
      <c r="H5" s="1684" t="s">
        <v>1076</v>
      </c>
      <c r="I5" s="1090" t="s">
        <v>1094</v>
      </c>
      <c r="J5" s="1090" t="s">
        <v>1208</v>
      </c>
      <c r="K5" s="1090">
        <v>2021</v>
      </c>
      <c r="L5" s="1684" t="s">
        <v>1209</v>
      </c>
      <c r="M5" s="1090" t="s">
        <v>1210</v>
      </c>
      <c r="N5" s="1090" t="s">
        <v>1230</v>
      </c>
      <c r="O5" s="1194">
        <v>2022</v>
      </c>
      <c r="P5" s="1654" t="s">
        <v>1273</v>
      </c>
      <c r="Q5" s="1194" t="s">
        <v>1240</v>
      </c>
      <c r="R5" s="1194" t="s">
        <v>1274</v>
      </c>
      <c r="S5" s="2135">
        <v>2023</v>
      </c>
      <c r="T5" s="1194" t="s">
        <v>1275</v>
      </c>
      <c r="U5" s="1194" t="s">
        <v>1476</v>
      </c>
      <c r="V5" s="1194" t="s">
        <v>1548</v>
      </c>
      <c r="W5" s="2135">
        <v>2024</v>
      </c>
      <c r="X5" s="1194" t="s">
        <v>1758</v>
      </c>
      <c r="Y5" s="1194" t="s">
        <v>1751</v>
      </c>
      <c r="Z5" s="1194" t="s">
        <v>1650</v>
      </c>
      <c r="AA5" s="2135" t="s">
        <v>1071</v>
      </c>
      <c r="AB5" s="1194" t="s">
        <v>1787</v>
      </c>
      <c r="AC5" s="1194" t="s">
        <v>1782</v>
      </c>
      <c r="AD5" s="1194" t="s">
        <v>1783</v>
      </c>
      <c r="AE5" s="1194" t="s">
        <v>1096</v>
      </c>
    </row>
    <row r="6" spans="1:31" ht="12" customHeight="1">
      <c r="B6" s="707" t="s">
        <v>51</v>
      </c>
      <c r="C6" s="707"/>
      <c r="D6" s="708">
        <f>Wind!CB8</f>
        <v>933.21618977999992</v>
      </c>
      <c r="E6" s="708">
        <f>Wind!CC8</f>
        <v>2469.4627</v>
      </c>
      <c r="F6" s="708">
        <f>Wind!CD8</f>
        <v>4043.5969274300001</v>
      </c>
      <c r="G6" s="708">
        <f>Wind!CE8</f>
        <v>4958.50261873</v>
      </c>
      <c r="H6" s="1655">
        <f>Wind!CF8</f>
        <v>1711.2617271900001</v>
      </c>
      <c r="I6" s="708">
        <f>Wind!CG8</f>
        <v>3682.2617543400002</v>
      </c>
      <c r="J6" s="708">
        <f>Wind!CH8</f>
        <v>5560.2124574199997</v>
      </c>
      <c r="K6" s="708">
        <f>Wind!CI8</f>
        <v>6977.8224744099998</v>
      </c>
      <c r="L6" s="1655">
        <f>Wind!CJ8</f>
        <v>2006.5428683299999</v>
      </c>
      <c r="M6" s="708">
        <f>Wind!CK8</f>
        <v>4291.2739970599996</v>
      </c>
      <c r="N6" s="708">
        <f>Wind!CL8</f>
        <v>6644.3478153799997</v>
      </c>
      <c r="O6" s="708">
        <f>Wind!CM8</f>
        <v>8505.3897304999991</v>
      </c>
      <c r="P6" s="1655">
        <f>Wind!CN8</f>
        <v>2490.8660470100003</v>
      </c>
      <c r="Q6" s="708">
        <f>Wind!CO8</f>
        <v>5460.1849288999992</v>
      </c>
      <c r="R6" s="708">
        <f>Wind!CP8</f>
        <v>8640.9123699200009</v>
      </c>
      <c r="S6" s="2240">
        <f>Wind!CQ8</f>
        <v>11262.79408329</v>
      </c>
      <c r="T6" s="708">
        <f>Wind!CR8</f>
        <v>3482.1677627899999</v>
      </c>
      <c r="U6" s="708">
        <f>Wind!CS8</f>
        <v>7873.2878521000002</v>
      </c>
      <c r="V6" s="708">
        <f>Wind!CT8</f>
        <v>12558.281502260001</v>
      </c>
      <c r="W6" s="2240">
        <f>Wind!CU8</f>
        <v>15838.851828270001</v>
      </c>
      <c r="X6" s="708">
        <f>Wind!CV8</f>
        <v>4848.0717046300006</v>
      </c>
      <c r="Y6" s="1655">
        <f>Wind!CW8</f>
        <v>10736.627858450001</v>
      </c>
      <c r="Z6" s="708">
        <f>Wind!CX8</f>
        <v>16843.967895350001</v>
      </c>
      <c r="AA6" s="2136">
        <f>Model!K13</f>
        <v>20991.91050367153</v>
      </c>
      <c r="AB6" s="711">
        <f>AB43</f>
        <v>5963.1281966949009</v>
      </c>
      <c r="AC6" s="711">
        <f>AB6+AC43</f>
        <v>13147.166704355302</v>
      </c>
      <c r="AD6" s="711">
        <f>AC6+AD43</f>
        <v>20659.194949742301</v>
      </c>
      <c r="AE6" s="711">
        <f>Model!L13</f>
        <v>25403.508464190782</v>
      </c>
    </row>
    <row r="7" spans="1:31" ht="12" customHeight="1">
      <c r="B7" s="709" t="s">
        <v>104</v>
      </c>
      <c r="C7" s="709"/>
      <c r="D7" s="710" t="str">
        <f>IFERROR(D6/#REF!-1,"")</f>
        <v/>
      </c>
      <c r="E7" s="710" t="str">
        <f>IFERROR(E6/#REF!-1,"")</f>
        <v/>
      </c>
      <c r="F7" s="710" t="str">
        <f>IFERROR(F6/#REF!-1,"")</f>
        <v/>
      </c>
      <c r="G7" s="710" t="str">
        <f>IFERROR(G6/#REF!-1,"")</f>
        <v/>
      </c>
      <c r="H7" s="1656">
        <f t="shared" ref="H7:N7" si="0">IFERROR(H6/D6-1,"")</f>
        <v>0.83372486025282067</v>
      </c>
      <c r="I7" s="710">
        <f t="shared" si="0"/>
        <v>0.49111859609784747</v>
      </c>
      <c r="J7" s="710">
        <f t="shared" si="0"/>
        <v>0.37506595172776502</v>
      </c>
      <c r="K7" s="710">
        <f t="shared" si="0"/>
        <v>0.40724388206478346</v>
      </c>
      <c r="L7" s="1656">
        <f t="shared" si="0"/>
        <v>0.1725517122531981</v>
      </c>
      <c r="M7" s="710">
        <f t="shared" si="0"/>
        <v>0.16539080688715391</v>
      </c>
      <c r="N7" s="710">
        <f t="shared" si="0"/>
        <v>0.1949809231683659</v>
      </c>
      <c r="O7" s="710">
        <f t="shared" ref="O7:Z7" si="1">IFERROR(O6/K6-1,"")</f>
        <v>0.21891747198959233</v>
      </c>
      <c r="P7" s="1656">
        <f t="shared" si="1"/>
        <v>0.24137195687381041</v>
      </c>
      <c r="Q7" s="710">
        <f t="shared" si="1"/>
        <v>0.27239251854829916</v>
      </c>
      <c r="R7" s="710">
        <f t="shared" si="1"/>
        <v>0.30049067418151321</v>
      </c>
      <c r="S7" s="2137">
        <f t="shared" si="1"/>
        <v>0.32419494463634702</v>
      </c>
      <c r="T7" s="710">
        <f t="shared" si="1"/>
        <v>0.39797471926278161</v>
      </c>
      <c r="U7" s="710">
        <f t="shared" si="1"/>
        <v>0.44194527376312531</v>
      </c>
      <c r="V7" s="710">
        <f t="shared" si="1"/>
        <v>0.45335133197008304</v>
      </c>
      <c r="W7" s="2137">
        <f t="shared" si="1"/>
        <v>0.40629862458102206</v>
      </c>
      <c r="X7" s="710">
        <f t="shared" si="1"/>
        <v>0.39225678798014152</v>
      </c>
      <c r="Y7" s="1656">
        <f t="shared" si="1"/>
        <v>0.36367780019452445</v>
      </c>
      <c r="Z7" s="710">
        <f t="shared" si="1"/>
        <v>0.34126376226864674</v>
      </c>
      <c r="AA7" s="2137">
        <f t="shared" ref="AA7:AE7" si="2">IFERROR(AA6/W6-1,"")</f>
        <v>0.32534294349569493</v>
      </c>
      <c r="AB7" s="710">
        <f t="shared" si="2"/>
        <v>0.22999999999999998</v>
      </c>
      <c r="AC7" s="710">
        <f t="shared" si="2"/>
        <v>0.22451545100430637</v>
      </c>
      <c r="AD7" s="710">
        <f t="shared" si="2"/>
        <v>0.22650405641330762</v>
      </c>
      <c r="AE7" s="710">
        <f t="shared" si="2"/>
        <v>0.2101570488187654</v>
      </c>
    </row>
    <row r="8" spans="1:31" ht="12" customHeight="1">
      <c r="B8" s="1822" t="s">
        <v>1561</v>
      </c>
      <c r="C8" s="709"/>
      <c r="D8" s="1820">
        <f>D90</f>
        <v>0</v>
      </c>
      <c r="E8" s="1821">
        <f>D8+E90</f>
        <v>0</v>
      </c>
      <c r="F8" s="1821">
        <f>E8+F90</f>
        <v>1493.9187999999999</v>
      </c>
      <c r="G8" s="1821">
        <f>F8+G90</f>
        <v>2382.8265000000001</v>
      </c>
      <c r="H8" s="1820">
        <f>H90</f>
        <v>1645.0963999999999</v>
      </c>
      <c r="I8" s="1821">
        <f>H8+I90</f>
        <v>3547.2255999999998</v>
      </c>
      <c r="J8" s="1821">
        <f>I8+J90</f>
        <v>5338.3436000000002</v>
      </c>
      <c r="K8" s="1821">
        <f>J8+K90</f>
        <v>6591.89787918</v>
      </c>
      <c r="L8" s="1820">
        <f>L90</f>
        <v>1906.5174999999999</v>
      </c>
      <c r="M8" s="1821">
        <f>L8+M90</f>
        <v>4118.3335217599997</v>
      </c>
      <c r="N8" s="1821">
        <f>M8+N90</f>
        <v>6391.8896000000004</v>
      </c>
      <c r="O8" s="1821">
        <f>N8+O90</f>
        <v>8172.3068279999998</v>
      </c>
      <c r="P8" s="1820">
        <f>P90</f>
        <v>2383.1745999999998</v>
      </c>
      <c r="Q8" s="1821">
        <f>P8+Q90</f>
        <v>5134.9885000000004</v>
      </c>
      <c r="R8" s="1821">
        <f>Q8+R90</f>
        <v>7993.9474</v>
      </c>
      <c r="S8" s="2138">
        <f>R8+S90</f>
        <v>10336.009</v>
      </c>
      <c r="T8" s="1821">
        <f>T90</f>
        <v>3102.8078000000005</v>
      </c>
      <c r="U8" s="1821">
        <f>T8+U90</f>
        <v>6858.0564000000004</v>
      </c>
      <c r="V8" s="1821">
        <f>U8+V90</f>
        <v>10525.5134</v>
      </c>
      <c r="W8" s="2138">
        <f>V8+W90</f>
        <v>13303.58428814</v>
      </c>
      <c r="X8" s="1821">
        <f>X90</f>
        <v>3900.5288999999998</v>
      </c>
      <c r="Y8" s="1820">
        <f>Y90</f>
        <v>4459.9820958700002</v>
      </c>
      <c r="Z8" s="1821">
        <f>Y8+Z90</f>
        <v>8662.6267000000007</v>
      </c>
      <c r="AA8" s="2138">
        <f>Z8+AA90</f>
        <v>12035.834718762908</v>
      </c>
      <c r="AB8" s="1821">
        <f>AB90</f>
        <v>4719.6399689999998</v>
      </c>
      <c r="AC8" s="1821">
        <f>AB8+AC90</f>
        <v>10071.618484044</v>
      </c>
      <c r="AD8" s="1821">
        <f>AC8+AD90</f>
        <v>15072.765562958701</v>
      </c>
      <c r="AE8" s="1821">
        <f>AD8+AE90</f>
        <v>18645.5454339526</v>
      </c>
    </row>
    <row r="9" spans="1:31" ht="12" customHeight="1">
      <c r="B9" s="1822" t="s">
        <v>1685</v>
      </c>
      <c r="C9" s="709"/>
      <c r="D9" s="1820">
        <f>D92</f>
        <v>0</v>
      </c>
      <c r="E9" s="1821">
        <f>D9+E92</f>
        <v>0</v>
      </c>
      <c r="F9" s="1821">
        <f>E9+F92</f>
        <v>73.643599999999992</v>
      </c>
      <c r="G9" s="1821">
        <f>F9+G92</f>
        <v>134.20440000000002</v>
      </c>
      <c r="H9" s="1820">
        <f>H92</f>
        <v>61.590499999999999</v>
      </c>
      <c r="I9" s="1821">
        <f>H9+I92</f>
        <v>125.26</v>
      </c>
      <c r="J9" s="1821">
        <f>I9+J92</f>
        <v>210.875</v>
      </c>
      <c r="K9" s="1821">
        <f>J9+K92</f>
        <v>371.94956093000002</v>
      </c>
      <c r="L9" s="1820">
        <f>L92</f>
        <v>92.709699999999998</v>
      </c>
      <c r="M9" s="1821">
        <f>L9+M92</f>
        <v>165.92805397000001</v>
      </c>
      <c r="N9" s="1821">
        <f>M9+N92</f>
        <v>241.11840000000001</v>
      </c>
      <c r="O9" s="1821">
        <f>N9+O92</f>
        <v>319.02572300000003</v>
      </c>
      <c r="P9" s="1820">
        <f>P92</f>
        <v>105.57080000000001</v>
      </c>
      <c r="Q9" s="1821">
        <f>P9+Q92</f>
        <v>319.98480000000001</v>
      </c>
      <c r="R9" s="1821">
        <f>Q9+R92</f>
        <v>639.79589999999996</v>
      </c>
      <c r="S9" s="2138">
        <f>R9+S92</f>
        <v>914.47520785999995</v>
      </c>
      <c r="T9" s="1821">
        <f>T92</f>
        <v>374.77840000000003</v>
      </c>
      <c r="U9" s="1821">
        <f>T9+U92</f>
        <v>1003.5848</v>
      </c>
      <c r="V9" s="1821">
        <f>U9+V92</f>
        <v>2019.8778</v>
      </c>
      <c r="W9" s="2138">
        <f>V9+W92</f>
        <v>2518.1798534899999</v>
      </c>
      <c r="X9" s="1821">
        <f>X92</f>
        <v>944.63840000000005</v>
      </c>
      <c r="Y9" s="1820">
        <f>Y92</f>
        <v>1425.4038648699996</v>
      </c>
      <c r="Z9" s="1821">
        <f>Y9+Z92</f>
        <v>3326.4558000000002</v>
      </c>
      <c r="AA9" s="2138">
        <f>Z9+AA92</f>
        <v>4087.1885832437192</v>
      </c>
      <c r="AB9" s="1821">
        <f>AB92</f>
        <v>1243.4882276949011</v>
      </c>
      <c r="AC9" s="1821">
        <f>AB9+AC92</f>
        <v>3075.5482203113015</v>
      </c>
      <c r="AD9" s="1821">
        <f>AC9+AD92</f>
        <v>5586.4293867835995</v>
      </c>
      <c r="AE9" s="1821">
        <f>AD9+AE92</f>
        <v>6725.0367631052313</v>
      </c>
    </row>
    <row r="10" spans="1:31" ht="12" customHeight="1">
      <c r="B10" s="707" t="s">
        <v>48</v>
      </c>
      <c r="C10" s="707"/>
      <c r="D10" s="708">
        <f>Wind!CB13</f>
        <v>474.49274026999996</v>
      </c>
      <c r="E10" s="708">
        <f>Wind!CC13</f>
        <v>1322.65</v>
      </c>
      <c r="F10" s="708">
        <f>Wind!CD13</f>
        <v>2151.0041473000001</v>
      </c>
      <c r="G10" s="708">
        <f>Wind!CE13</f>
        <v>2647.8475059899997</v>
      </c>
      <c r="H10" s="1655">
        <f>Wind!CF13</f>
        <v>863.46210910000002</v>
      </c>
      <c r="I10" s="708">
        <f>Wind!CG13</f>
        <v>1852.9146081700001</v>
      </c>
      <c r="J10" s="708">
        <f>Wind!CH13</f>
        <v>2864.0381742600002</v>
      </c>
      <c r="K10" s="708">
        <f>Wind!CI13</f>
        <v>3881.56479257</v>
      </c>
      <c r="L10" s="1655">
        <f>Wind!CJ13</f>
        <v>1139.9789286800001</v>
      </c>
      <c r="M10" s="708">
        <f>Wind!CK13</f>
        <v>2459.742307</v>
      </c>
      <c r="N10" s="708">
        <f>Wind!CL13</f>
        <v>3870.3752746199998</v>
      </c>
      <c r="O10" s="708">
        <f>Wind!CM13</f>
        <v>4905.4613287299999</v>
      </c>
      <c r="P10" s="1655">
        <f>Wind!CN13</f>
        <v>1406.6463015300001</v>
      </c>
      <c r="Q10" s="708">
        <f>Wind!CO13</f>
        <v>3106.6108371999999</v>
      </c>
      <c r="R10" s="708">
        <f>Wind!CP13</f>
        <v>4967.0087160100002</v>
      </c>
      <c r="S10" s="2240">
        <f>Wind!CQ13</f>
        <v>6411.6537601099999</v>
      </c>
      <c r="T10" s="708">
        <f>Wind!CR13</f>
        <v>1992.8200776600002</v>
      </c>
      <c r="U10" s="708">
        <f>Wind!CS13</f>
        <v>4361.7439749599998</v>
      </c>
      <c r="V10" s="708">
        <f>Wind!CT13</f>
        <v>6900.7663555099998</v>
      </c>
      <c r="W10" s="2240">
        <f>Wind!CU13</f>
        <v>8741.5610026499999</v>
      </c>
      <c r="X10" s="708">
        <f>Wind!CV13</f>
        <v>2692.1916942500002</v>
      </c>
      <c r="Y10" s="1655">
        <f>Wind!CW13</f>
        <v>5889.4142337799994</v>
      </c>
      <c r="Z10" s="708">
        <f>Wind!CX13</f>
        <v>9235.7493353999998</v>
      </c>
      <c r="AA10" s="2136">
        <f>-Model!K16</f>
        <v>11564.399061414118</v>
      </c>
      <c r="AB10" s="711">
        <f>AB46</f>
        <v>3220.0892262152465</v>
      </c>
      <c r="AC10" s="711">
        <f>AB10+AC46</f>
        <v>7063.5498278135601</v>
      </c>
      <c r="AD10" s="711">
        <f>AC10+AD46</f>
        <v>11082.484939095604</v>
      </c>
      <c r="AE10" s="711">
        <f>-Model!L16</f>
        <v>13747.298774425524</v>
      </c>
    </row>
    <row r="11" spans="1:31" ht="12" customHeight="1">
      <c r="B11" s="1316" t="s">
        <v>50</v>
      </c>
      <c r="C11" s="1316"/>
      <c r="D11" s="1317">
        <f t="shared" ref="D11:V11" si="3">D6-D10</f>
        <v>458.72344950999997</v>
      </c>
      <c r="E11" s="1317">
        <f t="shared" si="3"/>
        <v>1146.8126999999999</v>
      </c>
      <c r="F11" s="1317">
        <f t="shared" si="3"/>
        <v>1892.5927801299999</v>
      </c>
      <c r="G11" s="1317">
        <f t="shared" si="3"/>
        <v>2310.6551127400003</v>
      </c>
      <c r="H11" s="1657">
        <f t="shared" si="3"/>
        <v>847.79961809000008</v>
      </c>
      <c r="I11" s="1317">
        <f t="shared" si="3"/>
        <v>1829.3471461700001</v>
      </c>
      <c r="J11" s="1317">
        <f t="shared" si="3"/>
        <v>2696.1742831599995</v>
      </c>
      <c r="K11" s="1317">
        <f t="shared" si="3"/>
        <v>3096.2576818399998</v>
      </c>
      <c r="L11" s="1657">
        <f t="shared" si="3"/>
        <v>866.56393964999984</v>
      </c>
      <c r="M11" s="1317">
        <f t="shared" si="3"/>
        <v>1831.5316900599996</v>
      </c>
      <c r="N11" s="1317">
        <f t="shared" si="3"/>
        <v>2773.9725407599999</v>
      </c>
      <c r="O11" s="1317">
        <f t="shared" si="3"/>
        <v>3599.9284017699993</v>
      </c>
      <c r="P11" s="1657">
        <f t="shared" si="3"/>
        <v>1084.2197454800003</v>
      </c>
      <c r="Q11" s="1317">
        <f t="shared" si="3"/>
        <v>2353.5740916999994</v>
      </c>
      <c r="R11" s="1317">
        <f t="shared" si="3"/>
        <v>3673.9036539100007</v>
      </c>
      <c r="S11" s="2139">
        <f t="shared" si="3"/>
        <v>4851.1403231800005</v>
      </c>
      <c r="T11" s="1317">
        <f t="shared" si="3"/>
        <v>1489.3476851299997</v>
      </c>
      <c r="U11" s="1317">
        <f t="shared" si="3"/>
        <v>3511.5438771400004</v>
      </c>
      <c r="V11" s="1317">
        <f t="shared" si="3"/>
        <v>5657.5151467500009</v>
      </c>
      <c r="W11" s="2139">
        <f>W6-W10</f>
        <v>7097.2908256200008</v>
      </c>
      <c r="X11" s="1317">
        <f>X6-X10</f>
        <v>2155.8800103800004</v>
      </c>
      <c r="Y11" s="1657">
        <f>Y6-Y10</f>
        <v>4847.213624670002</v>
      </c>
      <c r="Z11" s="1317">
        <f t="shared" ref="Z11" si="4">Z6-Z10</f>
        <v>7608.2185599500008</v>
      </c>
      <c r="AA11" s="2139">
        <f>AA6-AA10</f>
        <v>9427.5114422574115</v>
      </c>
      <c r="AB11" s="1317">
        <f>AB47</f>
        <v>2743.0389704796544</v>
      </c>
      <c r="AC11" s="1317">
        <f>AB11+AC47</f>
        <v>6083.6168765417406</v>
      </c>
      <c r="AD11" s="1317">
        <f>AC11+AD47</f>
        <v>9576.7100106466951</v>
      </c>
      <c r="AE11" s="1317">
        <f>AE6-AE10</f>
        <v>11656.209689765257</v>
      </c>
    </row>
    <row r="12" spans="1:31" ht="12" customHeight="1">
      <c r="B12" s="709" t="s">
        <v>104</v>
      </c>
      <c r="C12" s="709"/>
      <c r="D12" s="710" t="str">
        <f>IFERROR(D11/#REF!-1,"")</f>
        <v/>
      </c>
      <c r="E12" s="710" t="str">
        <f>IFERROR(E11/#REF!-1,"")</f>
        <v/>
      </c>
      <c r="F12" s="710" t="str">
        <f>IFERROR(F11/#REF!-1,"")</f>
        <v/>
      </c>
      <c r="G12" s="710" t="str">
        <f>IFERROR(G11/#REF!-1,"")</f>
        <v/>
      </c>
      <c r="H12" s="1656">
        <f t="shared" ref="H12:N12" si="5">IFERROR(H11/D11-1,"")</f>
        <v>0.84817152686570574</v>
      </c>
      <c r="I12" s="710">
        <f t="shared" si="5"/>
        <v>0.59515773253121473</v>
      </c>
      <c r="J12" s="710">
        <f t="shared" si="5"/>
        <v>0.42459292430292517</v>
      </c>
      <c r="K12" s="710">
        <f t="shared" si="5"/>
        <v>0.33999127120638239</v>
      </c>
      <c r="L12" s="1656">
        <f t="shared" si="5"/>
        <v>2.2132967696156358E-2</v>
      </c>
      <c r="M12" s="710">
        <f t="shared" si="5"/>
        <v>1.1941658501357644E-3</v>
      </c>
      <c r="N12" s="710">
        <f t="shared" si="5"/>
        <v>2.8855055137169572E-2</v>
      </c>
      <c r="O12" s="710">
        <f t="shared" ref="O12:Z12" si="6">IFERROR(O11/K11-1,"")</f>
        <v>0.16267080187934657</v>
      </c>
      <c r="P12" s="1656">
        <f t="shared" si="6"/>
        <v>0.25117108602270055</v>
      </c>
      <c r="Q12" s="710">
        <f t="shared" si="6"/>
        <v>0.28503050450789535</v>
      </c>
      <c r="R12" s="710">
        <f t="shared" si="6"/>
        <v>0.3244196184088548</v>
      </c>
      <c r="S12" s="2137">
        <f t="shared" si="6"/>
        <v>0.34756577958461898</v>
      </c>
      <c r="T12" s="710">
        <f t="shared" si="6"/>
        <v>0.37365851464976152</v>
      </c>
      <c r="U12" s="710">
        <f t="shared" si="6"/>
        <v>0.49200481494236414</v>
      </c>
      <c r="V12" s="710">
        <f t="shared" si="6"/>
        <v>0.53991930102165719</v>
      </c>
      <c r="W12" s="2137">
        <f t="shared" si="6"/>
        <v>0.46301495170265716</v>
      </c>
      <c r="X12" s="710">
        <f t="shared" si="6"/>
        <v>0.44753305887189221</v>
      </c>
      <c r="Y12" s="1656">
        <f t="shared" si="6"/>
        <v>0.38036538749384685</v>
      </c>
      <c r="Z12" s="710">
        <f t="shared" si="6"/>
        <v>0.34479861964145075</v>
      </c>
      <c r="AA12" s="2137">
        <f t="shared" ref="AA12:AE12" si="7">IFERROR(AA11/W11-1,"")</f>
        <v>0.3283253672268458</v>
      </c>
      <c r="AB12" s="710">
        <f t="shared" si="7"/>
        <v>0.27235233745507004</v>
      </c>
      <c r="AC12" s="710">
        <f t="shared" si="7"/>
        <v>0.25507504880309728</v>
      </c>
      <c r="AD12" s="710">
        <f t="shared" si="7"/>
        <v>0.25873224266438943</v>
      </c>
      <c r="AE12" s="710">
        <f t="shared" si="7"/>
        <v>0.23640366401657587</v>
      </c>
    </row>
    <row r="13" spans="1:31" ht="12" customHeight="1">
      <c r="B13" s="707" t="s">
        <v>9</v>
      </c>
      <c r="C13" s="707"/>
      <c r="D13" s="710">
        <f t="shared" ref="D13:AE13" si="8">IFERROR(D11/D6,"")</f>
        <v>0.49155110523547735</v>
      </c>
      <c r="E13" s="710">
        <f t="shared" si="8"/>
        <v>0.46439766026836521</v>
      </c>
      <c r="F13" s="710">
        <f t="shared" si="8"/>
        <v>0.46804684396000873</v>
      </c>
      <c r="G13" s="710">
        <f t="shared" si="8"/>
        <v>0.46599856658577676</v>
      </c>
      <c r="H13" s="1658">
        <f t="shared" si="8"/>
        <v>0.49542370089824928</v>
      </c>
      <c r="I13" s="714">
        <f t="shared" si="8"/>
        <v>0.49679986601003817</v>
      </c>
      <c r="J13" s="714">
        <f t="shared" si="8"/>
        <v>0.48490490315023937</v>
      </c>
      <c r="K13" s="714">
        <f t="shared" si="8"/>
        <v>0.44372835410975392</v>
      </c>
      <c r="L13" s="1658">
        <f t="shared" si="8"/>
        <v>0.43186913837092417</v>
      </c>
      <c r="M13" s="714">
        <f t="shared" si="8"/>
        <v>0.42680371640561815</v>
      </c>
      <c r="N13" s="714">
        <f t="shared" si="8"/>
        <v>0.41749357767498996</v>
      </c>
      <c r="O13" s="714">
        <f t="shared" si="8"/>
        <v>0.42325260991401664</v>
      </c>
      <c r="P13" s="1658">
        <f t="shared" si="8"/>
        <v>0.43527822252083048</v>
      </c>
      <c r="Q13" s="714">
        <f t="shared" si="8"/>
        <v>0.43104292663108518</v>
      </c>
      <c r="R13" s="714">
        <f t="shared" si="8"/>
        <v>0.42517543248086592</v>
      </c>
      <c r="S13" s="2140">
        <f t="shared" si="8"/>
        <v>0.4307226330611314</v>
      </c>
      <c r="T13" s="714">
        <f t="shared" si="8"/>
        <v>0.42770704531957904</v>
      </c>
      <c r="U13" s="714">
        <f t="shared" si="8"/>
        <v>0.4460073025532002</v>
      </c>
      <c r="V13" s="714">
        <f t="shared" si="8"/>
        <v>0.45050074293460207</v>
      </c>
      <c r="W13" s="2140">
        <f>IFERROR(W11/W6,"")</f>
        <v>0.44809376983705279</v>
      </c>
      <c r="X13" s="714">
        <f>IFERROR(X11/X6,"")</f>
        <v>0.44468814442680255</v>
      </c>
      <c r="Y13" s="1658">
        <f>IFERROR(Y11/Y6,"")</f>
        <v>0.45146517962389099</v>
      </c>
      <c r="Z13" s="714">
        <f t="shared" ref="Z13" si="9">IFERROR(Z11/Z6,"")</f>
        <v>0.45168802310828138</v>
      </c>
      <c r="AA13" s="2140">
        <f t="shared" si="8"/>
        <v>0.44910211677057787</v>
      </c>
      <c r="AB13" s="714">
        <f t="shared" si="8"/>
        <v>0.46</v>
      </c>
      <c r="AC13" s="714">
        <f t="shared" si="8"/>
        <v>0.46273216224803798</v>
      </c>
      <c r="AD13" s="714">
        <f t="shared" si="8"/>
        <v>0.46355678592239402</v>
      </c>
      <c r="AE13" s="714">
        <f t="shared" si="8"/>
        <v>0.45884251406438797</v>
      </c>
    </row>
    <row r="14" spans="1:31" ht="12" customHeight="1">
      <c r="B14" s="707" t="s">
        <v>95</v>
      </c>
      <c r="C14" s="707"/>
      <c r="D14" s="708">
        <f>Wind!CB21</f>
        <v>6.7925628600000003</v>
      </c>
      <c r="E14" s="708">
        <f>Wind!CC21</f>
        <v>23.738</v>
      </c>
      <c r="F14" s="708">
        <f>Wind!CD21</f>
        <v>39.601016619999996</v>
      </c>
      <c r="G14" s="708">
        <f>Wind!CE21</f>
        <v>50.357577460000002</v>
      </c>
      <c r="H14" s="1655">
        <f>Wind!CF21</f>
        <v>18.12164478</v>
      </c>
      <c r="I14" s="708">
        <f>Wind!CG21</f>
        <v>41.581896969999995</v>
      </c>
      <c r="J14" s="708">
        <f>Wind!CH21</f>
        <v>60.121040299999997</v>
      </c>
      <c r="K14" s="708">
        <f>Wind!CI21</f>
        <v>76.810518270000003</v>
      </c>
      <c r="L14" s="1655">
        <f>Wind!CJ21</f>
        <v>20.785871149999998</v>
      </c>
      <c r="M14" s="708">
        <f>Wind!CK21</f>
        <v>47.650708159999994</v>
      </c>
      <c r="N14" s="708">
        <f>Wind!CL21</f>
        <v>69.053892090000005</v>
      </c>
      <c r="O14" s="708">
        <f>Wind!CM21</f>
        <v>92.639167099999995</v>
      </c>
      <c r="P14" s="1655">
        <f>Wind!CN21</f>
        <v>25.100383230000002</v>
      </c>
      <c r="Q14" s="708">
        <f>Wind!CO21</f>
        <v>59.469350920000004</v>
      </c>
      <c r="R14" s="708">
        <f>Wind!CP21</f>
        <v>92.832681940000001</v>
      </c>
      <c r="S14" s="2240">
        <f>Wind!CQ21</f>
        <v>121.0108417</v>
      </c>
      <c r="T14" s="708">
        <f>Wind!CR21</f>
        <v>36.832629600000004</v>
      </c>
      <c r="U14" s="708">
        <f>Wind!CS21</f>
        <v>84.274324879999995</v>
      </c>
      <c r="V14" s="708">
        <f>Wind!CT21</f>
        <v>123.70692592</v>
      </c>
      <c r="W14" s="2240">
        <f>Wind!CU21</f>
        <v>159.79274697</v>
      </c>
      <c r="X14" s="708">
        <f>Wind!CV21</f>
        <v>46.761731420000004</v>
      </c>
      <c r="Y14" s="1655">
        <f>Wind!CW21</f>
        <v>109.32921087999999</v>
      </c>
      <c r="Z14" s="708">
        <f>Wind!CX21</f>
        <v>172.32459703999999</v>
      </c>
      <c r="AA14" s="2136">
        <f>-Model!K24</f>
        <v>211.78018961848255</v>
      </c>
      <c r="AB14" s="711">
        <f>AB50</f>
        <v>57.516929646600005</v>
      </c>
      <c r="AC14" s="711">
        <f>AB14+AC50</f>
        <v>133.84925458779998</v>
      </c>
      <c r="AD14" s="711">
        <f>AC14+AD50</f>
        <v>211.33357956459997</v>
      </c>
      <c r="AE14" s="711">
        <f>-Model!L24</f>
        <v>256.28728926698142</v>
      </c>
    </row>
    <row r="15" spans="1:31" ht="12" customHeight="1">
      <c r="B15" s="712" t="s">
        <v>105</v>
      </c>
      <c r="C15" s="712"/>
      <c r="D15" s="714">
        <f t="shared" ref="D15:AE15" si="10">IFERROR(D14/D6,"")</f>
        <v>7.2786594728937414E-3</v>
      </c>
      <c r="E15" s="714">
        <f t="shared" si="10"/>
        <v>9.6126173519446145E-3</v>
      </c>
      <c r="F15" s="714">
        <f t="shared" si="10"/>
        <v>9.7935123927323092E-3</v>
      </c>
      <c r="G15" s="714">
        <f t="shared" si="10"/>
        <v>1.0155803340666153E-2</v>
      </c>
      <c r="H15" s="1658">
        <f t="shared" si="10"/>
        <v>1.0589639499363365E-2</v>
      </c>
      <c r="I15" s="714">
        <f t="shared" si="10"/>
        <v>1.1292488080455061E-2</v>
      </c>
      <c r="J15" s="714">
        <f t="shared" si="10"/>
        <v>1.0812723571339363E-2</v>
      </c>
      <c r="K15" s="714">
        <f t="shared" si="10"/>
        <v>1.1007806310878467E-2</v>
      </c>
      <c r="L15" s="1658">
        <f t="shared" si="10"/>
        <v>1.0359046635918428E-2</v>
      </c>
      <c r="M15" s="714">
        <f t="shared" si="10"/>
        <v>1.1104093607783151E-2</v>
      </c>
      <c r="N15" s="714">
        <f t="shared" si="10"/>
        <v>1.0392877376189963E-2</v>
      </c>
      <c r="O15" s="714">
        <f t="shared" si="10"/>
        <v>1.0891819191753145E-2</v>
      </c>
      <c r="P15" s="1658">
        <f t="shared" si="10"/>
        <v>1.0076970321278472E-2</v>
      </c>
      <c r="Q15" s="714">
        <f t="shared" si="10"/>
        <v>1.0891453621879545E-2</v>
      </c>
      <c r="R15" s="714">
        <f t="shared" si="10"/>
        <v>1.0743388888326322E-2</v>
      </c>
      <c r="S15" s="2140">
        <f t="shared" si="10"/>
        <v>1.0744300286865517E-2</v>
      </c>
      <c r="T15" s="714">
        <f t="shared" si="10"/>
        <v>1.0577500025584287E-2</v>
      </c>
      <c r="U15" s="714">
        <f t="shared" si="10"/>
        <v>1.0703828751481752E-2</v>
      </c>
      <c r="V15" s="714">
        <f t="shared" si="10"/>
        <v>9.8506253341858578E-3</v>
      </c>
      <c r="W15" s="2140">
        <f>IFERROR(W14/W6,"")</f>
        <v>1.0088657227337252E-2</v>
      </c>
      <c r="X15" s="714">
        <f>IFERROR(X14/X6,"")</f>
        <v>9.6454290012545942E-3</v>
      </c>
      <c r="Y15" s="1658">
        <f>IFERROR(Y14/Y6,"")</f>
        <v>1.0182825773732588E-2</v>
      </c>
      <c r="Z15" s="714">
        <f t="shared" ref="Z15" si="11">IFERROR(Z14/Z6,"")</f>
        <v>1.0230641503868721E-2</v>
      </c>
      <c r="AA15" s="2140">
        <f t="shared" si="10"/>
        <v>1.0088657227337252E-2</v>
      </c>
      <c r="AB15" s="714">
        <f t="shared" si="10"/>
        <v>9.6454290012545942E-3</v>
      </c>
      <c r="AC15" s="714">
        <f t="shared" si="10"/>
        <v>1.0180844101068507E-2</v>
      </c>
      <c r="AD15" s="714">
        <f t="shared" si="10"/>
        <v>1.0229516691173685E-2</v>
      </c>
      <c r="AE15" s="714">
        <f t="shared" si="10"/>
        <v>1.0088657227337254E-2</v>
      </c>
    </row>
    <row r="16" spans="1:31" ht="12" customHeight="1">
      <c r="B16" s="707" t="s">
        <v>94</v>
      </c>
      <c r="C16" s="707"/>
      <c r="D16" s="708">
        <f>Wind!CB22</f>
        <v>201.55927403000001</v>
      </c>
      <c r="E16" s="708">
        <f>Wind!CC22</f>
        <v>452.20800000000003</v>
      </c>
      <c r="F16" s="708">
        <f>Wind!CD22</f>
        <v>812.57818244000009</v>
      </c>
      <c r="G16" s="708">
        <f>Wind!CE22</f>
        <v>1040.3472948200001</v>
      </c>
      <c r="H16" s="1655">
        <f>Wind!CF22</f>
        <v>336.21724452999996</v>
      </c>
      <c r="I16" s="708">
        <f>Wind!CG22</f>
        <v>798.65826103999996</v>
      </c>
      <c r="J16" s="708">
        <f>Wind!CH22</f>
        <v>1197.90143653</v>
      </c>
      <c r="K16" s="708">
        <f>Wind!CI22</f>
        <v>1368.3843670599999</v>
      </c>
      <c r="L16" s="1655">
        <f>Wind!CJ22</f>
        <v>337.96501925999996</v>
      </c>
      <c r="M16" s="708">
        <f>Wind!CK22</f>
        <v>702.69818498000006</v>
      </c>
      <c r="N16" s="708">
        <f>Wind!CL22</f>
        <v>1085.6043498499998</v>
      </c>
      <c r="O16" s="708">
        <f>Wind!CM22</f>
        <v>1449.2760845799999</v>
      </c>
      <c r="P16" s="1655">
        <f>Wind!CN22</f>
        <v>390.70786656999996</v>
      </c>
      <c r="Q16" s="708">
        <f>Wind!CO22</f>
        <v>863.23476495</v>
      </c>
      <c r="R16" s="708">
        <f>Wind!CP22</f>
        <v>1420.90595061</v>
      </c>
      <c r="S16" s="2240">
        <f>Wind!CQ22</f>
        <v>1955.6713750699998</v>
      </c>
      <c r="T16" s="708">
        <f>Wind!CR22</f>
        <v>595.94921475000001</v>
      </c>
      <c r="U16" s="708">
        <f>Wind!CS22</f>
        <v>1225.0040971800001</v>
      </c>
      <c r="V16" s="708">
        <f>Wind!CT22</f>
        <v>2061.92453045</v>
      </c>
      <c r="W16" s="2240">
        <f>Wind!CU22</f>
        <v>2681.0797873299998</v>
      </c>
      <c r="X16" s="708">
        <f>Wind!CV22</f>
        <v>808.75510908000001</v>
      </c>
      <c r="Y16" s="1655">
        <f>Wind!CW22</f>
        <v>1681.5190578499999</v>
      </c>
      <c r="Z16" s="708">
        <f>Wind!CX22</f>
        <v>2613.3446460500004</v>
      </c>
      <c r="AA16" s="2136">
        <f>-Model!K25</f>
        <v>3370.7205557048114</v>
      </c>
      <c r="AB16" s="711">
        <f>AB52</f>
        <v>1007.7686652414383</v>
      </c>
      <c r="AC16" s="711">
        <f>AB16+AC52</f>
        <v>2085.3744413904983</v>
      </c>
      <c r="AD16" s="711">
        <f>AC16+AD52</f>
        <v>3415.0034408239972</v>
      </c>
      <c r="AE16" s="711">
        <f>-Model!L25</f>
        <v>3972.4065045348821</v>
      </c>
    </row>
    <row r="17" spans="2:31" ht="12" customHeight="1">
      <c r="B17" s="712" t="s">
        <v>105</v>
      </c>
      <c r="C17" s="712"/>
      <c r="D17" s="714">
        <f t="shared" ref="D17:AE17" si="12">IFERROR(D16/D6,"")</f>
        <v>0.21598347332306397</v>
      </c>
      <c r="E17" s="714">
        <f t="shared" si="12"/>
        <v>0.18311999610279597</v>
      </c>
      <c r="F17" s="714">
        <f t="shared" si="12"/>
        <v>0.20095429812200707</v>
      </c>
      <c r="G17" s="714">
        <f t="shared" si="12"/>
        <v>0.20981077853831201</v>
      </c>
      <c r="H17" s="1658">
        <f t="shared" si="12"/>
        <v>0.19647330340408531</v>
      </c>
      <c r="I17" s="714">
        <f t="shared" si="12"/>
        <v>0.2168933971352478</v>
      </c>
      <c r="J17" s="714">
        <f t="shared" si="12"/>
        <v>0.21544166624989713</v>
      </c>
      <c r="K17" s="714">
        <f t="shared" si="12"/>
        <v>0.19610478370269829</v>
      </c>
      <c r="L17" s="1658">
        <f t="shared" si="12"/>
        <v>0.16843149707600344</v>
      </c>
      <c r="M17" s="714">
        <f t="shared" si="12"/>
        <v>0.16375048189918112</v>
      </c>
      <c r="N17" s="714">
        <f t="shared" si="12"/>
        <v>0.16338764616402199</v>
      </c>
      <c r="O17" s="714">
        <f t="shared" si="12"/>
        <v>0.17039502368515247</v>
      </c>
      <c r="P17" s="1658">
        <f t="shared" si="12"/>
        <v>0.15685623361360601</v>
      </c>
      <c r="Q17" s="714">
        <f t="shared" si="12"/>
        <v>0.15809625061983129</v>
      </c>
      <c r="R17" s="714">
        <f t="shared" si="12"/>
        <v>0.16443934271991176</v>
      </c>
      <c r="S17" s="2140">
        <f t="shared" si="12"/>
        <v>0.17363998317003096</v>
      </c>
      <c r="T17" s="714">
        <f t="shared" si="12"/>
        <v>0.17114316579408873</v>
      </c>
      <c r="U17" s="714">
        <f t="shared" si="12"/>
        <v>0.15558990350559346</v>
      </c>
      <c r="V17" s="714">
        <f t="shared" si="12"/>
        <v>0.16418843056503662</v>
      </c>
      <c r="W17" s="2140">
        <f>IFERROR(W16/W6,"")</f>
        <v>0.16927235739049407</v>
      </c>
      <c r="X17" s="714">
        <f>IFERROR(X16/X6,"")</f>
        <v>0.16681995612969658</v>
      </c>
      <c r="Y17" s="1658">
        <f>IFERROR(Y16/Y6,"")</f>
        <v>0.15661519426945597</v>
      </c>
      <c r="Z17" s="714">
        <f t="shared" ref="Z17" si="13">IFERROR(Z16/Z6,"")</f>
        <v>0.15515017971338266</v>
      </c>
      <c r="AA17" s="2140">
        <f t="shared" si="12"/>
        <v>0.16057235739049408</v>
      </c>
      <c r="AB17" s="714">
        <f t="shared" si="12"/>
        <v>0.16900000000000001</v>
      </c>
      <c r="AC17" s="714">
        <f t="shared" si="12"/>
        <v>0.1586177834574555</v>
      </c>
      <c r="AD17" s="714">
        <f t="shared" si="12"/>
        <v>0.16530186433361457</v>
      </c>
      <c r="AE17" s="714">
        <f t="shared" si="12"/>
        <v>0.15637235739049407</v>
      </c>
    </row>
    <row r="18" spans="2:31" ht="12" customHeight="1">
      <c r="B18" s="707" t="s">
        <v>92</v>
      </c>
      <c r="C18" s="707"/>
      <c r="D18" s="708">
        <f>Wind!CB23+Wind!CB24</f>
        <v>45.432064320000002</v>
      </c>
      <c r="E18" s="708">
        <f>Wind!CC23+Wind!CC24</f>
        <v>103.3502</v>
      </c>
      <c r="F18" s="708">
        <f>Wind!CD23+Wind!CD24</f>
        <v>156.76432782000001</v>
      </c>
      <c r="G18" s="708">
        <f>Wind!CE23+Wind!CE24</f>
        <v>219.43897251999999</v>
      </c>
      <c r="H18" s="1655">
        <f>Wind!CF23+Wind!CF24</f>
        <v>63.642068700000003</v>
      </c>
      <c r="I18" s="708">
        <f>Wind!CG23+Wind!CG24</f>
        <v>152.51555503</v>
      </c>
      <c r="J18" s="708">
        <f>Wind!CH23+Wind!CH24</f>
        <v>224.04517149</v>
      </c>
      <c r="K18" s="708">
        <f>Wind!CI23+Wind!CI24</f>
        <v>294.44154993999996</v>
      </c>
      <c r="L18" s="1655">
        <f>Wind!CJ23+Wind!CJ24</f>
        <v>78.921320660000006</v>
      </c>
      <c r="M18" s="708">
        <f>Wind!CK23+Wind!CK24</f>
        <v>151.35686418</v>
      </c>
      <c r="N18" s="708">
        <f>Wind!CL23+Wind!CL24</f>
        <v>235.54134443000001</v>
      </c>
      <c r="O18" s="708">
        <f>Wind!CM23+Wind!CM24</f>
        <v>299.27980732999998</v>
      </c>
      <c r="P18" s="1655">
        <f>Wind!CN23+Wind!CN24</f>
        <v>91.260641199999995</v>
      </c>
      <c r="Q18" s="708">
        <f>Wind!CO23+Wind!CO24</f>
        <v>189.1672738</v>
      </c>
      <c r="R18" s="708">
        <f>Wind!CP23+Wind!CP24</f>
        <v>301.47768686000001</v>
      </c>
      <c r="S18" s="2240">
        <f>Wind!CQ23+Wind!CQ24</f>
        <v>422.98510952000004</v>
      </c>
      <c r="T18" s="708">
        <f>Wind!CR23+Wind!CR24</f>
        <v>113.74836514</v>
      </c>
      <c r="U18" s="708">
        <f>Wind!CS23+Wind!CS24</f>
        <v>222.83853340999997</v>
      </c>
      <c r="V18" s="708">
        <f>Wind!CT23+Wind!CT24</f>
        <v>356.38188281999999</v>
      </c>
      <c r="W18" s="2240">
        <f>Wind!CU23+Wind!CU24</f>
        <v>488.32507577000001</v>
      </c>
      <c r="X18" s="708">
        <f>Wind!CV23+Wind!CV24</f>
        <v>136.94042983</v>
      </c>
      <c r="Y18" s="1655">
        <f>Wind!CW23+Wind!CW24</f>
        <v>291.43502235</v>
      </c>
      <c r="Z18" s="708">
        <f>Wind!CX23+Wind!CX24</f>
        <v>465.06414977999998</v>
      </c>
      <c r="AA18" s="2136">
        <f>-Model!K26</f>
        <v>609.41275439716128</v>
      </c>
      <c r="AB18" s="711">
        <f>AB54</f>
        <v>172.93071770415213</v>
      </c>
      <c r="AC18" s="711">
        <f>AB18+AC54</f>
        <v>338.16360338034133</v>
      </c>
      <c r="AD18" s="711">
        <f>AC18+AD54</f>
        <v>533.47633776040334</v>
      </c>
      <c r="AE18" s="711">
        <f>-Model!L26</f>
        <v>709.54128106317376</v>
      </c>
    </row>
    <row r="19" spans="2:31" ht="12" customHeight="1">
      <c r="B19" s="712" t="s">
        <v>105</v>
      </c>
      <c r="C19" s="712"/>
      <c r="D19" s="714">
        <f t="shared" ref="D19:AE19" si="14">IFERROR(D18/D6,"")</f>
        <v>4.8683322061429661E-2</v>
      </c>
      <c r="E19" s="714">
        <f t="shared" si="14"/>
        <v>4.185129016121604E-2</v>
      </c>
      <c r="F19" s="714">
        <f t="shared" si="14"/>
        <v>3.8768534706458774E-2</v>
      </c>
      <c r="G19" s="714">
        <f t="shared" si="14"/>
        <v>4.4255088560627591E-2</v>
      </c>
      <c r="H19" s="1658">
        <f t="shared" si="14"/>
        <v>3.7190143207669522E-2</v>
      </c>
      <c r="I19" s="714">
        <f t="shared" si="14"/>
        <v>4.1418987895209133E-2</v>
      </c>
      <c r="J19" s="714">
        <f t="shared" si="14"/>
        <v>4.0294354434427394E-2</v>
      </c>
      <c r="K19" s="714">
        <f t="shared" si="14"/>
        <v>4.2196767117509117E-2</v>
      </c>
      <c r="L19" s="1658">
        <f t="shared" si="14"/>
        <v>3.9331988319633776E-2</v>
      </c>
      <c r="M19" s="714">
        <f t="shared" si="14"/>
        <v>3.5270845973409369E-2</v>
      </c>
      <c r="N19" s="714">
        <f t="shared" si="14"/>
        <v>3.5449881760370949E-2</v>
      </c>
      <c r="O19" s="714">
        <f t="shared" si="14"/>
        <v>3.5187077466514456E-2</v>
      </c>
      <c r="P19" s="1658">
        <f t="shared" si="14"/>
        <v>3.6638116814650852E-2</v>
      </c>
      <c r="Q19" s="714">
        <f t="shared" si="14"/>
        <v>3.4644847429757174E-2</v>
      </c>
      <c r="R19" s="714">
        <f t="shared" si="14"/>
        <v>3.4889566512614816E-2</v>
      </c>
      <c r="S19" s="2140">
        <f t="shared" si="14"/>
        <v>3.7555965810256643E-2</v>
      </c>
      <c r="T19" s="714">
        <f t="shared" si="14"/>
        <v>3.2665963528667546E-2</v>
      </c>
      <c r="U19" s="714">
        <f t="shared" si="14"/>
        <v>2.8303110161349357E-2</v>
      </c>
      <c r="V19" s="714">
        <f t="shared" si="14"/>
        <v>2.8378236525106175E-2</v>
      </c>
      <c r="W19" s="2140">
        <f>IFERROR(W18/W6,"")</f>
        <v>3.0830838059764672E-2</v>
      </c>
      <c r="X19" s="714">
        <f>IFERROR(X18/X6,"")</f>
        <v>2.824637055166063E-2</v>
      </c>
      <c r="Y19" s="1658">
        <f>IFERROR(Y18/Y6,"")</f>
        <v>2.7143999605111876E-2</v>
      </c>
      <c r="Z19" s="714">
        <f t="shared" ref="Z19" si="15">IFERROR(Z18/Z6,"")</f>
        <v>2.7610130384325124E-2</v>
      </c>
      <c r="AA19" s="2140">
        <f t="shared" si="14"/>
        <v>2.9030838059764676E-2</v>
      </c>
      <c r="AB19" s="714">
        <f t="shared" si="14"/>
        <v>2.9000000000000001E-2</v>
      </c>
      <c r="AC19" s="714">
        <f t="shared" si="14"/>
        <v>2.5721405302354373E-2</v>
      </c>
      <c r="AD19" s="714">
        <f t="shared" si="14"/>
        <v>2.5822706986317383E-2</v>
      </c>
      <c r="AE19" s="714">
        <f t="shared" si="14"/>
        <v>2.7930838059764668E-2</v>
      </c>
    </row>
    <row r="20" spans="2:31" ht="12" customHeight="1">
      <c r="B20" s="707" t="s">
        <v>87</v>
      </c>
      <c r="C20" s="707"/>
      <c r="D20" s="708">
        <f>Wind!CB29</f>
        <v>0</v>
      </c>
      <c r="E20" s="708">
        <f>Wind!CC29</f>
        <v>0</v>
      </c>
      <c r="F20" s="708">
        <f>Wind!CD29</f>
        <v>0</v>
      </c>
      <c r="G20" s="708">
        <f>Wind!CE29</f>
        <v>0</v>
      </c>
      <c r="H20" s="1655">
        <f>Wind!CF29</f>
        <v>0</v>
      </c>
      <c r="I20" s="708">
        <f>Wind!CG29</f>
        <v>6.2103795100000001</v>
      </c>
      <c r="J20" s="708">
        <f>Wind!CH29</f>
        <v>18.405171070000002</v>
      </c>
      <c r="K20" s="708">
        <f>Wind!CI29</f>
        <v>116.67008993</v>
      </c>
      <c r="L20" s="1655">
        <f>Wind!CJ29</f>
        <v>9.0390022499999993</v>
      </c>
      <c r="M20" s="708">
        <f>Wind!CK29</f>
        <v>32.879002479999997</v>
      </c>
      <c r="N20" s="708">
        <f>Wind!CL29</f>
        <v>44.929165900000001</v>
      </c>
      <c r="O20" s="708">
        <f>Wind!CM29</f>
        <v>12.7878311</v>
      </c>
      <c r="P20" s="1655">
        <f>Wind!CN29</f>
        <v>31.60465378</v>
      </c>
      <c r="Q20" s="708">
        <f>Wind!CO29</f>
        <v>72.317929159999991</v>
      </c>
      <c r="R20" s="708">
        <f>Wind!CP29</f>
        <v>62.836852110000002</v>
      </c>
      <c r="S20" s="2240">
        <f>Wind!CQ29</f>
        <v>29.3724329</v>
      </c>
      <c r="T20" s="708">
        <f>Wind!CR29</f>
        <v>27.353914769999999</v>
      </c>
      <c r="U20" s="708">
        <f>Wind!CS29</f>
        <v>14.529543929999999</v>
      </c>
      <c r="V20" s="708">
        <f>Wind!CT29</f>
        <v>29.774980199999998</v>
      </c>
      <c r="W20" s="2240">
        <f>Wind!CU29</f>
        <v>32.948581670000003</v>
      </c>
      <c r="X20" s="708">
        <f>Wind!CV29</f>
        <v>22.160317339999999</v>
      </c>
      <c r="Y20" s="1655">
        <f>Wind!CW29</f>
        <v>79.295974889999997</v>
      </c>
      <c r="Z20" s="708">
        <f>Wind!CX29</f>
        <v>199.61290667</v>
      </c>
      <c r="AA20" s="2136">
        <f>Model!K29</f>
        <v>201</v>
      </c>
      <c r="AB20" s="711">
        <f>AB56</f>
        <v>22.160317339999999</v>
      </c>
      <c r="AC20" s="711">
        <f>AB20+AC56</f>
        <v>79.295974889999997</v>
      </c>
      <c r="AD20" s="711">
        <f>AC20+AD56</f>
        <v>199.61290667</v>
      </c>
      <c r="AE20" s="711">
        <f>Model!L29</f>
        <v>50</v>
      </c>
    </row>
    <row r="21" spans="2:31" ht="12" customHeight="1">
      <c r="B21" s="1316" t="s">
        <v>35</v>
      </c>
      <c r="C21" s="1316"/>
      <c r="D21" s="1318">
        <f t="shared" ref="D21:V21" si="16">D11-D14-D16-D18+D23+D20</f>
        <v>205.07899835999999</v>
      </c>
      <c r="E21" s="1318">
        <f t="shared" si="16"/>
        <v>566.52359999999987</v>
      </c>
      <c r="F21" s="1318">
        <f t="shared" si="16"/>
        <v>883.15658726999993</v>
      </c>
      <c r="G21" s="1318">
        <f t="shared" si="16"/>
        <v>1001.1287886400003</v>
      </c>
      <c r="H21" s="1659">
        <f t="shared" si="16"/>
        <v>429.27595260000015</v>
      </c>
      <c r="I21" s="1318">
        <f t="shared" si="16"/>
        <v>842.03182900000036</v>
      </c>
      <c r="J21" s="1318">
        <f t="shared" si="16"/>
        <v>1231.8498323799995</v>
      </c>
      <c r="K21" s="1318">
        <f t="shared" si="16"/>
        <v>1472.5063020599998</v>
      </c>
      <c r="L21" s="1659">
        <f t="shared" si="16"/>
        <v>437.71609525999986</v>
      </c>
      <c r="M21" s="1318">
        <f t="shared" si="16"/>
        <v>961.84598871999947</v>
      </c>
      <c r="N21" s="1318">
        <f t="shared" si="16"/>
        <v>1428.4152156700002</v>
      </c>
      <c r="O21" s="1318">
        <f t="shared" si="16"/>
        <v>1771.1630328099991</v>
      </c>
      <c r="P21" s="1659">
        <f t="shared" si="16"/>
        <v>607.19977640000025</v>
      </c>
      <c r="Q21" s="1318">
        <f t="shared" si="16"/>
        <v>1312.7724501799992</v>
      </c>
      <c r="R21" s="1318">
        <f t="shared" si="16"/>
        <v>1919.4152578300007</v>
      </c>
      <c r="S21" s="2141">
        <f t="shared" si="16"/>
        <v>2379.15301021</v>
      </c>
      <c r="T21" s="1318">
        <f t="shared" si="16"/>
        <v>769.54839082999956</v>
      </c>
      <c r="U21" s="1318">
        <f t="shared" si="16"/>
        <v>1992.3363828000008</v>
      </c>
      <c r="V21" s="1318">
        <f t="shared" si="16"/>
        <v>3142.2858351400009</v>
      </c>
      <c r="W21" s="2141">
        <f t="shared" ref="W21:AE21" si="17">W11-W14-W16-W18+W23+W20</f>
        <v>3800.0838701400012</v>
      </c>
      <c r="X21" s="1318">
        <f t="shared" si="17"/>
        <v>1186.7698960499999</v>
      </c>
      <c r="Y21" s="1659">
        <f t="shared" ref="Y21:Z21" si="18">Y11-Y14-Y16-Y18+Y23+Y20</f>
        <v>2842.2986073000025</v>
      </c>
      <c r="Z21" s="1318">
        <f t="shared" si="18"/>
        <v>4555.5444377000003</v>
      </c>
      <c r="AA21" s="2141">
        <f t="shared" si="17"/>
        <v>5435.6400154569565</v>
      </c>
      <c r="AB21" s="1318">
        <f t="shared" si="17"/>
        <v>1528.1698138874638</v>
      </c>
      <c r="AC21" s="1318">
        <f t="shared" si="17"/>
        <v>3603.5978508931012</v>
      </c>
      <c r="AD21" s="1318">
        <f t="shared" si="17"/>
        <v>5614.9559231176945</v>
      </c>
      <c r="AE21" s="1318">
        <f t="shared" si="17"/>
        <v>6767.0166878202199</v>
      </c>
    </row>
    <row r="22" spans="2:31" ht="12" customHeight="1">
      <c r="B22" s="707" t="s">
        <v>29</v>
      </c>
      <c r="C22" s="707"/>
      <c r="D22" s="708">
        <f>Wind!CB25</f>
        <v>-3.7269526499999999</v>
      </c>
      <c r="E22" s="708">
        <f>Wind!CC25</f>
        <v>-6.8220000000000001</v>
      </c>
      <c r="F22" s="708">
        <f>Wind!CD25</f>
        <v>-11.441569470000001</v>
      </c>
      <c r="G22" s="708">
        <f>Wind!CE25</f>
        <v>-15.930939990000001</v>
      </c>
      <c r="H22" s="1655">
        <f>Wind!CF25</f>
        <v>-2.3103463500000001</v>
      </c>
      <c r="I22" s="708">
        <f>Wind!CG25</f>
        <v>-4.2964605499999999</v>
      </c>
      <c r="J22" s="708">
        <f>Wind!CH25</f>
        <v>-10.671515400000001</v>
      </c>
      <c r="K22" s="708">
        <f>Wind!CI25</f>
        <v>-11.39395732</v>
      </c>
      <c r="L22" s="1655">
        <f>Wind!CJ25</f>
        <v>7.1531040399999997</v>
      </c>
      <c r="M22" s="708">
        <f>Wind!CK25</f>
        <v>20.767388030000003</v>
      </c>
      <c r="N22" s="708">
        <f>Wind!CL25</f>
        <v>34.65269335</v>
      </c>
      <c r="O22" s="708">
        <f>Wind!CM25</f>
        <v>41.039483529999998</v>
      </c>
      <c r="P22" s="1655">
        <f>Wind!CN25</f>
        <v>-5.9037631100000008</v>
      </c>
      <c r="Q22" s="708">
        <f>Wind!CO25</f>
        <v>-5.2930758400000002</v>
      </c>
      <c r="R22" s="708">
        <f>Wind!CP25</f>
        <v>-23.92270765</v>
      </c>
      <c r="S22" s="2240">
        <f>Wind!CQ25</f>
        <v>2.28561682</v>
      </c>
      <c r="T22" s="708">
        <f>Wind!CR25</f>
        <v>-45.066576090000005</v>
      </c>
      <c r="U22" s="708">
        <f>Wind!CS25</f>
        <v>-104.44443715999999</v>
      </c>
      <c r="V22" s="708">
        <f>Wind!CT25</f>
        <v>-134.913701</v>
      </c>
      <c r="W22" s="2240">
        <f>Wind!CU25</f>
        <v>-190.5357315</v>
      </c>
      <c r="X22" s="708">
        <f>Wind!CV25</f>
        <v>-18.06672721</v>
      </c>
      <c r="Y22" s="1655">
        <f>Wind!CW25</f>
        <v>-64.222622189999996</v>
      </c>
      <c r="Z22" s="708">
        <f>Wind!CX25</f>
        <v>-73.690603260000003</v>
      </c>
      <c r="AA22" s="2136">
        <f>-Model!K38</f>
        <v>-139.04710740294567</v>
      </c>
      <c r="AB22" s="711">
        <f>AB58</f>
        <v>-18.06672721</v>
      </c>
      <c r="AC22" s="711">
        <f t="shared" ref="AC22:AD24" si="19">AB22+AC58</f>
        <v>-64.222622189999996</v>
      </c>
      <c r="AD22" s="711">
        <f t="shared" si="19"/>
        <v>-73.690603260000003</v>
      </c>
      <c r="AE22" s="711">
        <f>-Model!L38</f>
        <v>-191.45247511645945</v>
      </c>
    </row>
    <row r="23" spans="2:31" ht="12" customHeight="1">
      <c r="B23" s="707" t="s">
        <v>88</v>
      </c>
      <c r="C23" s="707"/>
      <c r="D23" s="708">
        <f>Wind!CB26+Wind!CB27</f>
        <v>0.13945005999999999</v>
      </c>
      <c r="E23" s="708">
        <f>Wind!CC26+Wind!CC27</f>
        <v>-0.9929</v>
      </c>
      <c r="F23" s="708">
        <f>Wind!CD26+Wind!CD27</f>
        <v>-0.49266598</v>
      </c>
      <c r="G23" s="708">
        <f>Wind!CE26+Wind!CE27</f>
        <v>0.61752069999999992</v>
      </c>
      <c r="H23" s="1655">
        <f>Wind!CF26+Wind!CF27</f>
        <v>-0.54270748000000002</v>
      </c>
      <c r="I23" s="708">
        <f>Wind!CG26+Wind!CG27</f>
        <v>-0.76998363999999997</v>
      </c>
      <c r="J23" s="708">
        <f>Wind!CH26+Wind!CH27</f>
        <v>-0.66197353000000003</v>
      </c>
      <c r="K23" s="708">
        <f>Wind!CI26+Wind!CI27</f>
        <v>-0.78503443999999989</v>
      </c>
      <c r="L23" s="1655">
        <f>Wind!CJ26+Wind!CJ27</f>
        <v>-0.21463557</v>
      </c>
      <c r="M23" s="708">
        <f>Wind!CK26+Wind!CK27</f>
        <v>-0.85894649999999995</v>
      </c>
      <c r="N23" s="708">
        <f>Wind!CL26+Wind!CL27</f>
        <v>-0.28690462</v>
      </c>
      <c r="O23" s="708">
        <f>Wind!CM26+Wind!CM27</f>
        <v>-0.35814104999999996</v>
      </c>
      <c r="P23" s="1655">
        <f>Wind!CN26+Wind!CN27</f>
        <v>-1.5557318600000001</v>
      </c>
      <c r="Q23" s="708">
        <f>Wind!CO26+Wind!CO27</f>
        <v>-1.2481810099999999</v>
      </c>
      <c r="R23" s="708">
        <f>Wind!CP26+Wind!CP27</f>
        <v>-2.1089287799999998</v>
      </c>
      <c r="S23" s="2240">
        <f>Wind!CQ26+Wind!CQ27</f>
        <v>-1.6924195800000001</v>
      </c>
      <c r="T23" s="708">
        <f>Wind!CR26+Wind!CR27</f>
        <v>-0.62299958</v>
      </c>
      <c r="U23" s="1773">
        <f>Wind!CS26+Wind!CS27</f>
        <v>-1.6200828</v>
      </c>
      <c r="V23" s="708">
        <f>Wind!CT26+Wind!CT27</f>
        <v>-2.9909526200000003</v>
      </c>
      <c r="W23" s="2240">
        <f>Wind!CU26+Wind!CU27</f>
        <v>-0.95792707999999993</v>
      </c>
      <c r="X23" s="708">
        <f>Wind!CV26+Wind!CV27</f>
        <v>1.1868386599999998</v>
      </c>
      <c r="Y23" s="1655">
        <f>Wind!CW26+Wind!CW27</f>
        <v>-1.9277011799999999</v>
      </c>
      <c r="Z23" s="708">
        <f>Wind!CX26+Wind!CX27</f>
        <v>-1.5536360500000002</v>
      </c>
      <c r="AA23" s="2136">
        <f>Model!K28</f>
        <v>-0.95792707999999993</v>
      </c>
      <c r="AB23" s="711">
        <f>AB59</f>
        <v>1.1868386599999998</v>
      </c>
      <c r="AC23" s="711">
        <f t="shared" si="19"/>
        <v>-1.9277011800000001</v>
      </c>
      <c r="AD23" s="711">
        <f t="shared" si="19"/>
        <v>-1.5536360500000004</v>
      </c>
      <c r="AE23" s="711">
        <f>Model!L28</f>
        <v>-0.95792707999999993</v>
      </c>
    </row>
    <row r="24" spans="2:31" ht="12" customHeight="1">
      <c r="B24" s="707" t="s">
        <v>85</v>
      </c>
      <c r="C24" s="707"/>
      <c r="D24" s="708">
        <f>Wind!CB30</f>
        <v>1.09064915</v>
      </c>
      <c r="E24" s="708">
        <f>Wind!CC30</f>
        <v>3.9174000000000002</v>
      </c>
      <c r="F24" s="708">
        <f>Wind!CD30</f>
        <v>6.3418718299999997</v>
      </c>
      <c r="G24" s="708">
        <f>Wind!CE30</f>
        <v>9.8371245799999993</v>
      </c>
      <c r="H24" s="1655">
        <f>Wind!CF30</f>
        <v>3.9421580199999999</v>
      </c>
      <c r="I24" s="708">
        <f>Wind!CG30</f>
        <v>9.5305684100000008</v>
      </c>
      <c r="J24" s="708">
        <f>Wind!CH30</f>
        <v>16.088007919999999</v>
      </c>
      <c r="K24" s="708">
        <f>Wind!CI30</f>
        <v>22.52671557</v>
      </c>
      <c r="L24" s="1655">
        <f>Wind!CJ30</f>
        <v>4.6209256999999999</v>
      </c>
      <c r="M24" s="708">
        <f>Wind!CK30</f>
        <v>15.019116070000001</v>
      </c>
      <c r="N24" s="708">
        <f>Wind!CL30</f>
        <v>47.335365039999999</v>
      </c>
      <c r="O24" s="708">
        <f>Wind!CM30</f>
        <v>70.018458499999994</v>
      </c>
      <c r="P24" s="1655">
        <f>Wind!CN30</f>
        <v>19.176182390000001</v>
      </c>
      <c r="Q24" s="708">
        <f>Wind!CO30</f>
        <v>72.838272590000003</v>
      </c>
      <c r="R24" s="708">
        <f>Wind!CP30</f>
        <v>121.15671401</v>
      </c>
      <c r="S24" s="2240">
        <f>Wind!CQ30</f>
        <v>141.56359981</v>
      </c>
      <c r="T24" s="708">
        <f>Wind!CR30</f>
        <v>8.6223378800000017</v>
      </c>
      <c r="U24" s="708">
        <f>Wind!CS30</f>
        <v>35.853332039999998</v>
      </c>
      <c r="V24" s="708">
        <f>Wind!CT30</f>
        <v>66.712738590000001</v>
      </c>
      <c r="W24" s="2240">
        <f>Wind!CU30</f>
        <v>95.315854420000008</v>
      </c>
      <c r="X24" s="708">
        <f>Wind!CV30</f>
        <v>26.18870961</v>
      </c>
      <c r="Y24" s="1655">
        <f>Wind!CW30</f>
        <v>56.706210219999996</v>
      </c>
      <c r="Z24" s="708">
        <f>Wind!CX30</f>
        <v>90.657264249999997</v>
      </c>
      <c r="AA24" s="2136">
        <f>Model!K45</f>
        <v>110</v>
      </c>
      <c r="AB24" s="711">
        <f>AB60</f>
        <v>26.18870961</v>
      </c>
      <c r="AC24" s="711">
        <f t="shared" si="19"/>
        <v>56.706210219999996</v>
      </c>
      <c r="AD24" s="711">
        <f t="shared" si="19"/>
        <v>90.657264249999997</v>
      </c>
      <c r="AE24" s="711">
        <f>Model!L45</f>
        <v>110</v>
      </c>
    </row>
    <row r="25" spans="2:31" ht="12" customHeight="1">
      <c r="B25" s="707" t="s">
        <v>992</v>
      </c>
      <c r="C25" s="707"/>
      <c r="D25" s="708">
        <f>Wind!CB35</f>
        <v>1.1299999999999999</v>
      </c>
      <c r="E25" s="708">
        <f>Wind!CC35</f>
        <v>6.93</v>
      </c>
      <c r="F25" s="708">
        <f>Wind!CD35</f>
        <v>16.239999999999998</v>
      </c>
      <c r="G25" s="708">
        <f>Wind!CE35</f>
        <v>23.4</v>
      </c>
      <c r="H25" s="1655">
        <f>Wind!CF35</f>
        <v>3.4330098000000002</v>
      </c>
      <c r="I25" s="708">
        <f>Wind!CG35</f>
        <v>11.25573007</v>
      </c>
      <c r="J25" s="708">
        <f>Wind!CH35</f>
        <v>14.5530551</v>
      </c>
      <c r="K25" s="708">
        <f>Wind!CI35</f>
        <v>22.13032961</v>
      </c>
      <c r="L25" s="1655">
        <f>Wind!CJ35</f>
        <v>4.4699807499999995</v>
      </c>
      <c r="M25" s="708">
        <f>Wind!CK35</f>
        <v>9.1197664499999984</v>
      </c>
      <c r="N25" s="708">
        <f>Wind!CL35</f>
        <v>55.985919879999997</v>
      </c>
      <c r="O25" s="708">
        <f>Wind!CM35</f>
        <v>54.124659340000001</v>
      </c>
      <c r="P25" s="1655">
        <f>Wind!CN35</f>
        <v>8.6078136599999997</v>
      </c>
      <c r="Q25" s="708">
        <f>Wind!CO35</f>
        <v>10.467810159999999</v>
      </c>
      <c r="R25" s="708">
        <f>Wind!CP35</f>
        <v>25.563701720000001</v>
      </c>
      <c r="S25" s="2240">
        <f>Wind!CQ35</f>
        <v>69.936746679999999</v>
      </c>
      <c r="T25" s="708">
        <f>Wind!CR35</f>
        <v>11.483304520000001</v>
      </c>
      <c r="U25" s="708">
        <f>Wind!CS35</f>
        <v>17.146739900000004</v>
      </c>
      <c r="V25" s="708">
        <f>Wind!CT35</f>
        <v>24.0333392</v>
      </c>
      <c r="W25" s="2240">
        <f>Wind!CU35</f>
        <v>58.834579660000003</v>
      </c>
      <c r="X25" s="708">
        <f>Wind!CV35</f>
        <v>7.4950335399999997</v>
      </c>
      <c r="Y25" s="1655">
        <f>Wind!CW35</f>
        <v>43.539441240000002</v>
      </c>
      <c r="Z25" s="708">
        <f>Wind!CX35</f>
        <v>64.584968619999998</v>
      </c>
      <c r="AA25" s="2136">
        <f>Model!K46</f>
        <v>85</v>
      </c>
      <c r="AB25" s="711">
        <f>AB62</f>
        <v>7.4950335399999997</v>
      </c>
      <c r="AC25" s="711">
        <f>AB25+AC62</f>
        <v>43.539441240000002</v>
      </c>
      <c r="AD25" s="711">
        <f>AC25+AD62</f>
        <v>64.584968619999998</v>
      </c>
      <c r="AE25" s="711">
        <f>Model!L46</f>
        <v>76</v>
      </c>
    </row>
    <row r="26" spans="2:31" ht="12" customHeight="1">
      <c r="B26" s="707" t="s">
        <v>83</v>
      </c>
      <c r="C26" s="707"/>
      <c r="D26" s="708">
        <f>Wind!CB31</f>
        <v>0</v>
      </c>
      <c r="E26" s="708">
        <f>Wind!CC31</f>
        <v>0</v>
      </c>
      <c r="F26" s="708">
        <f>Wind!CD31</f>
        <v>0</v>
      </c>
      <c r="G26" s="708">
        <f>Wind!CE31</f>
        <v>0</v>
      </c>
      <c r="H26" s="1655">
        <f>Wind!CF31</f>
        <v>0</v>
      </c>
      <c r="I26" s="708">
        <f>Wind!CG31</f>
        <v>0</v>
      </c>
      <c r="J26" s="708">
        <f>Wind!CH31</f>
        <v>0</v>
      </c>
      <c r="K26" s="708">
        <f>Wind!CI31</f>
        <v>0</v>
      </c>
      <c r="L26" s="1655">
        <f>Wind!CJ31</f>
        <v>0</v>
      </c>
      <c r="M26" s="708">
        <f>Wind!CK31</f>
        <v>0</v>
      </c>
      <c r="N26" s="708">
        <f>Wind!CL31</f>
        <v>0</v>
      </c>
      <c r="O26" s="708">
        <f>Wind!CM31</f>
        <v>0</v>
      </c>
      <c r="P26" s="1655">
        <f>Wind!CN31</f>
        <v>0</v>
      </c>
      <c r="Q26" s="708">
        <f>Wind!CO31</f>
        <v>0</v>
      </c>
      <c r="R26" s="708">
        <f>Wind!CP31</f>
        <v>0</v>
      </c>
      <c r="S26" s="2240">
        <f>Wind!CQ31</f>
        <v>0</v>
      </c>
      <c r="T26" s="708">
        <f>Wind!CR31</f>
        <v>0</v>
      </c>
      <c r="U26" s="708">
        <f>Wind!CS31</f>
        <v>0</v>
      </c>
      <c r="V26" s="708">
        <f>Wind!CT31</f>
        <v>0</v>
      </c>
      <c r="W26" s="2240">
        <f>Wind!CU31</f>
        <v>0</v>
      </c>
      <c r="X26" s="708">
        <f>Wind!CV31</f>
        <v>0</v>
      </c>
      <c r="Y26" s="1655">
        <f>Wind!CW31</f>
        <v>0</v>
      </c>
      <c r="Z26" s="708">
        <f>Wind!CX31</f>
        <v>0</v>
      </c>
      <c r="AA26" s="2136">
        <f>Model!K44</f>
        <v>0</v>
      </c>
      <c r="AB26" s="711">
        <f>AB61</f>
        <v>0</v>
      </c>
      <c r="AC26" s="711">
        <f>AB26+AC61</f>
        <v>0</v>
      </c>
      <c r="AD26" s="711">
        <f>AC26+AD61</f>
        <v>0</v>
      </c>
      <c r="AE26" s="711">
        <f>Model!L44</f>
        <v>0</v>
      </c>
    </row>
    <row r="27" spans="2:31" ht="12" customHeight="1">
      <c r="B27" s="707" t="s">
        <v>81</v>
      </c>
      <c r="C27" s="707"/>
      <c r="D27" s="708">
        <f>Wind!CB37</f>
        <v>9.1178549999999997E-2</v>
      </c>
      <c r="E27" s="708">
        <f>Wind!CC37</f>
        <v>0.63549999999999995</v>
      </c>
      <c r="F27" s="708">
        <f>Wind!CD37</f>
        <v>1.4577511200000002</v>
      </c>
      <c r="G27" s="708">
        <f>Wind!CE37</f>
        <v>1.97485548</v>
      </c>
      <c r="H27" s="1655">
        <f>Wind!CF37</f>
        <v>0.51280652999999998</v>
      </c>
      <c r="I27" s="708">
        <f>Wind!CG37</f>
        <v>1.1791737900000001</v>
      </c>
      <c r="J27" s="708">
        <f>Wind!CH37</f>
        <v>1.72826093</v>
      </c>
      <c r="K27" s="708">
        <f>Wind!CI37</f>
        <v>2.1570988600000001</v>
      </c>
      <c r="L27" s="1655">
        <f>Wind!CJ37</f>
        <v>0.41052686999999999</v>
      </c>
      <c r="M27" s="708">
        <f>Wind!CK37</f>
        <v>1.16757292</v>
      </c>
      <c r="N27" s="708">
        <f>Wind!CL37</f>
        <v>2.0073235299999999</v>
      </c>
      <c r="O27" s="708">
        <f>Wind!CM37</f>
        <v>2.3318254900000004</v>
      </c>
      <c r="P27" s="1655">
        <f>Wind!CN37</f>
        <v>0.42915087000000002</v>
      </c>
      <c r="Q27" s="708">
        <f>Wind!CO37</f>
        <v>1.2054724800000001</v>
      </c>
      <c r="R27" s="708">
        <f>Wind!CP37</f>
        <v>1.7073035300000001</v>
      </c>
      <c r="S27" s="2240">
        <f>Wind!CQ37</f>
        <v>2.1691309400000001</v>
      </c>
      <c r="T27" s="708">
        <f>Wind!CR37</f>
        <v>0.43900358</v>
      </c>
      <c r="U27" s="708">
        <f>Wind!CS37</f>
        <v>0.93164347999999997</v>
      </c>
      <c r="V27" s="708">
        <f>Wind!CT37</f>
        <v>1.51370498</v>
      </c>
      <c r="W27" s="2240">
        <f>Wind!CU37</f>
        <v>2.15025055</v>
      </c>
      <c r="X27" s="708">
        <f>Wind!CV37</f>
        <v>1.4393161399999999</v>
      </c>
      <c r="Y27" s="1655">
        <f>Wind!CW37</f>
        <v>4.3003498499999999</v>
      </c>
      <c r="Z27" s="708">
        <f>Wind!CX37</f>
        <v>8.3696209699999997</v>
      </c>
      <c r="AA27" s="2136">
        <f>Model!K48</f>
        <v>9</v>
      </c>
      <c r="AB27" s="711">
        <f>AB63</f>
        <v>1.4393161399999999</v>
      </c>
      <c r="AC27" s="711">
        <f>AB27+AC63</f>
        <v>4.3003498499999999</v>
      </c>
      <c r="AD27" s="711">
        <f>AC27+AD63</f>
        <v>8.3696209699999997</v>
      </c>
      <c r="AE27" s="711">
        <f>Model!L48</f>
        <v>9</v>
      </c>
    </row>
    <row r="28" spans="2:31" ht="12" customHeight="1">
      <c r="B28" s="707" t="s">
        <v>79</v>
      </c>
      <c r="C28" s="707"/>
      <c r="D28" s="708">
        <f>Wind!CB38</f>
        <v>12.992520369999999</v>
      </c>
      <c r="E28" s="708">
        <f>Wind!CC38</f>
        <v>19.886600000000001</v>
      </c>
      <c r="F28" s="708">
        <f>Wind!CD38</f>
        <v>20.922125229999999</v>
      </c>
      <c r="G28" s="708">
        <f>Wind!CE38</f>
        <v>22.725754260000002</v>
      </c>
      <c r="H28" s="1655">
        <f>Wind!CF38</f>
        <v>1.1763711399999999</v>
      </c>
      <c r="I28" s="708">
        <f>Wind!CG38</f>
        <v>8.4275833900000006</v>
      </c>
      <c r="J28" s="708">
        <f>Wind!CH38</f>
        <v>11.61116634</v>
      </c>
      <c r="K28" s="708">
        <f>Wind!CI38</f>
        <v>17.197589010000002</v>
      </c>
      <c r="L28" s="1655">
        <f>Wind!CJ38</f>
        <v>0.70651444999999991</v>
      </c>
      <c r="M28" s="708">
        <f>Wind!CK38</f>
        <v>5.3736754800000002</v>
      </c>
      <c r="N28" s="708">
        <f>Wind!CL38</f>
        <v>16.258208070000002</v>
      </c>
      <c r="O28" s="708">
        <f>Wind!CM38</f>
        <v>20.588743179999998</v>
      </c>
      <c r="P28" s="1655">
        <f>Wind!CN38</f>
        <v>2.2665029999999999E-2</v>
      </c>
      <c r="Q28" s="708">
        <f>Wind!CO38</f>
        <v>0.41130435999999998</v>
      </c>
      <c r="R28" s="708">
        <f>Wind!CP38</f>
        <v>9.6258042100000001</v>
      </c>
      <c r="S28" s="2240">
        <f>Wind!CQ38</f>
        <v>11.26593523</v>
      </c>
      <c r="T28" s="708">
        <f>Wind!CR38</f>
        <v>5.4413695199999994</v>
      </c>
      <c r="U28" s="708">
        <f>Wind!CS38</f>
        <v>8.7711849499999985</v>
      </c>
      <c r="V28" s="708">
        <f>Wind!CT38</f>
        <v>15.485800019999999</v>
      </c>
      <c r="W28" s="2240">
        <f>Wind!CU38</f>
        <v>39.607987569999999</v>
      </c>
      <c r="X28" s="708">
        <f>Wind!CV38</f>
        <v>6.7696148899999997</v>
      </c>
      <c r="Y28" s="1655">
        <f>Wind!CW38</f>
        <v>9.49775539</v>
      </c>
      <c r="Z28" s="708">
        <f>Wind!CX38</f>
        <v>15.069508410000001</v>
      </c>
      <c r="AA28" s="2136">
        <f>-Model!K49</f>
        <v>39.607987569999999</v>
      </c>
      <c r="AB28" s="711">
        <f>AB64</f>
        <v>6.7696148899999997</v>
      </c>
      <c r="AC28" s="711">
        <f>AB28+AC64</f>
        <v>9.49775539</v>
      </c>
      <c r="AD28" s="711">
        <f>AC28+AD64</f>
        <v>15.069508410000001</v>
      </c>
      <c r="AE28" s="711">
        <f>-Model!L49</f>
        <v>39.607987569999999</v>
      </c>
    </row>
    <row r="29" spans="2:31" s="133" customFormat="1" ht="12" customHeight="1">
      <c r="B29" s="713" t="s">
        <v>23</v>
      </c>
      <c r="C29" s="713"/>
      <c r="D29" s="723">
        <f>Wind!CB42</f>
        <v>198.12074183000001</v>
      </c>
      <c r="E29" s="723">
        <f>Wind!CC42</f>
        <v>564.93989999999997</v>
      </c>
      <c r="F29" s="723">
        <f>Wind!CD42</f>
        <v>897.71600450999995</v>
      </c>
      <c r="G29" s="723">
        <f>Wind!CE42</f>
        <v>1029.5496495899999</v>
      </c>
      <c r="H29" s="1660">
        <f>Wind!CF42</f>
        <v>438.29790216000004</v>
      </c>
      <c r="I29" s="723">
        <f>Wind!CG42</f>
        <v>859.86617842999999</v>
      </c>
      <c r="J29" s="723">
        <f>Wind!CH42</f>
        <v>1263.2795053900002</v>
      </c>
      <c r="K29" s="723">
        <f>Wind!CI42</f>
        <v>1513.5168144100001</v>
      </c>
      <c r="L29" s="1660">
        <f>Wind!CJ42</f>
        <v>439.35791008999996</v>
      </c>
      <c r="M29" s="723">
        <f>Wind!CK42</f>
        <v>961.01138064999998</v>
      </c>
      <c r="N29" s="723">
        <f>Wind!CL42</f>
        <v>1482.8329227000002</v>
      </c>
      <c r="O29" s="723">
        <f>Wind!CM42</f>
        <v>1836.0097494300001</v>
      </c>
      <c r="P29" s="1660">
        <f>Wind!CN42</f>
        <v>641.29402140000002</v>
      </c>
      <c r="Q29" s="723">
        <f>Wind!CO42</f>
        <v>1402.1657768900002</v>
      </c>
      <c r="R29" s="723">
        <f>Wind!CP42</f>
        <v>2082.13988053</v>
      </c>
      <c r="S29" s="2241">
        <f>Wind!CQ42</f>
        <v>2579.2709355900001</v>
      </c>
      <c r="T29" s="723">
        <f>Wind!CR42</f>
        <v>829.71824337999999</v>
      </c>
      <c r="U29" s="723">
        <f>Wind!CS42</f>
        <v>2141.9413504300001</v>
      </c>
      <c r="V29" s="723">
        <f>Wind!CT42</f>
        <v>3353.9735188899999</v>
      </c>
      <c r="W29" s="2241">
        <f>Wind!CU42</f>
        <v>4107.3122986999997</v>
      </c>
      <c r="X29" s="723">
        <f>Wind!CV42</f>
        <v>1233.1900676600001</v>
      </c>
      <c r="Y29" s="1660">
        <f>Wind!CW42</f>
        <v>3001.56947541</v>
      </c>
      <c r="Z29" s="723">
        <f>Wind!CX42</f>
        <v>4777.7773863900002</v>
      </c>
      <c r="AA29" s="2142">
        <f>Model!K50</f>
        <v>5739.0791352899023</v>
      </c>
      <c r="AB29" s="1300">
        <f>AB21-AB22+AB24+AB25+AB26+AB27-AB28</f>
        <v>1574.5899854974637</v>
      </c>
      <c r="AC29" s="1300">
        <f>AC21-AC22+AC24+AC25+AC26+AC27-AC28</f>
        <v>3762.8687190031014</v>
      </c>
      <c r="AD29" s="1300">
        <f>AD21-AD22+AD24+AD25+AD26+AD27-AD28</f>
        <v>5837.1888718076943</v>
      </c>
      <c r="AE29" s="1300">
        <f>Model!L50</f>
        <v>7113.8611753666792</v>
      </c>
    </row>
    <row r="30" spans="2:31" ht="12" customHeight="1">
      <c r="B30" s="707" t="s">
        <v>76</v>
      </c>
      <c r="C30" s="707"/>
      <c r="D30" s="708">
        <f>Wind!CB43</f>
        <v>44.475694170000004</v>
      </c>
      <c r="E30" s="708">
        <f>Wind!CC43</f>
        <v>123.6327</v>
      </c>
      <c r="F30" s="708">
        <f>Wind!CD43</f>
        <v>193.67327637</v>
      </c>
      <c r="G30" s="708">
        <f>Wind!CE43</f>
        <v>217.48613861000001</v>
      </c>
      <c r="H30" s="1655">
        <f>Wind!CF43</f>
        <v>96.408436599999987</v>
      </c>
      <c r="I30" s="708">
        <f>Wind!CG43</f>
        <v>184.04004799000001</v>
      </c>
      <c r="J30" s="708">
        <f>Wind!CH43</f>
        <v>267.2455559</v>
      </c>
      <c r="K30" s="708">
        <f>Wind!CI43</f>
        <v>320.55640682000001</v>
      </c>
      <c r="L30" s="1655">
        <f>Wind!CJ43</f>
        <v>94.708990319999998</v>
      </c>
      <c r="M30" s="708">
        <f>Wind!CK43</f>
        <v>206.38160372999999</v>
      </c>
      <c r="N30" s="708">
        <f>Wind!CL43</f>
        <v>317.32687235000003</v>
      </c>
      <c r="O30" s="708">
        <f>Wind!CM43</f>
        <v>395.48917806999998</v>
      </c>
      <c r="P30" s="1655">
        <f>Wind!CN43</f>
        <v>144.04229140000001</v>
      </c>
      <c r="Q30" s="708">
        <f>Wind!CO43</f>
        <v>294.04552776999998</v>
      </c>
      <c r="R30" s="708">
        <f>Wind!CP43</f>
        <v>426.53902616000005</v>
      </c>
      <c r="S30" s="2240">
        <f>Wind!CQ43</f>
        <v>539.49813166999991</v>
      </c>
      <c r="T30" s="708">
        <f>Wind!CR43</f>
        <v>165.83784508000002</v>
      </c>
      <c r="U30" s="708">
        <f>Wind!CS43</f>
        <v>411.34985164</v>
      </c>
      <c r="V30" s="708">
        <f>Wind!CT43</f>
        <v>646.58111145000009</v>
      </c>
      <c r="W30" s="2240">
        <f>Wind!CU43</f>
        <v>780.88329400999999</v>
      </c>
      <c r="X30" s="708">
        <f>Wind!CV43</f>
        <v>253.23469449999999</v>
      </c>
      <c r="Y30" s="1655">
        <f>Wind!CW43</f>
        <v>627.05491160999998</v>
      </c>
      <c r="Z30" s="708">
        <f>Wind!CX43</f>
        <v>1017.96466725</v>
      </c>
      <c r="AA30" s="2136">
        <f>-Model!K53</f>
        <v>1176.5112227344298</v>
      </c>
      <c r="AB30" s="711">
        <f>AB66</f>
        <v>323.65240979430064</v>
      </c>
      <c r="AC30" s="711">
        <f>AB30+AC66</f>
        <v>786.23573759785472</v>
      </c>
      <c r="AD30" s="711">
        <f>AC30+AD66</f>
        <v>1242.7543574279978</v>
      </c>
      <c r="AE30" s="711">
        <f>-Model!L53</f>
        <v>1458.3415409501692</v>
      </c>
    </row>
    <row r="31" spans="2:31" ht="12" customHeight="1">
      <c r="B31" s="713" t="s">
        <v>15</v>
      </c>
      <c r="C31" s="713"/>
      <c r="D31" s="708">
        <f>Wind!CB47</f>
        <v>153.64504765999999</v>
      </c>
      <c r="E31" s="708">
        <f>Wind!CC47</f>
        <v>441.30709999999999</v>
      </c>
      <c r="F31" s="708">
        <f>Wind!CD47</f>
        <v>704.04272814000001</v>
      </c>
      <c r="G31" s="708">
        <f>Wind!CE47</f>
        <v>812.06351098000005</v>
      </c>
      <c r="H31" s="1655">
        <f>Wind!CF47</f>
        <v>341.88946556000002</v>
      </c>
      <c r="I31" s="708">
        <f>Wind!CG47</f>
        <v>675.82613044000004</v>
      </c>
      <c r="J31" s="708">
        <f>Wind!CH47</f>
        <v>996.03394949000005</v>
      </c>
      <c r="K31" s="708">
        <f>Wind!CI47</f>
        <v>1192.9604075899999</v>
      </c>
      <c r="L31" s="1655">
        <f>Wind!CJ47</f>
        <v>344.64891976999996</v>
      </c>
      <c r="M31" s="708">
        <f>Wind!CK47</f>
        <v>754.62977691999993</v>
      </c>
      <c r="N31" s="708">
        <f>Wind!CL47</f>
        <v>1165.5060503499999</v>
      </c>
      <c r="O31" s="708">
        <f>Wind!CM47</f>
        <v>1440.5205713599998</v>
      </c>
      <c r="P31" s="1655">
        <f>Wind!CN47</f>
        <v>497.25173000000001</v>
      </c>
      <c r="Q31" s="708">
        <f>Wind!CO47</f>
        <v>1108.1202491199999</v>
      </c>
      <c r="R31" s="708">
        <f>Wind!CP47</f>
        <v>1655.60085437</v>
      </c>
      <c r="S31" s="2240">
        <f>Wind!CQ47</f>
        <v>2039.7728039200001</v>
      </c>
      <c r="T31" s="708">
        <f>Wind!CR47</f>
        <v>663.88039829999991</v>
      </c>
      <c r="U31" s="708">
        <f>Wind!CS47</f>
        <v>1730.5914987900001</v>
      </c>
      <c r="V31" s="708">
        <f>Wind!CT47</f>
        <v>2707.3924074400002</v>
      </c>
      <c r="W31" s="2240">
        <f>Wind!CU47</f>
        <v>3326.4290046900001</v>
      </c>
      <c r="X31" s="708">
        <f>Wind!CV47</f>
        <v>979.95537316000002</v>
      </c>
      <c r="Y31" s="1655">
        <f>Wind!CW47</f>
        <v>2374.5145638000004</v>
      </c>
      <c r="Z31" s="708">
        <f>Wind!CX47</f>
        <v>3759.8127191399999</v>
      </c>
      <c r="AA31" s="2136">
        <f>Model!K57-AA33</f>
        <v>4563.1276080554726</v>
      </c>
      <c r="AB31" s="711">
        <f>AB29-AB30</f>
        <v>1250.937575703163</v>
      </c>
      <c r="AC31" s="711">
        <f>AC29-AC30</f>
        <v>2976.6329814052469</v>
      </c>
      <c r="AD31" s="711">
        <f>AD29-AD30</f>
        <v>4594.4345143796963</v>
      </c>
      <c r="AE31" s="711">
        <f>Model!L57-AE33</f>
        <v>5656.0793299165098</v>
      </c>
    </row>
    <row r="32" spans="2:31" ht="12" customHeight="1">
      <c r="B32" s="712" t="s">
        <v>105</v>
      </c>
      <c r="C32" s="712"/>
      <c r="D32" s="714">
        <f t="shared" ref="D32:AE32" si="20">IFERROR(D31/D6,"")</f>
        <v>0.16464035808918068</v>
      </c>
      <c r="E32" s="714">
        <f t="shared" si="20"/>
        <v>0.17870571602478547</v>
      </c>
      <c r="F32" s="714">
        <f t="shared" si="20"/>
        <v>0.17411298425025523</v>
      </c>
      <c r="G32" s="714">
        <f t="shared" si="20"/>
        <v>0.16377192338520744</v>
      </c>
      <c r="H32" s="1658">
        <f t="shared" si="20"/>
        <v>0.19978794600952371</v>
      </c>
      <c r="I32" s="714">
        <f t="shared" si="20"/>
        <v>0.18353560271576444</v>
      </c>
      <c r="J32" s="714">
        <f t="shared" si="20"/>
        <v>0.17913595156976625</v>
      </c>
      <c r="K32" s="714">
        <f t="shared" si="20"/>
        <v>0.17096456838289928</v>
      </c>
      <c r="L32" s="1658">
        <f t="shared" si="20"/>
        <v>0.17176255001062771</v>
      </c>
      <c r="M32" s="714">
        <f t="shared" si="20"/>
        <v>0.17585215426397974</v>
      </c>
      <c r="N32" s="714">
        <f t="shared" si="20"/>
        <v>0.17541316058923731</v>
      </c>
      <c r="O32" s="714">
        <f t="shared" si="20"/>
        <v>0.16936561603924494</v>
      </c>
      <c r="P32" s="1658">
        <f t="shared" si="20"/>
        <v>0.19963005662102698</v>
      </c>
      <c r="Q32" s="714">
        <f t="shared" si="20"/>
        <v>0.20294555286119956</v>
      </c>
      <c r="R32" s="714">
        <f t="shared" si="20"/>
        <v>0.19160023658304126</v>
      </c>
      <c r="S32" s="2140">
        <f t="shared" si="20"/>
        <v>0.18110717365829326</v>
      </c>
      <c r="T32" s="714">
        <f t="shared" si="20"/>
        <v>0.19065146871846356</v>
      </c>
      <c r="U32" s="714">
        <f t="shared" si="20"/>
        <v>0.2198054397729671</v>
      </c>
      <c r="V32" s="714">
        <f t="shared" si="20"/>
        <v>0.21558621750537885</v>
      </c>
      <c r="W32" s="2140">
        <f>IFERROR(W31/W6,"")</f>
        <v>0.21001705431405185</v>
      </c>
      <c r="X32" s="714">
        <f>IFERROR(X31/X6,"")</f>
        <v>0.20213301965482977</v>
      </c>
      <c r="Y32" s="1658">
        <f>IFERROR(Y31/Y6,"")</f>
        <v>0.22116018130694512</v>
      </c>
      <c r="Z32" s="714">
        <f t="shared" ref="Z32" si="21">IFERROR(Z31/Z6,"")</f>
        <v>0.2232141940960328</v>
      </c>
      <c r="AA32" s="2140">
        <f t="shared" si="20"/>
        <v>0.21737552698013704</v>
      </c>
      <c r="AB32" s="714">
        <f t="shared" si="20"/>
        <v>0.20977874941486291</v>
      </c>
      <c r="AC32" s="714">
        <f t="shared" si="20"/>
        <v>0.22640870450202541</v>
      </c>
      <c r="AD32" s="714">
        <f t="shared" si="20"/>
        <v>0.22239174980228388</v>
      </c>
      <c r="AE32" s="714">
        <f t="shared" si="20"/>
        <v>0.22264953433063844</v>
      </c>
    </row>
    <row r="33" spans="2:31" ht="12" customHeight="1">
      <c r="B33" s="707" t="s">
        <v>74</v>
      </c>
      <c r="C33" s="707"/>
      <c r="D33" s="708">
        <f>Wind!CB48</f>
        <v>0</v>
      </c>
      <c r="E33" s="708">
        <f>Wind!CC48</f>
        <v>0</v>
      </c>
      <c r="F33" s="708">
        <f>Wind!CD48</f>
        <v>0</v>
      </c>
      <c r="G33" s="708">
        <f>Wind!CE48</f>
        <v>0</v>
      </c>
      <c r="H33" s="1655">
        <f>Wind!CF48</f>
        <v>0</v>
      </c>
      <c r="I33" s="708">
        <f>Wind!CG48</f>
        <v>0</v>
      </c>
      <c r="J33" s="708">
        <f>Wind!CH48</f>
        <v>0</v>
      </c>
      <c r="K33" s="708">
        <f>Wind!CI48</f>
        <v>0</v>
      </c>
      <c r="L33" s="1655">
        <f>Wind!CJ48</f>
        <v>0</v>
      </c>
      <c r="M33" s="708">
        <f>Wind!CK48</f>
        <v>0</v>
      </c>
      <c r="N33" s="708">
        <f>Wind!CL48</f>
        <v>0</v>
      </c>
      <c r="O33" s="708">
        <f>Wind!CM48</f>
        <v>0</v>
      </c>
      <c r="P33" s="1655">
        <f>Wind!CN48</f>
        <v>0</v>
      </c>
      <c r="Q33" s="708">
        <f>Wind!CO48</f>
        <v>0</v>
      </c>
      <c r="R33" s="708">
        <f>Wind!CP48</f>
        <v>0</v>
      </c>
      <c r="S33" s="2240">
        <f>Wind!CQ48</f>
        <v>0</v>
      </c>
      <c r="T33" s="708">
        <f>Wind!CR48</f>
        <v>0</v>
      </c>
      <c r="U33" s="708">
        <f>Wind!CS48</f>
        <v>0</v>
      </c>
      <c r="V33" s="708">
        <f>Wind!CT48</f>
        <v>0</v>
      </c>
      <c r="W33" s="2240">
        <f>Wind!CU48</f>
        <v>-0.27984775000000001</v>
      </c>
      <c r="X33" s="708">
        <f>Wind!CV48</f>
        <v>-5.41571E-2</v>
      </c>
      <c r="Y33" s="1655">
        <f>Wind!CW48</f>
        <v>-0.23622164000000001</v>
      </c>
      <c r="Z33" s="708">
        <f>Wind!CX48</f>
        <v>-1.1105671000000001</v>
      </c>
      <c r="AA33" s="2136">
        <f>-Model!K54</f>
        <v>-0.27984775000000001</v>
      </c>
      <c r="AB33" s="711">
        <f>AB69</f>
        <v>0</v>
      </c>
      <c r="AC33" s="711">
        <f>AB33+AC69</f>
        <v>0</v>
      </c>
      <c r="AD33" s="711">
        <f>AC33+AD69</f>
        <v>0</v>
      </c>
      <c r="AE33" s="711">
        <f>-Model!L54</f>
        <v>-0.27984775000000001</v>
      </c>
    </row>
    <row r="34" spans="2:31" s="133" customFormat="1" ht="12" customHeight="1">
      <c r="B34" s="713" t="s">
        <v>72</v>
      </c>
      <c r="C34" s="713"/>
      <c r="D34" s="723">
        <f>Wind!CB49</f>
        <v>153.64504765999999</v>
      </c>
      <c r="E34" s="723">
        <f>Wind!CC49</f>
        <v>441.30709999999999</v>
      </c>
      <c r="F34" s="723">
        <f>Wind!CD49</f>
        <v>704.04272814000001</v>
      </c>
      <c r="G34" s="723">
        <f>Wind!CE49</f>
        <v>812.06351098000005</v>
      </c>
      <c r="H34" s="1660">
        <f>Wind!CF49</f>
        <v>341.88946556000002</v>
      </c>
      <c r="I34" s="723">
        <f>Wind!CG49</f>
        <v>675.82613044000004</v>
      </c>
      <c r="J34" s="723">
        <f>Wind!CH49</f>
        <v>996.03394949000005</v>
      </c>
      <c r="K34" s="723">
        <f>Wind!CI49</f>
        <v>1192.9604075899999</v>
      </c>
      <c r="L34" s="1660">
        <f>Wind!CJ49</f>
        <v>344.64891976999996</v>
      </c>
      <c r="M34" s="723">
        <f>Wind!CK49</f>
        <v>754.62977691999993</v>
      </c>
      <c r="N34" s="723">
        <f>Wind!CL49</f>
        <v>1165.5060503499999</v>
      </c>
      <c r="O34" s="723">
        <f>Wind!CM49</f>
        <v>1440.5205713599998</v>
      </c>
      <c r="P34" s="1660">
        <f>Wind!CN49</f>
        <v>497.25173000000001</v>
      </c>
      <c r="Q34" s="723">
        <f>Wind!CO49</f>
        <v>1108.1202491199999</v>
      </c>
      <c r="R34" s="723">
        <f>Wind!CP49</f>
        <v>1655.60085437</v>
      </c>
      <c r="S34" s="2241">
        <f>Wind!CQ49</f>
        <v>2039.7728039200001</v>
      </c>
      <c r="T34" s="723">
        <f>Wind!CR49</f>
        <v>663.88039829999991</v>
      </c>
      <c r="U34" s="723">
        <f>Wind!CS49</f>
        <v>1730.5914987900001</v>
      </c>
      <c r="V34" s="723">
        <f>Wind!CT49</f>
        <v>2707.3924074400002</v>
      </c>
      <c r="W34" s="2241">
        <f>Wind!CU49</f>
        <v>3326.7088524400001</v>
      </c>
      <c r="X34" s="723">
        <f>Wind!CV49</f>
        <v>980.00953026000002</v>
      </c>
      <c r="Y34" s="1660">
        <f>Wind!CW49</f>
        <v>2374.7507854400001</v>
      </c>
      <c r="Z34" s="723">
        <f>Wind!CX49</f>
        <v>3760.9232862399999</v>
      </c>
      <c r="AA34" s="2142">
        <f>Model!K57</f>
        <v>4562.8477603054725</v>
      </c>
      <c r="AB34" s="711">
        <f>AB31-AB33</f>
        <v>1250.937575703163</v>
      </c>
      <c r="AC34" s="711">
        <f>AC31-AC33</f>
        <v>2976.6329814052469</v>
      </c>
      <c r="AD34" s="711">
        <f>AD31-AD33</f>
        <v>4594.4345143796963</v>
      </c>
      <c r="AE34" s="711">
        <f>Model!L57</f>
        <v>5655.7994821665097</v>
      </c>
    </row>
    <row r="35" spans="2:31" ht="12" customHeight="1">
      <c r="B35" s="712" t="s">
        <v>104</v>
      </c>
      <c r="C35" s="712"/>
      <c r="D35" s="714" t="str">
        <f>IFERROR(D34/#REF!-1,"")</f>
        <v/>
      </c>
      <c r="E35" s="714" t="str">
        <f>IFERROR(E34/#REF!-1,"")</f>
        <v/>
      </c>
      <c r="F35" s="714" t="str">
        <f>IFERROR(F34/#REF!-1,"")</f>
        <v/>
      </c>
      <c r="G35" s="714" t="str">
        <f>IFERROR(G34/#REF!-1,"")</f>
        <v/>
      </c>
      <c r="H35" s="1658">
        <f t="shared" ref="H35:N35" si="22">IFERROR(H34/D34-1,"")</f>
        <v>1.2251902730803583</v>
      </c>
      <c r="I35" s="714">
        <f t="shared" si="22"/>
        <v>0.5314191193388913</v>
      </c>
      <c r="J35" s="714">
        <f t="shared" si="22"/>
        <v>0.41473508592497965</v>
      </c>
      <c r="K35" s="714">
        <f t="shared" si="22"/>
        <v>0.4690481612088846</v>
      </c>
      <c r="L35" s="1658">
        <f t="shared" si="22"/>
        <v>8.0711881703638966E-3</v>
      </c>
      <c r="M35" s="714">
        <f t="shared" si="22"/>
        <v>0.11660343234833848</v>
      </c>
      <c r="N35" s="714">
        <f t="shared" si="22"/>
        <v>0.17014691210753896</v>
      </c>
      <c r="O35" s="714">
        <f t="shared" ref="O35:Z35" si="23">IFERROR(O34/K34-1,"")</f>
        <v>0.20751750200169439</v>
      </c>
      <c r="P35" s="1658">
        <f t="shared" si="23"/>
        <v>0.44277756718877548</v>
      </c>
      <c r="Q35" s="714">
        <f t="shared" si="23"/>
        <v>0.46842900056602765</v>
      </c>
      <c r="R35" s="714">
        <f t="shared" si="23"/>
        <v>0.42049957945119654</v>
      </c>
      <c r="S35" s="2140">
        <f t="shared" si="23"/>
        <v>0.41599699752586283</v>
      </c>
      <c r="T35" s="714">
        <f t="shared" si="23"/>
        <v>0.33509922288254268</v>
      </c>
      <c r="U35" s="714">
        <f t="shared" si="23"/>
        <v>0.56173619258769802</v>
      </c>
      <c r="V35" s="714">
        <f t="shared" si="23"/>
        <v>0.63529295137398001</v>
      </c>
      <c r="W35" s="2140">
        <f t="shared" si="23"/>
        <v>0.63092127027421308</v>
      </c>
      <c r="X35" s="714">
        <f t="shared" si="23"/>
        <v>0.47618386198705775</v>
      </c>
      <c r="Y35" s="1658">
        <f t="shared" si="23"/>
        <v>0.37221914420611979</v>
      </c>
      <c r="Z35" s="714">
        <f t="shared" si="23"/>
        <v>0.38913120828176351</v>
      </c>
      <c r="AA35" s="2140">
        <f t="shared" ref="AA35:AE35" si="24">IFERROR(AA34/W34-1,"")</f>
        <v>0.37158013000110213</v>
      </c>
      <c r="AB35" s="714">
        <f t="shared" si="24"/>
        <v>0.27645450077540046</v>
      </c>
      <c r="AC35" s="714">
        <f t="shared" si="24"/>
        <v>0.25345067771131546</v>
      </c>
      <c r="AD35" s="714">
        <f t="shared" si="24"/>
        <v>0.22162409725006738</v>
      </c>
      <c r="AE35" s="714">
        <f t="shared" si="24"/>
        <v>0.23953280479116112</v>
      </c>
    </row>
    <row r="36" spans="2:31" ht="12" customHeight="1">
      <c r="B36" s="707" t="s">
        <v>70</v>
      </c>
      <c r="C36" s="707"/>
      <c r="D36" s="715">
        <f>Wind!CB51</f>
        <v>0.43</v>
      </c>
      <c r="E36" s="715">
        <f>Wind!CC51</f>
        <v>1.23</v>
      </c>
      <c r="F36" s="715">
        <f>Wind!CD51</f>
        <v>1.96</v>
      </c>
      <c r="G36" s="715">
        <f>Wind!CE51</f>
        <v>2.2599999999999998</v>
      </c>
      <c r="H36" s="1661">
        <f>Wind!CF51</f>
        <v>0.95</v>
      </c>
      <c r="I36" s="715">
        <f>Wind!CG51</f>
        <v>1.8431999999999999</v>
      </c>
      <c r="J36" s="715">
        <f>Wind!CH51</f>
        <v>2.64</v>
      </c>
      <c r="K36" s="715">
        <f>Wind!CI51</f>
        <v>3.1120000000000001</v>
      </c>
      <c r="L36" s="1661">
        <f>Wind!CJ51</f>
        <v>0.86160000000000003</v>
      </c>
      <c r="M36" s="715">
        <f>Wind!CK51</f>
        <v>1.8865000000000001</v>
      </c>
      <c r="N36" s="715">
        <f>Wind!CL51</f>
        <v>2.9137</v>
      </c>
      <c r="O36" s="715">
        <f>Wind!CM51</f>
        <v>3.6012</v>
      </c>
      <c r="P36" s="1661">
        <f>Wind!CN51</f>
        <v>1.2431000000000001</v>
      </c>
      <c r="Q36" s="715">
        <f>Wind!CO51</f>
        <v>2.7702</v>
      </c>
      <c r="R36" s="715">
        <f>Wind!CP51</f>
        <v>4.1388999999999996</v>
      </c>
      <c r="S36" s="2242">
        <f>Wind!CQ51</f>
        <v>5.0993000000000004</v>
      </c>
      <c r="T36" s="715">
        <f>Wind!CR51</f>
        <v>1.6597</v>
      </c>
      <c r="U36" s="715">
        <f>Wind!CS51</f>
        <v>4.3263999999999996</v>
      </c>
      <c r="V36" s="715">
        <f>Wind!CT51</f>
        <v>5.2064000000000004</v>
      </c>
      <c r="W36" s="2242">
        <f>Wind!CU51</f>
        <v>6.3974000000000002</v>
      </c>
      <c r="X36" s="715">
        <f>Wind!CV51</f>
        <v>1.8846000000000001</v>
      </c>
      <c r="Y36" s="1661">
        <f>Wind!CW51</f>
        <v>4.5667</v>
      </c>
      <c r="Z36" s="715">
        <f>Wind!CX51</f>
        <v>7.2324000000000002</v>
      </c>
      <c r="AA36" s="2143">
        <f>AA34/AA83</f>
        <v>8.7744878691599482</v>
      </c>
      <c r="AB36" s="719">
        <f>AB34/AB83</f>
        <v>2.405589044318436</v>
      </c>
      <c r="AC36" s="719">
        <f>AC34/AC83</f>
        <v>5.7241510912328089</v>
      </c>
      <c r="AD36" s="719">
        <f>AD34/AD83</f>
        <v>8.8352301084390117</v>
      </c>
      <c r="AE36" s="719">
        <f>AE34/AE83</f>
        <v>10.87626555906585</v>
      </c>
    </row>
    <row r="37" spans="2:31" ht="12" customHeight="1">
      <c r="B37" s="716" t="s">
        <v>103</v>
      </c>
      <c r="C37" s="716"/>
      <c r="D37" s="717">
        <f>Wind!CB52</f>
        <v>0.43</v>
      </c>
      <c r="E37" s="717">
        <f>Wind!CC52</f>
        <v>1.23</v>
      </c>
      <c r="F37" s="717">
        <f>Wind!CD52</f>
        <v>1.96</v>
      </c>
      <c r="G37" s="717">
        <f>Wind!CE52</f>
        <v>2.2599999999999998</v>
      </c>
      <c r="H37" s="1662">
        <f>Wind!CF52</f>
        <v>0.95</v>
      </c>
      <c r="I37" s="717">
        <f>Wind!CG52</f>
        <v>1.8431999999999999</v>
      </c>
      <c r="J37" s="717">
        <f>Wind!CH52</f>
        <v>2.64</v>
      </c>
      <c r="K37" s="717">
        <f>Wind!CI52</f>
        <v>3.1120000000000001</v>
      </c>
      <c r="L37" s="1662">
        <f>Wind!CJ52</f>
        <v>0.86160000000000003</v>
      </c>
      <c r="M37" s="717">
        <f>Wind!CK52</f>
        <v>1.8865000000000001</v>
      </c>
      <c r="N37" s="717">
        <f>Wind!CL52</f>
        <v>2.9137</v>
      </c>
      <c r="O37" s="717">
        <f>Wind!CM52</f>
        <v>3.6012</v>
      </c>
      <c r="P37" s="1662">
        <f>Wind!CN52</f>
        <v>1.2431000000000001</v>
      </c>
      <c r="Q37" s="717">
        <f>Wind!CO52</f>
        <v>2.7702</v>
      </c>
      <c r="R37" s="717">
        <f>Wind!CP52</f>
        <v>4.1388999999999996</v>
      </c>
      <c r="S37" s="2243">
        <f>Wind!CQ52</f>
        <v>5.0993000000000004</v>
      </c>
      <c r="T37" s="717">
        <f>Wind!CR52</f>
        <v>1.6597</v>
      </c>
      <c r="U37" s="717">
        <f>Wind!CS52</f>
        <v>4.3263999999999996</v>
      </c>
      <c r="V37" s="717">
        <f>Wind!CT52</f>
        <v>5.2064000000000004</v>
      </c>
      <c r="W37" s="2243">
        <f>Wind!CU52</f>
        <v>6.3974000000000002</v>
      </c>
      <c r="X37" s="717">
        <f>Wind!CV52</f>
        <v>1.8846000000000001</v>
      </c>
      <c r="Y37" s="1662">
        <f>Wind!CW52</f>
        <v>4.5667</v>
      </c>
      <c r="Z37" s="717">
        <f>Wind!CX52</f>
        <v>7.2324000000000002</v>
      </c>
      <c r="AA37" s="2144">
        <f>AA34/AA83</f>
        <v>8.7744878691599482</v>
      </c>
      <c r="AB37" s="1301">
        <f>AB34/AB83</f>
        <v>2.405589044318436</v>
      </c>
      <c r="AC37" s="1301">
        <f>AC34/AC83</f>
        <v>5.7241510912328089</v>
      </c>
      <c r="AD37" s="1301">
        <f>AD34/AD83</f>
        <v>8.8352301084390117</v>
      </c>
      <c r="AE37" s="1301">
        <f>AE34/AE83</f>
        <v>10.87626555906585</v>
      </c>
    </row>
    <row r="38" spans="2:31" ht="12" customHeight="1">
      <c r="B38" s="707"/>
      <c r="C38" s="707"/>
      <c r="D38" s="715"/>
      <c r="E38" s="715"/>
      <c r="F38" s="715"/>
      <c r="G38" s="715"/>
      <c r="H38" s="1661"/>
      <c r="I38" s="715"/>
      <c r="J38" s="715"/>
      <c r="K38" s="715"/>
      <c r="L38" s="1661"/>
      <c r="M38" s="715"/>
      <c r="N38" s="715"/>
      <c r="O38" s="715"/>
      <c r="P38" s="1661"/>
      <c r="Q38" s="715"/>
      <c r="R38" s="715"/>
      <c r="S38" s="2242"/>
      <c r="T38" s="715"/>
      <c r="U38" s="715"/>
      <c r="V38" s="715"/>
      <c r="W38" s="2143"/>
      <c r="X38" s="719"/>
      <c r="Y38" s="719"/>
      <c r="Z38" s="715"/>
      <c r="AA38" s="2143"/>
      <c r="AB38" s="719"/>
      <c r="AC38" s="719"/>
      <c r="AD38" s="719"/>
      <c r="AE38" s="719"/>
    </row>
    <row r="39" spans="2:31" ht="12" customHeight="1">
      <c r="B39" s="707"/>
      <c r="C39" s="707"/>
      <c r="D39" s="715"/>
      <c r="E39" s="715"/>
      <c r="F39" s="715"/>
      <c r="G39" s="715"/>
      <c r="H39" s="1661"/>
      <c r="I39" s="715"/>
      <c r="J39" s="715"/>
      <c r="K39" s="715"/>
      <c r="L39" s="1661"/>
      <c r="M39" s="715"/>
      <c r="N39" s="715"/>
      <c r="O39" s="715"/>
      <c r="P39" s="1661"/>
      <c r="Q39" s="715"/>
      <c r="R39" s="715"/>
      <c r="S39" s="2242"/>
      <c r="T39" s="715"/>
      <c r="U39" s="715"/>
      <c r="V39" s="715"/>
      <c r="W39" s="2143"/>
      <c r="X39" s="719"/>
      <c r="Y39" s="719">
        <f>U34/T34</f>
        <v>2.6067820396889707</v>
      </c>
      <c r="Z39" s="719">
        <f>V34/U34</f>
        <v>1.5644318196021201</v>
      </c>
      <c r="AA39" s="2143">
        <f>W34/V34</f>
        <v>1.2287501594885539</v>
      </c>
      <c r="AB39" s="719"/>
      <c r="AC39" s="719"/>
      <c r="AD39" s="719"/>
      <c r="AE39" s="719"/>
    </row>
    <row r="40" spans="2:31" ht="12" customHeight="1">
      <c r="B40" s="718"/>
      <c r="C40" s="718"/>
      <c r="Y40" s="2076">
        <f>Y34/X34</f>
        <v>2.4231915222395544</v>
      </c>
      <c r="Z40" s="2076">
        <f>Z34/Y34</f>
        <v>1.5837128296993768</v>
      </c>
      <c r="AA40" s="2145">
        <f>AA34/Z34</f>
        <v>1.2132254271177119</v>
      </c>
      <c r="AB40" s="2076"/>
      <c r="AC40" s="2076"/>
      <c r="AD40" s="2076"/>
      <c r="AE40" s="2076"/>
    </row>
    <row r="41" spans="2:31" ht="12" customHeight="1">
      <c r="B41" s="133" t="s">
        <v>107</v>
      </c>
      <c r="C41" s="133"/>
      <c r="L41" s="196" t="s">
        <v>1233</v>
      </c>
      <c r="T41" s="1305"/>
      <c r="X41" s="1305"/>
    </row>
    <row r="42" spans="2:31" ht="12" customHeight="1">
      <c r="B42" s="1091"/>
      <c r="C42" s="1091"/>
      <c r="D42" s="1090" t="s">
        <v>1059</v>
      </c>
      <c r="E42" s="1090" t="s">
        <v>1060</v>
      </c>
      <c r="F42" s="1090" t="s">
        <v>1068</v>
      </c>
      <c r="G42" s="1090" t="s">
        <v>1073</v>
      </c>
      <c r="H42" s="1684" t="s">
        <v>1076</v>
      </c>
      <c r="I42" s="1090" t="s">
        <v>1093</v>
      </c>
      <c r="J42" s="1090" t="s">
        <v>1100</v>
      </c>
      <c r="K42" s="1090" t="s">
        <v>1231</v>
      </c>
      <c r="L42" s="1684" t="s">
        <v>1209</v>
      </c>
      <c r="M42" s="1090" t="s">
        <v>1232</v>
      </c>
      <c r="N42" s="1090" t="s">
        <v>1229</v>
      </c>
      <c r="O42" s="1194" t="s">
        <v>1276</v>
      </c>
      <c r="P42" s="1654" t="s">
        <v>1273</v>
      </c>
      <c r="Q42" s="1194" t="s">
        <v>1277</v>
      </c>
      <c r="R42" s="1194" t="s">
        <v>1278</v>
      </c>
      <c r="S42" s="2135" t="s">
        <v>1279</v>
      </c>
      <c r="T42" s="1194" t="s">
        <v>1275</v>
      </c>
      <c r="U42" s="1194" t="s">
        <v>1475</v>
      </c>
      <c r="V42" s="1194" t="s">
        <v>1549</v>
      </c>
      <c r="W42" s="2135" t="s">
        <v>1644</v>
      </c>
      <c r="X42" s="1194" t="s">
        <v>1758</v>
      </c>
      <c r="Y42" s="1194" t="s">
        <v>1761</v>
      </c>
      <c r="Z42" s="1194" t="s">
        <v>1804</v>
      </c>
      <c r="AA42" s="2135" t="s">
        <v>1647</v>
      </c>
      <c r="AB42" s="1194" t="s">
        <v>1787</v>
      </c>
      <c r="AC42" s="1194" t="s">
        <v>1784</v>
      </c>
      <c r="AD42" s="1194" t="s">
        <v>1785</v>
      </c>
      <c r="AE42" s="1194" t="s">
        <v>1786</v>
      </c>
    </row>
    <row r="43" spans="2:31" s="133" customFormat="1" ht="12" customHeight="1">
      <c r="B43" s="713" t="s">
        <v>51</v>
      </c>
      <c r="C43" s="713"/>
      <c r="D43" s="1320">
        <f>D6</f>
        <v>933.21618977999992</v>
      </c>
      <c r="E43" s="1300">
        <f>E6-D6</f>
        <v>1536.2465102200001</v>
      </c>
      <c r="F43" s="1300">
        <f>F6-E6</f>
        <v>1574.13422743</v>
      </c>
      <c r="G43" s="1300">
        <f>G6-F6</f>
        <v>914.90569129999994</v>
      </c>
      <c r="H43" s="1663">
        <f>H6</f>
        <v>1711.2617271900001</v>
      </c>
      <c r="I43" s="1300">
        <f>I6-H6</f>
        <v>1971.0000271500001</v>
      </c>
      <c r="J43" s="1300">
        <f>J6-I6</f>
        <v>1877.9507030799996</v>
      </c>
      <c r="K43" s="1300">
        <f>K6-J6</f>
        <v>1417.6100169900001</v>
      </c>
      <c r="L43" s="1663">
        <f>L6</f>
        <v>2006.5428683299999</v>
      </c>
      <c r="M43" s="1300">
        <f>M6-L6</f>
        <v>2284.7311287299999</v>
      </c>
      <c r="N43" s="1300">
        <f>N6-M6</f>
        <v>2353.0738183200001</v>
      </c>
      <c r="O43" s="1300">
        <f>O6-N6</f>
        <v>1861.0419151199994</v>
      </c>
      <c r="P43" s="1663">
        <f>P6</f>
        <v>2490.8660470100003</v>
      </c>
      <c r="Q43" s="1300">
        <f>Q6-P6</f>
        <v>2969.3188818899989</v>
      </c>
      <c r="R43" s="1300">
        <f>R6-Q6</f>
        <v>3180.7274410200016</v>
      </c>
      <c r="S43" s="2142">
        <f>S6-R6</f>
        <v>2621.8817133699995</v>
      </c>
      <c r="T43" s="1320">
        <f>T6</f>
        <v>3482.1677627899999</v>
      </c>
      <c r="U43" s="1300">
        <f>U6-T6</f>
        <v>4391.1200893100004</v>
      </c>
      <c r="V43" s="1300">
        <f>V6-U6</f>
        <v>4684.9936501600005</v>
      </c>
      <c r="W43" s="2142">
        <f>W6-V6</f>
        <v>3280.5703260099999</v>
      </c>
      <c r="X43" s="1320">
        <f>X6</f>
        <v>4848.0717046300006</v>
      </c>
      <c r="Y43" s="1300">
        <f>Y6-X6</f>
        <v>5888.5561538200009</v>
      </c>
      <c r="Z43" s="1300">
        <f>Z6-Y6</f>
        <v>6107.3400368999992</v>
      </c>
      <c r="AA43" s="2211">
        <f>AA6-Z6</f>
        <v>4147.9426083215294</v>
      </c>
      <c r="AB43" s="1320">
        <f>X43*(1+AB44)</f>
        <v>5963.1281966949009</v>
      </c>
      <c r="AC43" s="1300">
        <f>Y43*(1+AC44)</f>
        <v>7184.0385076604007</v>
      </c>
      <c r="AD43" s="1300">
        <f>Z43*(1+AD44)</f>
        <v>7512.0282453869986</v>
      </c>
      <c r="AE43" s="1300">
        <f>AE6-AD6</f>
        <v>4744.3135144484804</v>
      </c>
    </row>
    <row r="44" spans="2:31" ht="12" customHeight="1">
      <c r="B44" s="709" t="s">
        <v>104</v>
      </c>
      <c r="C44" s="709"/>
      <c r="D44" s="1093" t="str">
        <f>IFERROR(D43/#REF!-1,"")</f>
        <v/>
      </c>
      <c r="E44" s="714" t="str">
        <f>IFERROR(E43/#REF!-1,"")</f>
        <v/>
      </c>
      <c r="F44" s="714" t="str">
        <f>IFERROR(F43/#REF!-1,"")</f>
        <v/>
      </c>
      <c r="G44" s="714" t="str">
        <f>IFERROR(G43/#REF!-1,"")</f>
        <v/>
      </c>
      <c r="H44" s="1664">
        <f>IFERROR(H43/D43-1,"")</f>
        <v>0.83372486025282067</v>
      </c>
      <c r="I44" s="714">
        <f t="shared" ref="I44:O44" si="25">IFERROR(I43/E43-1,"")</f>
        <v>0.28299723647068897</v>
      </c>
      <c r="J44" s="714">
        <f t="shared" si="25"/>
        <v>0.19300544410753551</v>
      </c>
      <c r="K44" s="714">
        <f t="shared" si="25"/>
        <v>0.54946026729345387</v>
      </c>
      <c r="L44" s="1664">
        <f>IFERROR(L43/H43-1,"")</f>
        <v>0.1725517122531981</v>
      </c>
      <c r="M44" s="714">
        <f t="shared" si="25"/>
        <v>0.15917356532645233</v>
      </c>
      <c r="N44" s="714">
        <f t="shared" si="25"/>
        <v>0.25300084526220945</v>
      </c>
      <c r="O44" s="714">
        <f t="shared" si="25"/>
        <v>0.31280245823286057</v>
      </c>
      <c r="P44" s="1664">
        <f t="shared" ref="P44:W44" si="26">IFERROR(P43/L43-1,"")</f>
        <v>0.24137195687381041</v>
      </c>
      <c r="Q44" s="714">
        <f t="shared" si="26"/>
        <v>0.2996360248046066</v>
      </c>
      <c r="R44" s="714">
        <f t="shared" si="26"/>
        <v>0.35173296148053401</v>
      </c>
      <c r="S44" s="2140">
        <f t="shared" si="26"/>
        <v>0.40882464390972162</v>
      </c>
      <c r="T44" s="1093">
        <f t="shared" si="26"/>
        <v>0.39797471926278161</v>
      </c>
      <c r="U44" s="714">
        <f t="shared" si="26"/>
        <v>0.47883075680811071</v>
      </c>
      <c r="V44" s="714">
        <f t="shared" si="26"/>
        <v>0.47293150294500186</v>
      </c>
      <c r="W44" s="2140">
        <f t="shared" si="26"/>
        <v>0.25122743306118256</v>
      </c>
      <c r="X44" s="1093">
        <f>IFERROR(X43/T43-1,"")</f>
        <v>0.39225678798014152</v>
      </c>
      <c r="Y44" s="714">
        <f>IFERROR(Y43/U43-1,"")</f>
        <v>0.3410146008430619</v>
      </c>
      <c r="Z44" s="714">
        <f t="shared" ref="Z44" si="27">IFERROR(Z43/V43-1,"")</f>
        <v>0.30359622508590234</v>
      </c>
      <c r="AA44" s="2212">
        <f>IFERROR(AA43/W43-1,"")</f>
        <v>0.26439679571401631</v>
      </c>
      <c r="AB44" s="2131">
        <v>0.23</v>
      </c>
      <c r="AC44" s="1302">
        <v>0.22</v>
      </c>
      <c r="AD44" s="1302">
        <v>0.23</v>
      </c>
      <c r="AE44" s="714">
        <f>IFERROR(AE43/AA43-1,"")</f>
        <v>0.14377511032349433</v>
      </c>
    </row>
    <row r="45" spans="2:31" ht="12" customHeight="1">
      <c r="B45" s="709" t="s">
        <v>106</v>
      </c>
      <c r="C45" s="709"/>
      <c r="D45" s="1093" t="str">
        <f>IFERROR(D43/#REF!-1,"")</f>
        <v/>
      </c>
      <c r="E45" s="714">
        <f t="shared" ref="E45:O45" si="28">IFERROR(E43/D43-1,"")</f>
        <v>0.64618501805263473</v>
      </c>
      <c r="F45" s="714">
        <f t="shared" si="28"/>
        <v>2.4662524508891615E-2</v>
      </c>
      <c r="G45" s="714">
        <f t="shared" si="28"/>
        <v>-0.41878800717413101</v>
      </c>
      <c r="H45" s="1664">
        <f t="shared" si="28"/>
        <v>0.87042417974080899</v>
      </c>
      <c r="I45" s="714">
        <f t="shared" si="28"/>
        <v>0.15178175017477114</v>
      </c>
      <c r="J45" s="714">
        <f t="shared" si="28"/>
        <v>-4.7209194717539704E-2</v>
      </c>
      <c r="K45" s="714">
        <f t="shared" si="28"/>
        <v>-0.24512927061131129</v>
      </c>
      <c r="L45" s="1664">
        <f>IFERROR(L43/K43-1,"")</f>
        <v>0.41544066723687245</v>
      </c>
      <c r="M45" s="714">
        <f t="shared" si="28"/>
        <v>0.13864057668079122</v>
      </c>
      <c r="N45" s="714">
        <f t="shared" si="28"/>
        <v>2.9912793120645764E-2</v>
      </c>
      <c r="O45" s="714">
        <f t="shared" si="28"/>
        <v>-0.20910177121059959</v>
      </c>
      <c r="P45" s="1664">
        <f t="shared" ref="P45:Z45" si="29">IFERROR(P43/O43-1,"")</f>
        <v>0.33842554902874933</v>
      </c>
      <c r="Q45" s="714">
        <f t="shared" si="29"/>
        <v>0.19208292451307307</v>
      </c>
      <c r="R45" s="714">
        <f t="shared" si="29"/>
        <v>7.1197660992018186E-2</v>
      </c>
      <c r="S45" s="2140">
        <f t="shared" si="29"/>
        <v>-0.175697458525648</v>
      </c>
      <c r="T45" s="1093">
        <f t="shared" si="29"/>
        <v>0.32811779609776659</v>
      </c>
      <c r="U45" s="714">
        <f t="shared" si="29"/>
        <v>0.26103059600773659</v>
      </c>
      <c r="V45" s="714">
        <f t="shared" si="29"/>
        <v>6.6924510118824276E-2</v>
      </c>
      <c r="W45" s="2140">
        <f>IFERROR(W43/V43-1,"")</f>
        <v>-0.29977059288053398</v>
      </c>
      <c r="X45" s="1093">
        <f t="shared" si="29"/>
        <v>0.47781367958859677</v>
      </c>
      <c r="Y45" s="714">
        <f>IFERROR(Y43/X43-1,"")</f>
        <v>0.21461820546018706</v>
      </c>
      <c r="Z45" s="714">
        <f t="shared" si="29"/>
        <v>3.715407943220006E-2</v>
      </c>
      <c r="AA45" s="2212">
        <f>IFERROR(AA43/Z43-1,"")</f>
        <v>-0.32082664740131817</v>
      </c>
      <c r="AB45" s="1093">
        <f>AB43/AA43-1</f>
        <v>0.43761106644334435</v>
      </c>
      <c r="AC45" s="714">
        <f>AC43/AB43-1</f>
        <v>0.20474326070034787</v>
      </c>
      <c r="AD45" s="714">
        <f>AD43/AC43-1</f>
        <v>4.565534237836566E-2</v>
      </c>
      <c r="AE45" s="714">
        <f>IFERROR(AE43/AD43-1,"")</f>
        <v>-0.36843774284769526</v>
      </c>
    </row>
    <row r="46" spans="2:31" ht="12" customHeight="1">
      <c r="B46" s="707" t="s">
        <v>48</v>
      </c>
      <c r="C46" s="707"/>
      <c r="D46" s="1092">
        <f>D10</f>
        <v>474.49274026999996</v>
      </c>
      <c r="E46" s="711">
        <f>E10-D10</f>
        <v>848.15725973000008</v>
      </c>
      <c r="F46" s="711">
        <f>F10-E10</f>
        <v>828.35414730000002</v>
      </c>
      <c r="G46" s="711">
        <f>G10-F10</f>
        <v>496.8433586899996</v>
      </c>
      <c r="H46" s="1665">
        <f>H10</f>
        <v>863.46210910000002</v>
      </c>
      <c r="I46" s="711">
        <f>I10-H10</f>
        <v>989.45249907000004</v>
      </c>
      <c r="J46" s="711">
        <f>J10-I10</f>
        <v>1011.1235660900002</v>
      </c>
      <c r="K46" s="711">
        <f>K10-J10</f>
        <v>1017.5266183099998</v>
      </c>
      <c r="L46" s="1665">
        <f>L10</f>
        <v>1139.9789286800001</v>
      </c>
      <c r="M46" s="711">
        <f>M10-L10</f>
        <v>1319.7633783199999</v>
      </c>
      <c r="N46" s="711">
        <f>N10-M10</f>
        <v>1410.6329676199998</v>
      </c>
      <c r="O46" s="711">
        <f>O10-N10</f>
        <v>1035.0860541100001</v>
      </c>
      <c r="P46" s="1665">
        <f>P10</f>
        <v>1406.6463015300001</v>
      </c>
      <c r="Q46" s="711">
        <f>Q10-P10</f>
        <v>1699.9645356699998</v>
      </c>
      <c r="R46" s="711">
        <f>R10-Q10</f>
        <v>1860.3978788100003</v>
      </c>
      <c r="S46" s="2136">
        <f>S10-R10</f>
        <v>1444.6450440999997</v>
      </c>
      <c r="T46" s="1092">
        <f>T10</f>
        <v>1992.8200776600002</v>
      </c>
      <c r="U46" s="711">
        <f>U10-T10</f>
        <v>2368.9238972999997</v>
      </c>
      <c r="V46" s="711">
        <f>V10-U10</f>
        <v>2539.02238055</v>
      </c>
      <c r="W46" s="2136">
        <f>W10-V10</f>
        <v>1840.7946471400001</v>
      </c>
      <c r="X46" s="1092">
        <f>X10</f>
        <v>2692.1916942500002</v>
      </c>
      <c r="Y46" s="711">
        <f>Y10-X10</f>
        <v>3197.2225395299993</v>
      </c>
      <c r="Z46" s="711">
        <f>Z10-Y10</f>
        <v>3346.3351016200004</v>
      </c>
      <c r="AA46" s="2213">
        <f>AA10-Z10</f>
        <v>2328.6497260141186</v>
      </c>
      <c r="AB46" s="1092">
        <f>AB43-AB47</f>
        <v>3220.0892262152465</v>
      </c>
      <c r="AC46" s="711">
        <f>AC43-AC47</f>
        <v>3843.460601598314</v>
      </c>
      <c r="AD46" s="711">
        <f>AD43-AD47</f>
        <v>4018.9351112820441</v>
      </c>
      <c r="AE46" s="711">
        <f>AE10-AD10</f>
        <v>2664.81383532992</v>
      </c>
    </row>
    <row r="47" spans="2:31" s="133" customFormat="1" ht="12" customHeight="1">
      <c r="B47" s="1650" t="s">
        <v>50</v>
      </c>
      <c r="C47" s="1650"/>
      <c r="D47" s="1651">
        <f t="shared" ref="D47:T47" si="30">D43-D46</f>
        <v>458.72344950999997</v>
      </c>
      <c r="E47" s="1652">
        <f t="shared" si="30"/>
        <v>688.08925049000004</v>
      </c>
      <c r="F47" s="1652">
        <f t="shared" si="30"/>
        <v>745.78008012999999</v>
      </c>
      <c r="G47" s="1652">
        <f t="shared" si="30"/>
        <v>418.06233261000034</v>
      </c>
      <c r="H47" s="1666">
        <f t="shared" si="30"/>
        <v>847.79961809000008</v>
      </c>
      <c r="I47" s="1652">
        <f t="shared" si="30"/>
        <v>981.54752808000001</v>
      </c>
      <c r="J47" s="1652">
        <f t="shared" si="30"/>
        <v>866.82713698999942</v>
      </c>
      <c r="K47" s="1652">
        <f t="shared" si="30"/>
        <v>400.0833986800003</v>
      </c>
      <c r="L47" s="1666">
        <f t="shared" si="30"/>
        <v>866.56393964999984</v>
      </c>
      <c r="M47" s="1652">
        <f t="shared" si="30"/>
        <v>964.96775041000001</v>
      </c>
      <c r="N47" s="1652">
        <f t="shared" si="30"/>
        <v>942.44085070000028</v>
      </c>
      <c r="O47" s="1652">
        <f t="shared" si="30"/>
        <v>825.95586100999935</v>
      </c>
      <c r="P47" s="1666">
        <f t="shared" si="30"/>
        <v>1084.2197454800003</v>
      </c>
      <c r="Q47" s="1652">
        <f t="shared" si="30"/>
        <v>1269.3543462199991</v>
      </c>
      <c r="R47" s="1652">
        <f t="shared" si="30"/>
        <v>1320.3295622100013</v>
      </c>
      <c r="S47" s="2147">
        <f t="shared" si="30"/>
        <v>1177.2366692699998</v>
      </c>
      <c r="T47" s="1651">
        <f t="shared" si="30"/>
        <v>1489.3476851299997</v>
      </c>
      <c r="U47" s="1652">
        <f>U43-U46</f>
        <v>2022.1961920100007</v>
      </c>
      <c r="V47" s="1652">
        <f>V43-V46</f>
        <v>2145.9712696100005</v>
      </c>
      <c r="W47" s="2147">
        <f>W11-V11</f>
        <v>1439.7756788699999</v>
      </c>
      <c r="X47" s="1651">
        <f>X43-X46</f>
        <v>2155.8800103800004</v>
      </c>
      <c r="Y47" s="1652">
        <f>Y43-Y46</f>
        <v>2691.3336142900016</v>
      </c>
      <c r="Z47" s="1652">
        <f>Z43-Z46</f>
        <v>2761.0049352799988</v>
      </c>
      <c r="AA47" s="2214">
        <f>AA11-Z11</f>
        <v>1819.2928823074108</v>
      </c>
      <c r="AB47" s="1651">
        <f>AB43*AB49</f>
        <v>2743.0389704796544</v>
      </c>
      <c r="AC47" s="1774">
        <f>AC43*AC49</f>
        <v>3340.5779060620866</v>
      </c>
      <c r="AD47" s="1774">
        <f>AD43*AD49</f>
        <v>3493.0931341049545</v>
      </c>
      <c r="AE47" s="1652">
        <f>AE11-AD11</f>
        <v>2079.4996791185622</v>
      </c>
    </row>
    <row r="48" spans="2:31" ht="12" customHeight="1">
      <c r="B48" s="709" t="s">
        <v>104</v>
      </c>
      <c r="C48" s="709"/>
      <c r="D48" s="1093" t="str">
        <f>IFERROR(D47/#REF!-1,"")</f>
        <v/>
      </c>
      <c r="E48" s="1649"/>
      <c r="F48" s="1649"/>
      <c r="G48" s="1649"/>
      <c r="H48" s="1664">
        <f t="shared" ref="H48:O48" si="31">IFERROR(H47/D47-1,"")</f>
        <v>0.84817152686570574</v>
      </c>
      <c r="I48" s="714">
        <f t="shared" si="31"/>
        <v>0.42648286887351228</v>
      </c>
      <c r="J48" s="714">
        <f t="shared" si="31"/>
        <v>0.16230931890658606</v>
      </c>
      <c r="K48" s="714">
        <f t="shared" si="31"/>
        <v>-4.3005390650135755E-2</v>
      </c>
      <c r="L48" s="1664">
        <f>IFERROR(L47/H47-1,"")</f>
        <v>2.2132967696156358E-2</v>
      </c>
      <c r="M48" s="714">
        <f t="shared" si="31"/>
        <v>-1.689146699032662E-2</v>
      </c>
      <c r="N48" s="714">
        <f t="shared" si="31"/>
        <v>8.7230441322550867E-2</v>
      </c>
      <c r="O48" s="714">
        <f t="shared" si="31"/>
        <v>1.0644592195904274</v>
      </c>
      <c r="P48" s="1664">
        <f t="shared" ref="P48:Z48" si="32">IFERROR(P47/L47-1,"")</f>
        <v>0.25117108602270055</v>
      </c>
      <c r="Q48" s="714">
        <f t="shared" si="32"/>
        <v>0.31543706583009623</v>
      </c>
      <c r="R48" s="714">
        <f t="shared" si="32"/>
        <v>0.40096809389079779</v>
      </c>
      <c r="S48" s="2140">
        <f t="shared" si="32"/>
        <v>0.42530215577191433</v>
      </c>
      <c r="T48" s="1093">
        <f t="shared" si="32"/>
        <v>0.37365851464976152</v>
      </c>
      <c r="U48" s="714">
        <f t="shared" si="32"/>
        <v>0.59309037545889676</v>
      </c>
      <c r="V48" s="714">
        <f t="shared" si="32"/>
        <v>0.62533001686186518</v>
      </c>
      <c r="W48" s="2140">
        <f t="shared" si="32"/>
        <v>0.22301293907434916</v>
      </c>
      <c r="X48" s="1093">
        <f t="shared" si="32"/>
        <v>0.44753305887189221</v>
      </c>
      <c r="Y48" s="714">
        <f t="shared" si="32"/>
        <v>0.33089639122250492</v>
      </c>
      <c r="Z48" s="714">
        <f t="shared" si="32"/>
        <v>0.28659920772460845</v>
      </c>
      <c r="AA48" s="2212">
        <f>IFERROR(AA47/W47-1,"")</f>
        <v>0.26359467589789598</v>
      </c>
      <c r="AB48" s="1093">
        <f>AB47/X47-1</f>
        <v>0.27235233745507004</v>
      </c>
      <c r="AC48" s="714">
        <f>AC47/Y47-1</f>
        <v>0.24123515877958579</v>
      </c>
      <c r="AD48" s="714">
        <f>AD47/Z47-1</f>
        <v>0.26515280341239711</v>
      </c>
      <c r="AE48" s="714">
        <f>IFERROR(AE47/AA47-1,"")</f>
        <v>0.14302633695852807</v>
      </c>
    </row>
    <row r="49" spans="2:31" ht="12" customHeight="1">
      <c r="B49" s="709" t="s">
        <v>9</v>
      </c>
      <c r="C49" s="709"/>
      <c r="D49" s="1093">
        <f t="shared" ref="D49:T49" si="33">IFERROR(D47/D43,"")</f>
        <v>0.49155110523547735</v>
      </c>
      <c r="E49" s="714">
        <f t="shared" si="33"/>
        <v>0.4479028892254156</v>
      </c>
      <c r="F49" s="714">
        <f t="shared" si="33"/>
        <v>0.47377159274885533</v>
      </c>
      <c r="G49" s="714">
        <f t="shared" si="33"/>
        <v>0.45694582139495799</v>
      </c>
      <c r="H49" s="1664">
        <f t="shared" si="33"/>
        <v>0.49542370089824928</v>
      </c>
      <c r="I49" s="714">
        <f t="shared" si="33"/>
        <v>0.497994680141778</v>
      </c>
      <c r="J49" s="714">
        <f t="shared" si="33"/>
        <v>0.46158141189133922</v>
      </c>
      <c r="K49" s="714">
        <f t="shared" si="33"/>
        <v>0.28222387954727784</v>
      </c>
      <c r="L49" s="1664">
        <f t="shared" si="33"/>
        <v>0.43186913837092417</v>
      </c>
      <c r="M49" s="714">
        <f t="shared" si="33"/>
        <v>0.42235505888449593</v>
      </c>
      <c r="N49" s="714">
        <f t="shared" si="33"/>
        <v>0.40051478341332492</v>
      </c>
      <c r="O49" s="714">
        <f t="shared" si="33"/>
        <v>0.44381368001415594</v>
      </c>
      <c r="P49" s="1664">
        <f t="shared" si="33"/>
        <v>0.43527822252083048</v>
      </c>
      <c r="Q49" s="714">
        <f t="shared" si="33"/>
        <v>0.42749007321572796</v>
      </c>
      <c r="R49" s="714">
        <f t="shared" si="33"/>
        <v>0.41510301863104482</v>
      </c>
      <c r="S49" s="2140">
        <f t="shared" si="33"/>
        <v>0.44900449294367856</v>
      </c>
      <c r="T49" s="1093">
        <f t="shared" si="33"/>
        <v>0.42770704531957904</v>
      </c>
      <c r="U49" s="714">
        <f t="shared" ref="U49:AA49" si="34">IFERROR(U47/U43,"")</f>
        <v>0.46051944626450853</v>
      </c>
      <c r="V49" s="714">
        <f t="shared" si="34"/>
        <v>0.45805211913931027</v>
      </c>
      <c r="W49" s="2140">
        <f t="shared" si="34"/>
        <v>0.4388796873076426</v>
      </c>
      <c r="X49" s="1093">
        <f t="shared" si="34"/>
        <v>0.44468814442680255</v>
      </c>
      <c r="Y49" s="714">
        <f t="shared" si="34"/>
        <v>0.45704473965898929</v>
      </c>
      <c r="Z49" s="714">
        <f t="shared" si="34"/>
        <v>0.4520797791834506</v>
      </c>
      <c r="AA49" s="2212">
        <f t="shared" si="34"/>
        <v>0.43860126672379157</v>
      </c>
      <c r="AB49" s="2131">
        <v>0.46</v>
      </c>
      <c r="AC49" s="1302">
        <v>0.46500000000000002</v>
      </c>
      <c r="AD49" s="1302">
        <v>0.46500000000000002</v>
      </c>
      <c r="AE49" s="1687">
        <f>IFERROR(AE47/AE43,"")</f>
        <v>0.43831413602528352</v>
      </c>
    </row>
    <row r="50" spans="2:31" ht="12" customHeight="1">
      <c r="B50" s="707" t="s">
        <v>95</v>
      </c>
      <c r="C50" s="707"/>
      <c r="D50" s="1092">
        <f>D14</f>
        <v>6.7925628600000003</v>
      </c>
      <c r="E50" s="711">
        <f>E14-D14</f>
        <v>16.945437139999999</v>
      </c>
      <c r="F50" s="711">
        <f>F14-E14</f>
        <v>15.863016619999996</v>
      </c>
      <c r="G50" s="711">
        <f>G14-F14</f>
        <v>10.756560840000006</v>
      </c>
      <c r="H50" s="1665">
        <f>H14</f>
        <v>18.12164478</v>
      </c>
      <c r="I50" s="711">
        <f>I14-H14</f>
        <v>23.460252189999995</v>
      </c>
      <c r="J50" s="711">
        <f>J14-I14</f>
        <v>18.539143330000002</v>
      </c>
      <c r="K50" s="711">
        <f>K14-J14</f>
        <v>16.689477970000006</v>
      </c>
      <c r="L50" s="1665">
        <f>L14</f>
        <v>20.785871149999998</v>
      </c>
      <c r="M50" s="711">
        <f>M14-L14</f>
        <v>26.864837009999995</v>
      </c>
      <c r="N50" s="711">
        <f>N14-M14</f>
        <v>21.403183930000012</v>
      </c>
      <c r="O50" s="711">
        <f>O14-N14</f>
        <v>23.585275009999989</v>
      </c>
      <c r="P50" s="1665">
        <f>P14</f>
        <v>25.100383230000002</v>
      </c>
      <c r="Q50" s="711">
        <f>Q14-P14</f>
        <v>34.368967690000005</v>
      </c>
      <c r="R50" s="711">
        <f>R14-Q14</f>
        <v>33.363331019999997</v>
      </c>
      <c r="S50" s="2136">
        <f>S14-R14</f>
        <v>28.17815976</v>
      </c>
      <c r="T50" s="1092">
        <f>T14</f>
        <v>36.832629600000004</v>
      </c>
      <c r="U50" s="711">
        <f>U14-T14</f>
        <v>47.44169527999999</v>
      </c>
      <c r="V50" s="711">
        <f>V14-U14</f>
        <v>39.432601040000009</v>
      </c>
      <c r="W50" s="2136">
        <f>W14-V14</f>
        <v>36.085821049999993</v>
      </c>
      <c r="X50" s="1092">
        <f>X14</f>
        <v>46.761731420000004</v>
      </c>
      <c r="Y50" s="711">
        <f>Y14-X14</f>
        <v>62.567479459999987</v>
      </c>
      <c r="Z50" s="711">
        <f>Z14-Y14</f>
        <v>62.995386159999995</v>
      </c>
      <c r="AA50" s="2213">
        <f>AA14-Z14</f>
        <v>39.455592578482566</v>
      </c>
      <c r="AB50" s="1092">
        <f>AB51*AB43</f>
        <v>57.516929646600005</v>
      </c>
      <c r="AC50" s="711">
        <f>AC51*AC43</f>
        <v>76.332324941199971</v>
      </c>
      <c r="AD50" s="711">
        <f>AD51*AD43</f>
        <v>77.484324976799982</v>
      </c>
      <c r="AE50" s="711">
        <f>AE14-AD14</f>
        <v>44.953709702381445</v>
      </c>
    </row>
    <row r="51" spans="2:31" ht="12" customHeight="1">
      <c r="B51" s="712" t="s">
        <v>105</v>
      </c>
      <c r="C51" s="712"/>
      <c r="D51" s="1093">
        <f t="shared" ref="D51:T51" si="35">IFERROR(D50/D43,"")</f>
        <v>7.2786594728937414E-3</v>
      </c>
      <c r="E51" s="714">
        <f t="shared" si="35"/>
        <v>1.1030415384034497E-2</v>
      </c>
      <c r="F51" s="714">
        <f t="shared" si="35"/>
        <v>1.0077296042217852E-2</v>
      </c>
      <c r="G51" s="714">
        <f t="shared" si="35"/>
        <v>1.1757015987861968E-2</v>
      </c>
      <c r="H51" s="1664">
        <f t="shared" si="35"/>
        <v>1.0589639499363365E-2</v>
      </c>
      <c r="I51" s="714">
        <f t="shared" si="35"/>
        <v>1.1902715305348185E-2</v>
      </c>
      <c r="J51" s="714">
        <f t="shared" si="35"/>
        <v>9.8720074491807606E-3</v>
      </c>
      <c r="K51" s="714">
        <f t="shared" si="35"/>
        <v>1.1772968425714597E-2</v>
      </c>
      <c r="L51" s="1664">
        <f t="shared" si="35"/>
        <v>1.0359046635918428E-2</v>
      </c>
      <c r="M51" s="714">
        <f t="shared" si="35"/>
        <v>1.1758423856610731E-2</v>
      </c>
      <c r="N51" s="714">
        <f t="shared" si="35"/>
        <v>9.0958404123849465E-3</v>
      </c>
      <c r="O51" s="714">
        <f t="shared" si="35"/>
        <v>1.2673156267132876E-2</v>
      </c>
      <c r="P51" s="1664">
        <f t="shared" si="35"/>
        <v>1.0076970321278472E-2</v>
      </c>
      <c r="Q51" s="714">
        <f t="shared" si="35"/>
        <v>1.1574697449848782E-2</v>
      </c>
      <c r="R51" s="714">
        <f t="shared" si="35"/>
        <v>1.0489214067741994E-2</v>
      </c>
      <c r="S51" s="2140">
        <f t="shared" si="35"/>
        <v>1.0747303974969027E-2</v>
      </c>
      <c r="T51" s="1093">
        <f t="shared" si="35"/>
        <v>1.0577500025584287E-2</v>
      </c>
      <c r="U51" s="714">
        <f t="shared" ref="U51:AA51" si="36">IFERROR(U50/U43,"")</f>
        <v>1.0804007705344891E-2</v>
      </c>
      <c r="V51" s="714">
        <f t="shared" si="36"/>
        <v>8.416788577430263E-3</v>
      </c>
      <c r="W51" s="2140">
        <f t="shared" si="36"/>
        <v>1.0999862055659525E-2</v>
      </c>
      <c r="X51" s="1093">
        <f t="shared" si="36"/>
        <v>9.6454290012545942E-3</v>
      </c>
      <c r="Y51" s="714">
        <f t="shared" si="36"/>
        <v>1.0625266674142431E-2</v>
      </c>
      <c r="Z51" s="714">
        <f t="shared" si="36"/>
        <v>1.031470096300313E-2</v>
      </c>
      <c r="AA51" s="2212">
        <f t="shared" si="36"/>
        <v>9.5120873898610486E-3</v>
      </c>
      <c r="AB51" s="2131">
        <f>X51</f>
        <v>9.6454290012545942E-3</v>
      </c>
      <c r="AC51" s="1302">
        <f>Y51</f>
        <v>1.0625266674142431E-2</v>
      </c>
      <c r="AD51" s="1302">
        <f>Z51</f>
        <v>1.031470096300313E-2</v>
      </c>
      <c r="AE51" s="714">
        <f>IFERROR(AE50/AE43,"")</f>
        <v>9.4752822648583434E-3</v>
      </c>
    </row>
    <row r="52" spans="2:31" ht="12" customHeight="1">
      <c r="B52" s="707" t="s">
        <v>94</v>
      </c>
      <c r="C52" s="707"/>
      <c r="D52" s="1092">
        <f>D16</f>
        <v>201.55927403000001</v>
      </c>
      <c r="E52" s="711">
        <f>E16-D16</f>
        <v>250.64872597000002</v>
      </c>
      <c r="F52" s="711">
        <f>F16-E16</f>
        <v>360.37018244000006</v>
      </c>
      <c r="G52" s="711">
        <f>G16-F16</f>
        <v>227.76911238000002</v>
      </c>
      <c r="H52" s="1665">
        <f>H16</f>
        <v>336.21724452999996</v>
      </c>
      <c r="I52" s="711">
        <f>I16-H16</f>
        <v>462.44101651</v>
      </c>
      <c r="J52" s="711">
        <f>J16-I16</f>
        <v>399.24317549</v>
      </c>
      <c r="K52" s="711">
        <f>K16-J16</f>
        <v>170.48293052999998</v>
      </c>
      <c r="L52" s="1665">
        <f>L16</f>
        <v>337.96501925999996</v>
      </c>
      <c r="M52" s="711">
        <f>M16-L16</f>
        <v>364.7331657200001</v>
      </c>
      <c r="N52" s="711">
        <f>N16-M16</f>
        <v>382.90616486999977</v>
      </c>
      <c r="O52" s="711">
        <f>O16-N16</f>
        <v>363.67173473000003</v>
      </c>
      <c r="P52" s="1665">
        <f>P16</f>
        <v>390.70786656999996</v>
      </c>
      <c r="Q52" s="711">
        <f>Q16-P16</f>
        <v>472.52689838000003</v>
      </c>
      <c r="R52" s="711">
        <f>R16-Q16</f>
        <v>557.67118565999999</v>
      </c>
      <c r="S52" s="2136">
        <f>S16-R16</f>
        <v>534.76542445999985</v>
      </c>
      <c r="T52" s="1092">
        <f>T16</f>
        <v>595.94921475000001</v>
      </c>
      <c r="U52" s="711">
        <f>U16-T16</f>
        <v>629.05488243000013</v>
      </c>
      <c r="V52" s="711">
        <f>V16-U16</f>
        <v>836.92043326999988</v>
      </c>
      <c r="W52" s="2136">
        <f>W16-V16</f>
        <v>619.1552568799998</v>
      </c>
      <c r="X52" s="1092">
        <f>X16</f>
        <v>808.75510908000001</v>
      </c>
      <c r="Y52" s="711">
        <f>Y16-X16</f>
        <v>872.76394876999984</v>
      </c>
      <c r="Z52" s="711">
        <f>Z16-Y16</f>
        <v>931.82558820000054</v>
      </c>
      <c r="AA52" s="2213">
        <f>AA16-Z16</f>
        <v>757.37590965481104</v>
      </c>
      <c r="AB52" s="1092">
        <f>AB53*AB43</f>
        <v>1007.7686652414383</v>
      </c>
      <c r="AC52" s="711">
        <f>AC53*AC43</f>
        <v>1077.6057761490601</v>
      </c>
      <c r="AD52" s="711">
        <f>AD53*AD43</f>
        <v>1329.6289994334986</v>
      </c>
      <c r="AE52" s="711">
        <f>AE16-AD16</f>
        <v>557.40306371088491</v>
      </c>
    </row>
    <row r="53" spans="2:31" ht="12" customHeight="1">
      <c r="B53" s="712" t="s">
        <v>105</v>
      </c>
      <c r="C53" s="712"/>
      <c r="D53" s="1093">
        <f t="shared" ref="D53:T53" si="37">IFERROR(D52/D43,"")</f>
        <v>0.21598347332306397</v>
      </c>
      <c r="E53" s="714">
        <f t="shared" si="37"/>
        <v>0.16315657956098825</v>
      </c>
      <c r="F53" s="714">
        <f t="shared" si="37"/>
        <v>0.22893230841461093</v>
      </c>
      <c r="G53" s="714">
        <f t="shared" si="37"/>
        <v>0.24895365122973526</v>
      </c>
      <c r="H53" s="1664">
        <f t="shared" si="37"/>
        <v>0.19647330340408531</v>
      </c>
      <c r="I53" s="714">
        <f t="shared" si="37"/>
        <v>0.23462253178082104</v>
      </c>
      <c r="J53" s="714">
        <f t="shared" si="37"/>
        <v>0.21259513087069171</v>
      </c>
      <c r="K53" s="714">
        <f t="shared" si="37"/>
        <v>0.12026081114465106</v>
      </c>
      <c r="L53" s="1664">
        <f t="shared" si="37"/>
        <v>0.16843149707600344</v>
      </c>
      <c r="M53" s="714">
        <f t="shared" si="37"/>
        <v>0.15963942589723554</v>
      </c>
      <c r="N53" s="714">
        <f t="shared" si="37"/>
        <v>0.16272594675477683</v>
      </c>
      <c r="O53" s="714">
        <f t="shared" si="37"/>
        <v>0.19541297365489513</v>
      </c>
      <c r="P53" s="1664">
        <f t="shared" si="37"/>
        <v>0.15685623361360601</v>
      </c>
      <c r="Q53" s="714">
        <f t="shared" si="37"/>
        <v>0.15913646097829423</v>
      </c>
      <c r="R53" s="714">
        <f t="shared" si="37"/>
        <v>0.17532819017059978</v>
      </c>
      <c r="S53" s="2140">
        <f t="shared" si="37"/>
        <v>0.20396245251378883</v>
      </c>
      <c r="T53" s="1093">
        <f t="shared" si="37"/>
        <v>0.17114316579408873</v>
      </c>
      <c r="U53" s="714">
        <f t="shared" ref="U53:AA53" si="38">IFERROR(U52/U43,"")</f>
        <v>0.14325613274877363</v>
      </c>
      <c r="V53" s="714">
        <f t="shared" si="38"/>
        <v>0.17863854164272297</v>
      </c>
      <c r="W53" s="2140">
        <f t="shared" si="38"/>
        <v>0.18873402955913723</v>
      </c>
      <c r="X53" s="1093">
        <f t="shared" si="38"/>
        <v>0.16681995612969658</v>
      </c>
      <c r="Y53" s="714">
        <f t="shared" si="38"/>
        <v>0.14821357323795306</v>
      </c>
      <c r="Z53" s="714">
        <f t="shared" si="38"/>
        <v>0.15257470233685927</v>
      </c>
      <c r="AA53" s="2212">
        <f t="shared" si="38"/>
        <v>0.18259073983699217</v>
      </c>
      <c r="AB53" s="2131">
        <v>0.16900000000000001</v>
      </c>
      <c r="AC53" s="1302">
        <v>0.15</v>
      </c>
      <c r="AD53" s="1302">
        <v>0.17699999999999999</v>
      </c>
      <c r="AE53" s="1687">
        <f>IFERROR(AE52/AE43,"")</f>
        <v>0.11748866553893461</v>
      </c>
    </row>
    <row r="54" spans="2:31" ht="12" customHeight="1">
      <c r="B54" s="707" t="s">
        <v>92</v>
      </c>
      <c r="C54" s="707"/>
      <c r="D54" s="1092">
        <f>D18</f>
        <v>45.432064320000002</v>
      </c>
      <c r="E54" s="711">
        <f>E18-D18</f>
        <v>57.918135679999999</v>
      </c>
      <c r="F54" s="711">
        <f>F18-E18</f>
        <v>53.414127820000004</v>
      </c>
      <c r="G54" s="711">
        <f>G18-F18</f>
        <v>62.674644699999988</v>
      </c>
      <c r="H54" s="1665">
        <f>H18</f>
        <v>63.642068700000003</v>
      </c>
      <c r="I54" s="711">
        <f>I18-H18</f>
        <v>88.873486329999992</v>
      </c>
      <c r="J54" s="711">
        <f>J18-I18</f>
        <v>71.52961646</v>
      </c>
      <c r="K54" s="711">
        <f>K18-J18</f>
        <v>70.396378449999958</v>
      </c>
      <c r="L54" s="1665">
        <f>L18</f>
        <v>78.921320660000006</v>
      </c>
      <c r="M54" s="711">
        <f>M18-L18</f>
        <v>72.435543519999996</v>
      </c>
      <c r="N54" s="711">
        <f>N18-M18</f>
        <v>84.184480250000007</v>
      </c>
      <c r="O54" s="711">
        <f>O18-N18</f>
        <v>63.738462899999973</v>
      </c>
      <c r="P54" s="1665">
        <f>P18</f>
        <v>91.260641199999995</v>
      </c>
      <c r="Q54" s="711">
        <f>Q18-P18</f>
        <v>97.906632600000009</v>
      </c>
      <c r="R54" s="711">
        <f>R18-Q18</f>
        <v>112.31041306</v>
      </c>
      <c r="S54" s="2136">
        <f>S18-R18</f>
        <v>121.50742266000003</v>
      </c>
      <c r="T54" s="1092">
        <f>T18</f>
        <v>113.74836514</v>
      </c>
      <c r="U54" s="711">
        <f>U18-T18</f>
        <v>109.09016826999996</v>
      </c>
      <c r="V54" s="711">
        <f>V18-U18</f>
        <v>133.54334941000002</v>
      </c>
      <c r="W54" s="2136">
        <f>W18-V18</f>
        <v>131.94319295000003</v>
      </c>
      <c r="X54" s="1092">
        <f>X18</f>
        <v>136.94042983</v>
      </c>
      <c r="Y54" s="711">
        <f>Y18-X18</f>
        <v>154.49459252</v>
      </c>
      <c r="Z54" s="711">
        <f>Z18-Y18</f>
        <v>173.62912742999998</v>
      </c>
      <c r="AA54" s="2213">
        <f>AA18-Z18</f>
        <v>144.3486046171613</v>
      </c>
      <c r="AB54" s="1092">
        <f>AB55*AB43</f>
        <v>172.93071770415213</v>
      </c>
      <c r="AC54" s="711">
        <f>AC55*AC43</f>
        <v>165.23288567618923</v>
      </c>
      <c r="AD54" s="711">
        <f>AD55*AD43</f>
        <v>195.31273438006195</v>
      </c>
      <c r="AE54" s="711">
        <f>AE18-AD18</f>
        <v>176.06494330277042</v>
      </c>
    </row>
    <row r="55" spans="2:31" ht="12" customHeight="1">
      <c r="B55" s="712" t="s">
        <v>105</v>
      </c>
      <c r="C55" s="712"/>
      <c r="D55" s="1093">
        <f t="shared" ref="D55:T55" si="39">IFERROR(D54/D43,"")</f>
        <v>4.8683322061429661E-2</v>
      </c>
      <c r="E55" s="714">
        <f t="shared" si="39"/>
        <v>3.7701068998168635E-2</v>
      </c>
      <c r="F55" s="714">
        <f t="shared" si="39"/>
        <v>3.3932384474738363E-2</v>
      </c>
      <c r="G55" s="714">
        <f t="shared" si="39"/>
        <v>6.8503940128457244E-2</v>
      </c>
      <c r="H55" s="1664">
        <f t="shared" si="39"/>
        <v>3.7190143207669522E-2</v>
      </c>
      <c r="I55" s="714">
        <f t="shared" si="39"/>
        <v>4.5090555609229532E-2</v>
      </c>
      <c r="J55" s="714">
        <f t="shared" si="39"/>
        <v>3.8089187507789911E-2</v>
      </c>
      <c r="K55" s="714">
        <f t="shared" si="39"/>
        <v>4.9658493948478169E-2</v>
      </c>
      <c r="L55" s="1664">
        <f t="shared" si="39"/>
        <v>3.9331988319633776E-2</v>
      </c>
      <c r="M55" s="714">
        <f t="shared" si="39"/>
        <v>3.170418724949238E-2</v>
      </c>
      <c r="N55" s="714">
        <f t="shared" si="39"/>
        <v>3.5776387291625356E-2</v>
      </c>
      <c r="O55" s="714">
        <f t="shared" si="39"/>
        <v>3.4248805672864244E-2</v>
      </c>
      <c r="P55" s="1664">
        <f t="shared" si="39"/>
        <v>3.6638116814650852E-2</v>
      </c>
      <c r="Q55" s="714">
        <f t="shared" si="39"/>
        <v>3.2972757893110334E-2</v>
      </c>
      <c r="R55" s="714">
        <f t="shared" si="39"/>
        <v>3.5309662692753103E-2</v>
      </c>
      <c r="S55" s="2140">
        <f t="shared" si="39"/>
        <v>4.634359438886438E-2</v>
      </c>
      <c r="T55" s="1093">
        <f t="shared" si="39"/>
        <v>3.2665963528667546E-2</v>
      </c>
      <c r="U55" s="714">
        <f t="shared" ref="U55:AA55" si="40">IFERROR(U54/U43,"")</f>
        <v>2.4843357970458484E-2</v>
      </c>
      <c r="V55" s="714">
        <f t="shared" si="40"/>
        <v>2.8504488881311352E-2</v>
      </c>
      <c r="W55" s="2140">
        <f t="shared" si="40"/>
        <v>4.0219589838964433E-2</v>
      </c>
      <c r="X55" s="1093">
        <f t="shared" si="40"/>
        <v>2.824637055166063E-2</v>
      </c>
      <c r="Y55" s="714">
        <f t="shared" si="40"/>
        <v>2.6236413219864922E-2</v>
      </c>
      <c r="Z55" s="714">
        <f t="shared" si="40"/>
        <v>2.8429582499246549E-2</v>
      </c>
      <c r="AA55" s="2212">
        <f t="shared" si="40"/>
        <v>3.4800048662093748E-2</v>
      </c>
      <c r="AB55" s="2131">
        <v>2.9000000000000001E-2</v>
      </c>
      <c r="AC55" s="1302">
        <v>2.3E-2</v>
      </c>
      <c r="AD55" s="1302">
        <v>2.5999999999999999E-2</v>
      </c>
      <c r="AE55" s="1687">
        <f>IFERROR(AE54/AE43,"")</f>
        <v>3.7110731145101758E-2</v>
      </c>
    </row>
    <row r="56" spans="2:31" ht="12" customHeight="1">
      <c r="B56" s="707" t="s">
        <v>87</v>
      </c>
      <c r="C56" s="707"/>
      <c r="D56" s="1092">
        <f>D20</f>
        <v>0</v>
      </c>
      <c r="E56" s="711">
        <f t="shared" ref="E56:G60" si="41">E20-D20</f>
        <v>0</v>
      </c>
      <c r="F56" s="711">
        <f t="shared" si="41"/>
        <v>0</v>
      </c>
      <c r="G56" s="711">
        <f t="shared" si="41"/>
        <v>0</v>
      </c>
      <c r="H56" s="1665">
        <f>H20</f>
        <v>0</v>
      </c>
      <c r="I56" s="711">
        <f t="shared" ref="I56:K60" si="42">I20-H20</f>
        <v>6.2103795100000001</v>
      </c>
      <c r="J56" s="711">
        <f t="shared" si="42"/>
        <v>12.194791560000002</v>
      </c>
      <c r="K56" s="711">
        <f t="shared" si="42"/>
        <v>98.264918859999995</v>
      </c>
      <c r="L56" s="1665">
        <f>L20</f>
        <v>9.0390022499999993</v>
      </c>
      <c r="M56" s="711">
        <f t="shared" ref="M56:O60" si="43">M20-L20</f>
        <v>23.840000229999998</v>
      </c>
      <c r="N56" s="711">
        <f t="shared" si="43"/>
        <v>12.050163420000004</v>
      </c>
      <c r="O56" s="711">
        <f t="shared" si="43"/>
        <v>-32.141334800000003</v>
      </c>
      <c r="P56" s="1665">
        <f>P20</f>
        <v>31.60465378</v>
      </c>
      <c r="Q56" s="711">
        <f t="shared" ref="Q56:S60" si="44">Q20-P20</f>
        <v>40.713275379999992</v>
      </c>
      <c r="R56" s="711">
        <f t="shared" si="44"/>
        <v>-9.481077049999989</v>
      </c>
      <c r="S56" s="2136">
        <f t="shared" si="44"/>
        <v>-33.464419210000003</v>
      </c>
      <c r="T56" s="1092">
        <f>T20</f>
        <v>27.353914769999999</v>
      </c>
      <c r="U56" s="711">
        <f t="shared" ref="U56:Z60" si="45">U20-T20</f>
        <v>-12.82437084</v>
      </c>
      <c r="V56" s="711">
        <f t="shared" si="45"/>
        <v>15.245436269999999</v>
      </c>
      <c r="W56" s="2136">
        <f t="shared" si="45"/>
        <v>3.1736014700000048</v>
      </c>
      <c r="X56" s="1092">
        <f>X20</f>
        <v>22.160317339999999</v>
      </c>
      <c r="Y56" s="711">
        <f t="shared" si="45"/>
        <v>57.135657549999998</v>
      </c>
      <c r="Z56" s="711">
        <f>Z20-Y20</f>
        <v>120.31693178</v>
      </c>
      <c r="AA56" s="2213">
        <f>AA20-Z20</f>
        <v>1.387093329999999</v>
      </c>
      <c r="AB56" s="2132">
        <f>X56</f>
        <v>22.160317339999999</v>
      </c>
      <c r="AC56" s="1306">
        <f>Y56</f>
        <v>57.135657549999998</v>
      </c>
      <c r="AD56" s="1306">
        <f>Z56</f>
        <v>120.31693178</v>
      </c>
      <c r="AE56" s="711">
        <f>AE20-AD20</f>
        <v>-149.61290667</v>
      </c>
    </row>
    <row r="57" spans="2:31" s="133" customFormat="1" ht="12" customHeight="1">
      <c r="B57" s="1321" t="s">
        <v>35</v>
      </c>
      <c r="C57" s="1321"/>
      <c r="D57" s="1322">
        <f>D21</f>
        <v>205.07899835999999</v>
      </c>
      <c r="E57" s="1323">
        <f t="shared" si="41"/>
        <v>361.44460163999986</v>
      </c>
      <c r="F57" s="1323">
        <f t="shared" si="41"/>
        <v>316.63298727000006</v>
      </c>
      <c r="G57" s="1323">
        <f t="shared" si="41"/>
        <v>117.97220137000033</v>
      </c>
      <c r="H57" s="1667">
        <f>H21</f>
        <v>429.27595260000015</v>
      </c>
      <c r="I57" s="1323">
        <f t="shared" si="42"/>
        <v>412.7558764000002</v>
      </c>
      <c r="J57" s="1323">
        <f t="shared" si="42"/>
        <v>389.81800337999914</v>
      </c>
      <c r="K57" s="1323">
        <f t="shared" si="42"/>
        <v>240.65646968000033</v>
      </c>
      <c r="L57" s="1667">
        <f>L21</f>
        <v>437.71609525999986</v>
      </c>
      <c r="M57" s="1323">
        <f t="shared" si="43"/>
        <v>524.12989345999961</v>
      </c>
      <c r="N57" s="1323">
        <f t="shared" si="43"/>
        <v>466.56922695000071</v>
      </c>
      <c r="O57" s="1323">
        <f t="shared" si="43"/>
        <v>342.74781713999892</v>
      </c>
      <c r="P57" s="1667">
        <f>P21</f>
        <v>607.19977640000025</v>
      </c>
      <c r="Q57" s="1323">
        <f t="shared" si="44"/>
        <v>705.57267377999892</v>
      </c>
      <c r="R57" s="1323">
        <f t="shared" si="44"/>
        <v>606.64280765000149</v>
      </c>
      <c r="S57" s="2148">
        <f t="shared" si="44"/>
        <v>459.73775237999939</v>
      </c>
      <c r="T57" s="1322">
        <f>T47-T50-T52-T54+T56</f>
        <v>770.17139040999962</v>
      </c>
      <c r="U57" s="1323">
        <f t="shared" si="45"/>
        <v>1222.7879919700013</v>
      </c>
      <c r="V57" s="1323">
        <f t="shared" si="45"/>
        <v>1149.9494523400001</v>
      </c>
      <c r="W57" s="2148">
        <f t="shared" si="45"/>
        <v>657.79803500000025</v>
      </c>
      <c r="X57" s="1322">
        <f>X47-X50-X52-X54+X56</f>
        <v>1185.58305739</v>
      </c>
      <c r="Y57" s="1323">
        <f t="shared" si="45"/>
        <v>1655.5287112500025</v>
      </c>
      <c r="Z57" s="1323">
        <f t="shared" si="45"/>
        <v>1713.2458303999979</v>
      </c>
      <c r="AA57" s="2215">
        <f t="shared" ref="AA57:AD57" si="46">AA47-AA50-AA52-AA54+AA56+AA59</f>
        <v>880.09557775695589</v>
      </c>
      <c r="AB57" s="1322">
        <f t="shared" si="46"/>
        <v>1528.1698138874638</v>
      </c>
      <c r="AC57" s="1323">
        <f t="shared" si="46"/>
        <v>2075.4280370056372</v>
      </c>
      <c r="AD57" s="1323">
        <f t="shared" si="46"/>
        <v>2011.358072224594</v>
      </c>
      <c r="AE57" s="1323">
        <f>AE47-AE50-AE52-AE54+AE56+AE59</f>
        <v>1152.0607647025254</v>
      </c>
    </row>
    <row r="58" spans="2:31" ht="12" customHeight="1">
      <c r="B58" s="707" t="s">
        <v>29</v>
      </c>
      <c r="C58" s="707"/>
      <c r="D58" s="1092">
        <f>D22</f>
        <v>-3.7269526499999999</v>
      </c>
      <c r="E58" s="711">
        <f t="shared" si="41"/>
        <v>-3.0950473500000002</v>
      </c>
      <c r="F58" s="711">
        <f t="shared" si="41"/>
        <v>-4.619569470000001</v>
      </c>
      <c r="G58" s="711">
        <f t="shared" si="41"/>
        <v>-4.4893705199999996</v>
      </c>
      <c r="H58" s="1665">
        <f>H22</f>
        <v>-2.3103463500000001</v>
      </c>
      <c r="I58" s="711">
        <f t="shared" si="42"/>
        <v>-1.9861141999999998</v>
      </c>
      <c r="J58" s="711">
        <f t="shared" si="42"/>
        <v>-6.3750548500000006</v>
      </c>
      <c r="K58" s="711">
        <f t="shared" si="42"/>
        <v>-0.72244191999999963</v>
      </c>
      <c r="L58" s="1665">
        <f>L22</f>
        <v>7.1531040399999997</v>
      </c>
      <c r="M58" s="711">
        <f t="shared" si="43"/>
        <v>13.614283990000004</v>
      </c>
      <c r="N58" s="711">
        <f t="shared" si="43"/>
        <v>13.885305319999997</v>
      </c>
      <c r="O58" s="711">
        <f t="shared" si="43"/>
        <v>6.3867901799999984</v>
      </c>
      <c r="P58" s="1665">
        <f>P22</f>
        <v>-5.9037631100000008</v>
      </c>
      <c r="Q58" s="711">
        <f t="shared" si="44"/>
        <v>0.61068727000000056</v>
      </c>
      <c r="R58" s="711">
        <f t="shared" si="44"/>
        <v>-18.629631809999999</v>
      </c>
      <c r="S58" s="2136">
        <f t="shared" si="44"/>
        <v>26.208324470000001</v>
      </c>
      <c r="T58" s="1092">
        <f>T22</f>
        <v>-45.066576090000005</v>
      </c>
      <c r="U58" s="711">
        <f t="shared" si="45"/>
        <v>-59.377861069999987</v>
      </c>
      <c r="V58" s="711">
        <f t="shared" si="45"/>
        <v>-30.469263840000011</v>
      </c>
      <c r="W58" s="2136">
        <f t="shared" si="45"/>
        <v>-55.622030499999994</v>
      </c>
      <c r="X58" s="1092">
        <f>X22</f>
        <v>-18.06672721</v>
      </c>
      <c r="Y58" s="711">
        <f t="shared" si="45"/>
        <v>-46.155894979999999</v>
      </c>
      <c r="Z58" s="711">
        <f t="shared" si="45"/>
        <v>-9.4679810700000075</v>
      </c>
      <c r="AA58" s="2213">
        <f>AA22-Z22</f>
        <v>-65.356504142945667</v>
      </c>
      <c r="AB58" s="2132">
        <f t="shared" ref="AB58:AD64" si="47">X58</f>
        <v>-18.06672721</v>
      </c>
      <c r="AC58" s="1306">
        <f t="shared" si="47"/>
        <v>-46.155894979999999</v>
      </c>
      <c r="AD58" s="1306">
        <f t="shared" si="47"/>
        <v>-9.4679810700000075</v>
      </c>
      <c r="AE58" s="711">
        <f>AE22-AD22</f>
        <v>-117.76187185645945</v>
      </c>
    </row>
    <row r="59" spans="2:31" ht="12" customHeight="1">
      <c r="B59" s="707" t="s">
        <v>88</v>
      </c>
      <c r="C59" s="707"/>
      <c r="D59" s="1092">
        <f>D23</f>
        <v>0.13945005999999999</v>
      </c>
      <c r="E59" s="711">
        <f t="shared" si="41"/>
        <v>-1.13235006</v>
      </c>
      <c r="F59" s="711">
        <f t="shared" si="41"/>
        <v>0.50023401999999995</v>
      </c>
      <c r="G59" s="711">
        <f t="shared" si="41"/>
        <v>1.11018668</v>
      </c>
      <c r="H59" s="1665">
        <f>H23</f>
        <v>-0.54270748000000002</v>
      </c>
      <c r="I59" s="711">
        <f t="shared" si="42"/>
        <v>-0.22727615999999995</v>
      </c>
      <c r="J59" s="711">
        <f t="shared" si="42"/>
        <v>0.10801010999999994</v>
      </c>
      <c r="K59" s="711">
        <f t="shared" si="42"/>
        <v>-0.12306090999999986</v>
      </c>
      <c r="L59" s="1665">
        <f>L23</f>
        <v>-0.21463557</v>
      </c>
      <c r="M59" s="711">
        <f t="shared" si="43"/>
        <v>-0.64431092999999995</v>
      </c>
      <c r="N59" s="711">
        <f t="shared" si="43"/>
        <v>0.57204188</v>
      </c>
      <c r="O59" s="711">
        <f t="shared" si="43"/>
        <v>-7.1236429999999962E-2</v>
      </c>
      <c r="P59" s="1665">
        <f>P23</f>
        <v>-1.5557318600000001</v>
      </c>
      <c r="Q59" s="711">
        <f t="shared" si="44"/>
        <v>0.30755085000000015</v>
      </c>
      <c r="R59" s="711">
        <f t="shared" si="44"/>
        <v>-0.86074776999999991</v>
      </c>
      <c r="S59" s="2136">
        <f t="shared" si="44"/>
        <v>0.41650919999999969</v>
      </c>
      <c r="T59" s="1092">
        <f>T23</f>
        <v>-0.62299958</v>
      </c>
      <c r="U59" s="711">
        <f t="shared" si="45"/>
        <v>-0.99708322000000005</v>
      </c>
      <c r="V59" s="711">
        <f t="shared" si="45"/>
        <v>-1.3708698200000002</v>
      </c>
      <c r="W59" s="2136">
        <f t="shared" si="45"/>
        <v>2.0330255400000006</v>
      </c>
      <c r="X59" s="1092">
        <f>X23</f>
        <v>1.1868386599999998</v>
      </c>
      <c r="Y59" s="711">
        <f t="shared" si="45"/>
        <v>-3.1145398399999999</v>
      </c>
      <c r="Z59" s="711">
        <f t="shared" si="45"/>
        <v>0.37406512999999975</v>
      </c>
      <c r="AA59" s="2213">
        <f>AA23-Z23</f>
        <v>0.59570897000000023</v>
      </c>
      <c r="AB59" s="2132">
        <f t="shared" si="47"/>
        <v>1.1868386599999998</v>
      </c>
      <c r="AC59" s="1306">
        <f t="shared" si="47"/>
        <v>-3.1145398399999999</v>
      </c>
      <c r="AD59" s="1306">
        <f t="shared" si="47"/>
        <v>0.37406512999999975</v>
      </c>
      <c r="AE59" s="711">
        <f>AE23-AD23</f>
        <v>0.59570897000000045</v>
      </c>
    </row>
    <row r="60" spans="2:31" ht="12" customHeight="1">
      <c r="B60" s="707" t="s">
        <v>85</v>
      </c>
      <c r="C60" s="707"/>
      <c r="D60" s="1092">
        <f>D24</f>
        <v>1.09064915</v>
      </c>
      <c r="E60" s="711">
        <f t="shared" si="41"/>
        <v>2.8267508500000003</v>
      </c>
      <c r="F60" s="711">
        <f t="shared" si="41"/>
        <v>2.4244718299999994</v>
      </c>
      <c r="G60" s="711">
        <f t="shared" si="41"/>
        <v>3.4952527499999997</v>
      </c>
      <c r="H60" s="1665">
        <f>H24</f>
        <v>3.9421580199999999</v>
      </c>
      <c r="I60" s="711">
        <f t="shared" si="42"/>
        <v>5.5884103900000008</v>
      </c>
      <c r="J60" s="711">
        <f t="shared" si="42"/>
        <v>6.5574395099999983</v>
      </c>
      <c r="K60" s="711">
        <f t="shared" si="42"/>
        <v>6.4387076500000013</v>
      </c>
      <c r="L60" s="1665">
        <f>L24</f>
        <v>4.6209256999999999</v>
      </c>
      <c r="M60" s="711">
        <f t="shared" si="43"/>
        <v>10.398190370000002</v>
      </c>
      <c r="N60" s="711">
        <f t="shared" si="43"/>
        <v>32.316248969999997</v>
      </c>
      <c r="O60" s="711">
        <f t="shared" si="43"/>
        <v>22.683093459999995</v>
      </c>
      <c r="P60" s="1665">
        <f>P24</f>
        <v>19.176182390000001</v>
      </c>
      <c r="Q60" s="711">
        <f t="shared" si="44"/>
        <v>53.662090200000002</v>
      </c>
      <c r="R60" s="711">
        <f t="shared" si="44"/>
        <v>48.318441419999999</v>
      </c>
      <c r="S60" s="2136">
        <f t="shared" si="44"/>
        <v>20.406885799999998</v>
      </c>
      <c r="T60" s="1092">
        <f>T24</f>
        <v>8.6223378800000017</v>
      </c>
      <c r="U60" s="711">
        <f t="shared" si="45"/>
        <v>27.230994159999995</v>
      </c>
      <c r="V60" s="711">
        <f t="shared" si="45"/>
        <v>30.859406550000003</v>
      </c>
      <c r="W60" s="2136">
        <f t="shared" si="45"/>
        <v>28.603115830000007</v>
      </c>
      <c r="X60" s="1092">
        <f>X24</f>
        <v>26.18870961</v>
      </c>
      <c r="Y60" s="711">
        <f t="shared" si="45"/>
        <v>30.517500609999995</v>
      </c>
      <c r="Z60" s="711">
        <f t="shared" si="45"/>
        <v>33.951054030000002</v>
      </c>
      <c r="AA60" s="2213">
        <f>AA24-Z24</f>
        <v>19.342735750000003</v>
      </c>
      <c r="AB60" s="2132">
        <f t="shared" si="47"/>
        <v>26.18870961</v>
      </c>
      <c r="AC60" s="1306">
        <f t="shared" si="47"/>
        <v>30.517500609999995</v>
      </c>
      <c r="AD60" s="1306">
        <f t="shared" si="47"/>
        <v>33.951054030000002</v>
      </c>
      <c r="AE60" s="711">
        <f>AE24-AD24</f>
        <v>19.342735750000003</v>
      </c>
    </row>
    <row r="61" spans="2:31" ht="12" customHeight="1">
      <c r="B61" s="707" t="s">
        <v>83</v>
      </c>
      <c r="C61" s="707"/>
      <c r="D61" s="1092">
        <f>D26</f>
        <v>0</v>
      </c>
      <c r="E61" s="711">
        <f>E26-D26</f>
        <v>0</v>
      </c>
      <c r="F61" s="711">
        <f>F26-E26</f>
        <v>0</v>
      </c>
      <c r="G61" s="711">
        <f>G26-F26</f>
        <v>0</v>
      </c>
      <c r="H61" s="1665">
        <f>H26</f>
        <v>0</v>
      </c>
      <c r="I61" s="711">
        <f>I26-H26</f>
        <v>0</v>
      </c>
      <c r="J61" s="711">
        <f>J26-I26</f>
        <v>0</v>
      </c>
      <c r="K61" s="711">
        <f>K26-J26</f>
        <v>0</v>
      </c>
      <c r="L61" s="1665">
        <f>L26</f>
        <v>0</v>
      </c>
      <c r="M61" s="711">
        <f>M26-L26</f>
        <v>0</v>
      </c>
      <c r="N61" s="711">
        <f>N26-M26</f>
        <v>0</v>
      </c>
      <c r="O61" s="711">
        <f>O26-N26</f>
        <v>0</v>
      </c>
      <c r="P61" s="1665">
        <f>P26</f>
        <v>0</v>
      </c>
      <c r="Q61" s="711">
        <f>Q26-P26</f>
        <v>0</v>
      </c>
      <c r="R61" s="711">
        <f>R26-Q26</f>
        <v>0</v>
      </c>
      <c r="S61" s="2136">
        <f>S26-R26</f>
        <v>0</v>
      </c>
      <c r="T61" s="1092">
        <f>T26</f>
        <v>0</v>
      </c>
      <c r="U61" s="711">
        <f>U26-T26</f>
        <v>0</v>
      </c>
      <c r="V61" s="711">
        <f>V26-U26</f>
        <v>0</v>
      </c>
      <c r="W61" s="2136">
        <f>W26-V26</f>
        <v>0</v>
      </c>
      <c r="X61" s="1092">
        <f>X26</f>
        <v>0</v>
      </c>
      <c r="Y61" s="711">
        <f>Y26-X26</f>
        <v>0</v>
      </c>
      <c r="Z61" s="711">
        <f>Z26-Y26</f>
        <v>0</v>
      </c>
      <c r="AA61" s="2213">
        <f>AA26-Z26</f>
        <v>0</v>
      </c>
      <c r="AB61" s="2132">
        <f t="shared" si="47"/>
        <v>0</v>
      </c>
      <c r="AC61" s="1306">
        <f t="shared" si="47"/>
        <v>0</v>
      </c>
      <c r="AD61" s="1306">
        <f t="shared" si="47"/>
        <v>0</v>
      </c>
      <c r="AE61" s="711">
        <f>AE26-AD26</f>
        <v>0</v>
      </c>
    </row>
    <row r="62" spans="2:31" ht="12" customHeight="1">
      <c r="B62" s="707" t="s">
        <v>992</v>
      </c>
      <c r="C62" s="707"/>
      <c r="D62" s="1092">
        <f>+D25</f>
        <v>1.1299999999999999</v>
      </c>
      <c r="E62" s="711">
        <f>+E25-D25</f>
        <v>5.8</v>
      </c>
      <c r="F62" s="711">
        <f>+F25-E25</f>
        <v>9.3099999999999987</v>
      </c>
      <c r="G62" s="711">
        <f>+G25-F25</f>
        <v>7.16</v>
      </c>
      <c r="H62" s="1665">
        <f>+H25</f>
        <v>3.4330098000000002</v>
      </c>
      <c r="I62" s="711">
        <f>+I25-H25</f>
        <v>7.8227202699999996</v>
      </c>
      <c r="J62" s="711">
        <f>+J25-I25</f>
        <v>3.2973250299999997</v>
      </c>
      <c r="K62" s="711">
        <f>+K25-J25</f>
        <v>7.5772745100000005</v>
      </c>
      <c r="L62" s="1665">
        <f>+L25</f>
        <v>4.4699807499999995</v>
      </c>
      <c r="M62" s="711">
        <f>+M25-L25</f>
        <v>4.6497856999999989</v>
      </c>
      <c r="N62" s="711">
        <f>+N25-M25</f>
        <v>46.866153429999997</v>
      </c>
      <c r="O62" s="711">
        <f>+O25-N25</f>
        <v>-1.8612605399999964</v>
      </c>
      <c r="P62" s="1665">
        <f>+P25</f>
        <v>8.6078136599999997</v>
      </c>
      <c r="Q62" s="711">
        <f>+Q25-P25</f>
        <v>1.8599964999999994</v>
      </c>
      <c r="R62" s="711">
        <f>+R25-Q25</f>
        <v>15.095891560000002</v>
      </c>
      <c r="S62" s="2136">
        <f>+S25-R25</f>
        <v>44.373044960000001</v>
      </c>
      <c r="T62" s="1092">
        <f>+T25</f>
        <v>11.483304520000001</v>
      </c>
      <c r="U62" s="711">
        <f>+U25-T25</f>
        <v>5.6634353800000028</v>
      </c>
      <c r="V62" s="711">
        <f>+V25-U25</f>
        <v>6.8865992999999968</v>
      </c>
      <c r="W62" s="2136">
        <f>W25-V25</f>
        <v>34.801240460000002</v>
      </c>
      <c r="X62" s="1092">
        <f>+X25</f>
        <v>7.4950335399999997</v>
      </c>
      <c r="Y62" s="711">
        <f>+Y25-X25</f>
        <v>36.044407700000001</v>
      </c>
      <c r="Z62" s="711">
        <f>+Z25-Y25</f>
        <v>21.045527379999996</v>
      </c>
      <c r="AA62" s="2213">
        <f>AA25-Z25</f>
        <v>20.415031380000002</v>
      </c>
      <c r="AB62" s="2132">
        <f t="shared" si="47"/>
        <v>7.4950335399999997</v>
      </c>
      <c r="AC62" s="1306">
        <f t="shared" si="47"/>
        <v>36.044407700000001</v>
      </c>
      <c r="AD62" s="1306">
        <f t="shared" si="47"/>
        <v>21.045527379999996</v>
      </c>
      <c r="AE62" s="711">
        <f>AE25-AD25</f>
        <v>11.415031380000002</v>
      </c>
    </row>
    <row r="63" spans="2:31" ht="12" customHeight="1">
      <c r="B63" s="707" t="s">
        <v>81</v>
      </c>
      <c r="C63" s="707"/>
      <c r="D63" s="1092">
        <f>D27</f>
        <v>9.1178549999999997E-2</v>
      </c>
      <c r="E63" s="711">
        <f t="shared" ref="E63:G67" si="48">E27-D27</f>
        <v>0.54432144999999998</v>
      </c>
      <c r="F63" s="711">
        <f t="shared" si="48"/>
        <v>0.82225112000000022</v>
      </c>
      <c r="G63" s="711">
        <f t="shared" si="48"/>
        <v>0.51710435999999982</v>
      </c>
      <c r="H63" s="1665">
        <f>H27</f>
        <v>0.51280652999999998</v>
      </c>
      <c r="I63" s="711">
        <f t="shared" ref="I63:K67" si="49">I27-H27</f>
        <v>0.66636726000000013</v>
      </c>
      <c r="J63" s="711">
        <f t="shared" si="49"/>
        <v>0.54908713999999992</v>
      </c>
      <c r="K63" s="711">
        <f t="shared" si="49"/>
        <v>0.42883793000000003</v>
      </c>
      <c r="L63" s="1665">
        <f>L27</f>
        <v>0.41052686999999999</v>
      </c>
      <c r="M63" s="711">
        <f t="shared" ref="M63:O67" si="50">M27-L27</f>
        <v>0.75704605000000003</v>
      </c>
      <c r="N63" s="711">
        <f t="shared" si="50"/>
        <v>0.83975060999999984</v>
      </c>
      <c r="O63" s="711">
        <f t="shared" si="50"/>
        <v>0.32450196000000053</v>
      </c>
      <c r="P63" s="1665">
        <f>P27</f>
        <v>0.42915087000000002</v>
      </c>
      <c r="Q63" s="711">
        <f t="shared" ref="Q63:S67" si="51">Q27-P27</f>
        <v>0.77632161000000011</v>
      </c>
      <c r="R63" s="711">
        <f t="shared" si="51"/>
        <v>0.50183105000000006</v>
      </c>
      <c r="S63" s="2136">
        <f t="shared" si="51"/>
        <v>0.46182740999999994</v>
      </c>
      <c r="T63" s="1092">
        <f>T27</f>
        <v>0.43900358</v>
      </c>
      <c r="U63" s="711">
        <f t="shared" ref="U63:Z66" si="52">U27-T27</f>
        <v>0.49263989999999996</v>
      </c>
      <c r="V63" s="711">
        <f t="shared" si="52"/>
        <v>0.58206150000000001</v>
      </c>
      <c r="W63" s="2136">
        <f t="shared" si="52"/>
        <v>0.63654557</v>
      </c>
      <c r="X63" s="1092">
        <f>X27</f>
        <v>1.4393161399999999</v>
      </c>
      <c r="Y63" s="711">
        <f t="shared" si="52"/>
        <v>2.8610337100000001</v>
      </c>
      <c r="Z63" s="711">
        <f t="shared" si="52"/>
        <v>4.0692711199999998</v>
      </c>
      <c r="AA63" s="2213">
        <f>AA27-Z27</f>
        <v>0.63037903000000028</v>
      </c>
      <c r="AB63" s="2132">
        <f t="shared" si="47"/>
        <v>1.4393161399999999</v>
      </c>
      <c r="AC63" s="1306">
        <f t="shared" si="47"/>
        <v>2.8610337100000001</v>
      </c>
      <c r="AD63" s="1306">
        <f t="shared" si="47"/>
        <v>4.0692711199999998</v>
      </c>
      <c r="AE63" s="711">
        <f>AE27-AD27</f>
        <v>0.63037903000000028</v>
      </c>
    </row>
    <row r="64" spans="2:31" ht="12" customHeight="1">
      <c r="B64" s="707" t="s">
        <v>79</v>
      </c>
      <c r="C64" s="707"/>
      <c r="D64" s="1092">
        <f>D28</f>
        <v>12.992520369999999</v>
      </c>
      <c r="E64" s="719">
        <f t="shared" si="48"/>
        <v>6.894079630000002</v>
      </c>
      <c r="F64" s="719">
        <f t="shared" si="48"/>
        <v>1.0355252299999975</v>
      </c>
      <c r="G64" s="719">
        <f t="shared" si="48"/>
        <v>1.8036290300000033</v>
      </c>
      <c r="H64" s="1665">
        <f>H28</f>
        <v>1.1763711399999999</v>
      </c>
      <c r="I64" s="719">
        <f t="shared" si="49"/>
        <v>7.2512122500000009</v>
      </c>
      <c r="J64" s="719">
        <f t="shared" si="49"/>
        <v>3.1835829499999999</v>
      </c>
      <c r="K64" s="719">
        <f t="shared" si="49"/>
        <v>5.586422670000001</v>
      </c>
      <c r="L64" s="1665">
        <f>L28</f>
        <v>0.70651444999999991</v>
      </c>
      <c r="M64" s="719">
        <f t="shared" si="50"/>
        <v>4.6671610299999999</v>
      </c>
      <c r="N64" s="719">
        <f t="shared" si="50"/>
        <v>10.884532590000003</v>
      </c>
      <c r="O64" s="719">
        <f t="shared" si="50"/>
        <v>4.330535109999996</v>
      </c>
      <c r="P64" s="1665">
        <f>P28</f>
        <v>2.2665029999999999E-2</v>
      </c>
      <c r="Q64" s="719">
        <f t="shared" si="51"/>
        <v>0.38863933000000001</v>
      </c>
      <c r="R64" s="719">
        <f t="shared" si="51"/>
        <v>9.2144998499999993</v>
      </c>
      <c r="S64" s="2143">
        <f t="shared" si="51"/>
        <v>1.6401310200000001</v>
      </c>
      <c r="T64" s="1092">
        <f>T28</f>
        <v>5.4413695199999994</v>
      </c>
      <c r="U64" s="711">
        <f t="shared" si="52"/>
        <v>3.3298154299999991</v>
      </c>
      <c r="V64" s="711">
        <f t="shared" si="52"/>
        <v>6.7146150700000007</v>
      </c>
      <c r="W64" s="2136">
        <f t="shared" si="52"/>
        <v>24.12218755</v>
      </c>
      <c r="X64" s="1092">
        <f>X28</f>
        <v>6.7696148899999997</v>
      </c>
      <c r="Y64" s="711">
        <f t="shared" si="52"/>
        <v>2.7281405000000003</v>
      </c>
      <c r="Z64" s="711">
        <f t="shared" si="52"/>
        <v>5.5717530200000009</v>
      </c>
      <c r="AA64" s="2213">
        <f>AA28-Z28</f>
        <v>24.538479159999998</v>
      </c>
      <c r="AB64" s="2132">
        <f t="shared" si="47"/>
        <v>6.7696148899999997</v>
      </c>
      <c r="AC64" s="1306">
        <f t="shared" si="47"/>
        <v>2.7281405000000003</v>
      </c>
      <c r="AD64" s="1306">
        <f t="shared" si="47"/>
        <v>5.5717530200000009</v>
      </c>
      <c r="AE64" s="711">
        <f>AE28-AD28</f>
        <v>24.538479159999998</v>
      </c>
    </row>
    <row r="65" spans="2:31" s="133" customFormat="1" ht="12" customHeight="1">
      <c r="B65" s="713" t="s">
        <v>23</v>
      </c>
      <c r="C65" s="713"/>
      <c r="D65" s="1320">
        <f>D29</f>
        <v>198.12074183000001</v>
      </c>
      <c r="E65" s="1300">
        <f t="shared" si="48"/>
        <v>366.81915816999992</v>
      </c>
      <c r="F65" s="1300">
        <f t="shared" si="48"/>
        <v>332.77610450999998</v>
      </c>
      <c r="G65" s="1300">
        <f t="shared" si="48"/>
        <v>131.83364508</v>
      </c>
      <c r="H65" s="1663">
        <f>H29</f>
        <v>438.29790216000004</v>
      </c>
      <c r="I65" s="1300">
        <f t="shared" si="49"/>
        <v>421.56827626999996</v>
      </c>
      <c r="J65" s="1300">
        <f t="shared" si="49"/>
        <v>403.41332696000018</v>
      </c>
      <c r="K65" s="1300">
        <f t="shared" si="49"/>
        <v>250.23730901999988</v>
      </c>
      <c r="L65" s="1663">
        <f>L29</f>
        <v>439.35791008999996</v>
      </c>
      <c r="M65" s="1300">
        <f t="shared" si="50"/>
        <v>521.65347055999996</v>
      </c>
      <c r="N65" s="1300">
        <f t="shared" si="50"/>
        <v>521.82154205000018</v>
      </c>
      <c r="O65" s="1300">
        <f t="shared" si="50"/>
        <v>353.1768267299999</v>
      </c>
      <c r="P65" s="1778">
        <f>P29</f>
        <v>641.29402140000002</v>
      </c>
      <c r="Q65" s="1777">
        <f t="shared" si="51"/>
        <v>760.87175549000017</v>
      </c>
      <c r="R65" s="1777">
        <f t="shared" si="51"/>
        <v>679.97410363999984</v>
      </c>
      <c r="S65" s="2259">
        <f t="shared" si="51"/>
        <v>497.13105506000011</v>
      </c>
      <c r="T65" s="1320">
        <f>T57-T58+T60+T61+T62+T63-T64</f>
        <v>830.3412429599997</v>
      </c>
      <c r="U65" s="1300">
        <f t="shared" ref="U65:V67" si="53">U29-T29</f>
        <v>1312.2231070500002</v>
      </c>
      <c r="V65" s="1777">
        <f t="shared" si="53"/>
        <v>1212.0321684599999</v>
      </c>
      <c r="W65" s="2142">
        <f t="shared" ref="W65:AE65" si="54">W57-W58+W60+W61+W62+W63-W64</f>
        <v>753.33877981000012</v>
      </c>
      <c r="X65" s="1320">
        <f t="shared" si="54"/>
        <v>1232.0032289999999</v>
      </c>
      <c r="Y65" s="1300">
        <f>Y29-X29</f>
        <v>1768.3794077499999</v>
      </c>
      <c r="Z65" s="1777">
        <f t="shared" si="52"/>
        <v>1776.2079109800002</v>
      </c>
      <c r="AA65" s="2211">
        <f t="shared" si="54"/>
        <v>961.30174889990155</v>
      </c>
      <c r="AB65" s="1320">
        <f t="shared" si="54"/>
        <v>1574.5899854974637</v>
      </c>
      <c r="AC65" s="1300">
        <f t="shared" si="54"/>
        <v>2188.2787335056373</v>
      </c>
      <c r="AD65" s="1300">
        <f t="shared" si="54"/>
        <v>2074.3201528045938</v>
      </c>
      <c r="AE65" s="1300">
        <f t="shared" si="54"/>
        <v>1276.672303558985</v>
      </c>
    </row>
    <row r="66" spans="2:31" ht="12" customHeight="1">
      <c r="B66" s="707" t="s">
        <v>76</v>
      </c>
      <c r="C66" s="707"/>
      <c r="D66" s="1092">
        <f>D30</f>
        <v>44.475694170000004</v>
      </c>
      <c r="E66" s="711">
        <f t="shared" si="48"/>
        <v>79.157005830000003</v>
      </c>
      <c r="F66" s="711">
        <f t="shared" si="48"/>
        <v>70.040576369999997</v>
      </c>
      <c r="G66" s="711">
        <f t="shared" si="48"/>
        <v>23.812862240000015</v>
      </c>
      <c r="H66" s="1665">
        <f>H30</f>
        <v>96.408436599999987</v>
      </c>
      <c r="I66" s="711">
        <f t="shared" si="49"/>
        <v>87.631611390000018</v>
      </c>
      <c r="J66" s="711">
        <f t="shared" si="49"/>
        <v>83.205507909999994</v>
      </c>
      <c r="K66" s="711">
        <f t="shared" si="49"/>
        <v>53.310850920000007</v>
      </c>
      <c r="L66" s="1665">
        <f>L30</f>
        <v>94.708990319999998</v>
      </c>
      <c r="M66" s="711">
        <f t="shared" si="50"/>
        <v>111.67261341</v>
      </c>
      <c r="N66" s="711">
        <f t="shared" si="50"/>
        <v>110.94526862000004</v>
      </c>
      <c r="O66" s="711">
        <f t="shared" si="50"/>
        <v>78.162305719999949</v>
      </c>
      <c r="P66" s="1665">
        <f>P30</f>
        <v>144.04229140000001</v>
      </c>
      <c r="Q66" s="711">
        <f t="shared" si="51"/>
        <v>150.00323636999997</v>
      </c>
      <c r="R66" s="711">
        <f t="shared" si="51"/>
        <v>132.49349839000007</v>
      </c>
      <c r="S66" s="2136">
        <f t="shared" si="51"/>
        <v>112.95910550999986</v>
      </c>
      <c r="T66" s="1092">
        <f>T30</f>
        <v>165.83784508000002</v>
      </c>
      <c r="U66" s="711">
        <f t="shared" si="53"/>
        <v>245.51200655999997</v>
      </c>
      <c r="V66" s="711">
        <f t="shared" si="53"/>
        <v>235.2312598100001</v>
      </c>
      <c r="W66" s="2136">
        <f>W30-V30</f>
        <v>134.30218255999989</v>
      </c>
      <c r="X66" s="1092">
        <f>X30</f>
        <v>253.23469449999999</v>
      </c>
      <c r="Y66" s="711">
        <f t="shared" si="52"/>
        <v>373.82021710999999</v>
      </c>
      <c r="Z66" s="711">
        <f t="shared" si="52"/>
        <v>390.90975564000007</v>
      </c>
      <c r="AA66" s="2213">
        <f>AA30-Z30</f>
        <v>158.54655548442975</v>
      </c>
      <c r="AB66" s="1092">
        <f>AB84*AB65</f>
        <v>323.65240979430064</v>
      </c>
      <c r="AC66" s="711">
        <f>AC84*AC65</f>
        <v>462.58332780355414</v>
      </c>
      <c r="AD66" s="711">
        <f>AD84*AD65</f>
        <v>456.51861983014311</v>
      </c>
      <c r="AE66" s="711">
        <f>AE30-AD30</f>
        <v>215.58718352217147</v>
      </c>
    </row>
    <row r="67" spans="2:31" s="133" customFormat="1" ht="12" customHeight="1">
      <c r="B67" s="713" t="s">
        <v>15</v>
      </c>
      <c r="C67" s="713"/>
      <c r="D67" s="1320">
        <f>D31</f>
        <v>153.64504765999999</v>
      </c>
      <c r="E67" s="1300">
        <f t="shared" si="48"/>
        <v>287.66205234</v>
      </c>
      <c r="F67" s="1300">
        <f t="shared" si="48"/>
        <v>262.73562814000002</v>
      </c>
      <c r="G67" s="1300">
        <f t="shared" si="48"/>
        <v>108.02078284000004</v>
      </c>
      <c r="H67" s="1663">
        <f>H31</f>
        <v>341.88946556000002</v>
      </c>
      <c r="I67" s="1300">
        <f t="shared" si="49"/>
        <v>333.93666488000002</v>
      </c>
      <c r="J67" s="1300">
        <f t="shared" si="49"/>
        <v>320.20781905000001</v>
      </c>
      <c r="K67" s="1300">
        <f t="shared" si="49"/>
        <v>196.92645809999988</v>
      </c>
      <c r="L67" s="1663">
        <f>L31</f>
        <v>344.64891976999996</v>
      </c>
      <c r="M67" s="1300">
        <f t="shared" si="50"/>
        <v>409.98085714999996</v>
      </c>
      <c r="N67" s="1300">
        <f t="shared" si="50"/>
        <v>410.87627342999997</v>
      </c>
      <c r="O67" s="1300">
        <f t="shared" si="50"/>
        <v>275.01452100999995</v>
      </c>
      <c r="P67" s="1663">
        <f>P31</f>
        <v>497.25173000000001</v>
      </c>
      <c r="Q67" s="1300">
        <f t="shared" si="51"/>
        <v>610.86851911999997</v>
      </c>
      <c r="R67" s="1300">
        <f t="shared" si="51"/>
        <v>547.48060525000005</v>
      </c>
      <c r="S67" s="2142">
        <f t="shared" si="51"/>
        <v>384.17194955000014</v>
      </c>
      <c r="T67" s="1320">
        <f>T31</f>
        <v>663.88039829999991</v>
      </c>
      <c r="U67" s="1300">
        <f t="shared" si="53"/>
        <v>1066.7111004900003</v>
      </c>
      <c r="V67" s="1300">
        <f t="shared" si="53"/>
        <v>976.80090865000011</v>
      </c>
      <c r="W67" s="2142">
        <f>W65-W66</f>
        <v>619.03659725000023</v>
      </c>
      <c r="X67" s="1320">
        <f>X31</f>
        <v>979.95537316000002</v>
      </c>
      <c r="Y67" s="1300">
        <f>Y31-X31</f>
        <v>1394.5591906400005</v>
      </c>
      <c r="Z67" s="1777">
        <f>Z31-Y31</f>
        <v>1385.2981553399995</v>
      </c>
      <c r="AA67" s="2211">
        <f t="shared" ref="AA67:AE67" si="55">AA65-AA66</f>
        <v>802.75519341547181</v>
      </c>
      <c r="AB67" s="1320">
        <f t="shared" si="55"/>
        <v>1250.937575703163</v>
      </c>
      <c r="AC67" s="1300">
        <f t="shared" si="55"/>
        <v>1725.6954057020832</v>
      </c>
      <c r="AD67" s="1300">
        <f t="shared" si="55"/>
        <v>1617.8015329744508</v>
      </c>
      <c r="AE67" s="1300">
        <f t="shared" si="55"/>
        <v>1061.0851200368136</v>
      </c>
    </row>
    <row r="68" spans="2:31" ht="12" customHeight="1">
      <c r="B68" s="712" t="s">
        <v>105</v>
      </c>
      <c r="C68" s="712"/>
      <c r="D68" s="1093">
        <f t="shared" ref="D68:AE68" si="56">IFERROR(D67/D43,"")</f>
        <v>0.16464035808918068</v>
      </c>
      <c r="E68" s="714">
        <f t="shared" si="56"/>
        <v>0.18724993054585035</v>
      </c>
      <c r="F68" s="714">
        <f t="shared" si="56"/>
        <v>0.16690802065142413</v>
      </c>
      <c r="G68" s="714">
        <f t="shared" si="56"/>
        <v>0.11806766956112391</v>
      </c>
      <c r="H68" s="1664">
        <f t="shared" si="56"/>
        <v>0.19978794600952371</v>
      </c>
      <c r="I68" s="714">
        <f t="shared" si="56"/>
        <v>0.16942499253176635</v>
      </c>
      <c r="J68" s="714">
        <f t="shared" si="56"/>
        <v>0.1705091717928654</v>
      </c>
      <c r="K68" s="714">
        <f t="shared" si="56"/>
        <v>0.13891440928029858</v>
      </c>
      <c r="L68" s="1664">
        <f t="shared" si="56"/>
        <v>0.17176255001062771</v>
      </c>
      <c r="M68" s="714">
        <f t="shared" si="56"/>
        <v>0.17944380938070975</v>
      </c>
      <c r="N68" s="714">
        <f t="shared" si="56"/>
        <v>0.17461257281055001</v>
      </c>
      <c r="O68" s="714">
        <f t="shared" si="56"/>
        <v>0.14777449060961484</v>
      </c>
      <c r="P68" s="1664">
        <f t="shared" si="56"/>
        <v>0.19963005662102698</v>
      </c>
      <c r="Q68" s="714">
        <f t="shared" si="56"/>
        <v>0.20572681595288159</v>
      </c>
      <c r="R68" s="714">
        <f t="shared" si="56"/>
        <v>0.17212433803332516</v>
      </c>
      <c r="S68" s="2140">
        <f t="shared" si="56"/>
        <v>0.14652527899750672</v>
      </c>
      <c r="T68" s="1093">
        <f t="shared" si="56"/>
        <v>0.19065146871846356</v>
      </c>
      <c r="U68" s="714">
        <f t="shared" si="56"/>
        <v>0.24292460210479422</v>
      </c>
      <c r="V68" s="714">
        <f t="shared" si="56"/>
        <v>0.20849567397314203</v>
      </c>
      <c r="W68" s="2140">
        <f t="shared" si="56"/>
        <v>0.18869785913198353</v>
      </c>
      <c r="X68" s="1093">
        <f>IFERROR(X67/X43,"")</f>
        <v>0.20213301965482977</v>
      </c>
      <c r="Y68" s="714">
        <f t="shared" ref="Y68:Z68" si="57">IFERROR(Y67/Y43,"")</f>
        <v>0.23682531918037794</v>
      </c>
      <c r="Z68" s="714">
        <f t="shared" si="57"/>
        <v>0.22682512304377236</v>
      </c>
      <c r="AA68" s="2212">
        <f t="shared" si="56"/>
        <v>0.19353093068476851</v>
      </c>
      <c r="AB68" s="1093">
        <f t="shared" si="56"/>
        <v>0.20977874941486291</v>
      </c>
      <c r="AC68" s="714">
        <f t="shared" si="56"/>
        <v>0.2402124381518779</v>
      </c>
      <c r="AD68" s="714">
        <f t="shared" si="56"/>
        <v>0.21536148163019936</v>
      </c>
      <c r="AE68" s="1687">
        <f t="shared" si="56"/>
        <v>0.2236540896391758</v>
      </c>
    </row>
    <row r="69" spans="2:31" ht="12" customHeight="1">
      <c r="B69" s="707" t="s">
        <v>74</v>
      </c>
      <c r="C69" s="707"/>
      <c r="D69" s="1092">
        <f>D33</f>
        <v>0</v>
      </c>
      <c r="E69" s="719">
        <f t="shared" ref="E69:G70" si="58">E33-D33</f>
        <v>0</v>
      </c>
      <c r="F69" s="719">
        <f t="shared" si="58"/>
        <v>0</v>
      </c>
      <c r="G69" s="719">
        <f t="shared" si="58"/>
        <v>0</v>
      </c>
      <c r="H69" s="1665">
        <f>H33</f>
        <v>0</v>
      </c>
      <c r="I69" s="719">
        <f t="shared" ref="I69:K70" si="59">I33-H33</f>
        <v>0</v>
      </c>
      <c r="J69" s="719">
        <f t="shared" si="59"/>
        <v>0</v>
      </c>
      <c r="K69" s="719">
        <f t="shared" si="59"/>
        <v>0</v>
      </c>
      <c r="L69" s="1665">
        <f>L33</f>
        <v>0</v>
      </c>
      <c r="M69" s="719">
        <f t="shared" ref="M69:O70" si="60">M33-L33</f>
        <v>0</v>
      </c>
      <c r="N69" s="719">
        <f t="shared" si="60"/>
        <v>0</v>
      </c>
      <c r="O69" s="719">
        <f t="shared" si="60"/>
        <v>0</v>
      </c>
      <c r="P69" s="1665">
        <f>P33</f>
        <v>0</v>
      </c>
      <c r="Q69" s="719">
        <f t="shared" ref="Q69:S70" si="61">Q33-P33</f>
        <v>0</v>
      </c>
      <c r="R69" s="719">
        <f t="shared" si="61"/>
        <v>0</v>
      </c>
      <c r="S69" s="2143">
        <f t="shared" si="61"/>
        <v>0</v>
      </c>
      <c r="T69" s="1092">
        <f>T33</f>
        <v>0</v>
      </c>
      <c r="U69" s="719">
        <f>U33-T33</f>
        <v>0</v>
      </c>
      <c r="V69" s="719">
        <f>V33-U33</f>
        <v>0</v>
      </c>
      <c r="W69" s="2143">
        <f>W33-V33</f>
        <v>-0.27984775000000001</v>
      </c>
      <c r="X69" s="1092">
        <f>X33</f>
        <v>-5.41571E-2</v>
      </c>
      <c r="Y69" s="719">
        <f>Y33-X33</f>
        <v>-0.18206454</v>
      </c>
      <c r="Z69" s="719">
        <f>Z33-Y33</f>
        <v>-0.87434546000000013</v>
      </c>
      <c r="AA69" s="2216"/>
      <c r="AB69" s="2132">
        <v>0</v>
      </c>
      <c r="AC69" s="1306">
        <v>0</v>
      </c>
      <c r="AD69" s="1306">
        <v>0</v>
      </c>
      <c r="AE69" s="711">
        <f>AE33-AD33</f>
        <v>-0.27984775000000001</v>
      </c>
    </row>
    <row r="70" spans="2:31" ht="12" customHeight="1">
      <c r="B70" s="713" t="s">
        <v>72</v>
      </c>
      <c r="C70" s="713"/>
      <c r="D70" s="1092">
        <f>D34</f>
        <v>153.64504765999999</v>
      </c>
      <c r="E70" s="711">
        <f t="shared" si="58"/>
        <v>287.66205234</v>
      </c>
      <c r="F70" s="711">
        <f t="shared" si="58"/>
        <v>262.73562814000002</v>
      </c>
      <c r="G70" s="711">
        <f t="shared" si="58"/>
        <v>108.02078284000004</v>
      </c>
      <c r="H70" s="1665">
        <f>H34</f>
        <v>341.88946556000002</v>
      </c>
      <c r="I70" s="711">
        <f t="shared" si="59"/>
        <v>333.93666488000002</v>
      </c>
      <c r="J70" s="711">
        <f t="shared" si="59"/>
        <v>320.20781905000001</v>
      </c>
      <c r="K70" s="711">
        <f t="shared" si="59"/>
        <v>196.92645809999988</v>
      </c>
      <c r="L70" s="1665">
        <f>L34</f>
        <v>344.64891976999996</v>
      </c>
      <c r="M70" s="711">
        <f t="shared" si="60"/>
        <v>409.98085714999996</v>
      </c>
      <c r="N70" s="711">
        <f t="shared" si="60"/>
        <v>410.87627342999997</v>
      </c>
      <c r="O70" s="711">
        <f t="shared" si="60"/>
        <v>275.01452100999995</v>
      </c>
      <c r="P70" s="1665">
        <f>P34</f>
        <v>497.25173000000001</v>
      </c>
      <c r="Q70" s="711">
        <f t="shared" si="61"/>
        <v>610.86851911999997</v>
      </c>
      <c r="R70" s="711">
        <f t="shared" si="61"/>
        <v>547.48060525000005</v>
      </c>
      <c r="S70" s="2136">
        <f t="shared" si="61"/>
        <v>384.17194955000014</v>
      </c>
      <c r="T70" s="1092">
        <f>T34</f>
        <v>663.88039829999991</v>
      </c>
      <c r="U70" s="711">
        <f>U34-T34</f>
        <v>1066.7111004900003</v>
      </c>
      <c r="V70" s="711">
        <f>V34-U34</f>
        <v>976.80090865000011</v>
      </c>
      <c r="W70" s="2136">
        <f>W67-W69</f>
        <v>619.31644500000027</v>
      </c>
      <c r="X70" s="1092">
        <f>X34</f>
        <v>980.00953026000002</v>
      </c>
      <c r="Y70" s="711">
        <f>Y34-X34</f>
        <v>1394.7412551800001</v>
      </c>
      <c r="Z70" s="711">
        <f>Z34-Y34</f>
        <v>1386.1725007999999</v>
      </c>
      <c r="AA70" s="2213">
        <f t="shared" ref="AA70:AE70" si="62">AA67-AA69</f>
        <v>802.75519341547181</v>
      </c>
      <c r="AB70" s="1092">
        <f t="shared" si="62"/>
        <v>1250.937575703163</v>
      </c>
      <c r="AC70" s="711">
        <f t="shared" si="62"/>
        <v>1725.6954057020832</v>
      </c>
      <c r="AD70" s="711">
        <f t="shared" si="62"/>
        <v>1617.8015329744508</v>
      </c>
      <c r="AE70" s="711">
        <f t="shared" si="62"/>
        <v>1061.3649677868136</v>
      </c>
    </row>
    <row r="71" spans="2:31" ht="12" customHeight="1">
      <c r="B71" s="2197" t="s">
        <v>104</v>
      </c>
      <c r="C71" s="2197"/>
      <c r="D71" s="2198" t="str">
        <f>IFERROR(D70/#REF!-1,"")</f>
        <v/>
      </c>
      <c r="E71" s="2195" t="str">
        <f>IFERROR(E70/#REF!-1,"")</f>
        <v/>
      </c>
      <c r="F71" s="2195" t="str">
        <f>IFERROR(F70/#REF!-1,"")</f>
        <v/>
      </c>
      <c r="G71" s="2195" t="str">
        <f>IFERROR(G70/#REF!-1,"")</f>
        <v/>
      </c>
      <c r="H71" s="2194">
        <f t="shared" ref="H71:O71" si="63">IFERROR(H70/D70-1,"")</f>
        <v>1.2251902730803583</v>
      </c>
      <c r="I71" s="2195">
        <f t="shared" si="63"/>
        <v>0.16086450111711681</v>
      </c>
      <c r="J71" s="2195">
        <f t="shared" si="63"/>
        <v>0.2187453270683779</v>
      </c>
      <c r="K71" s="2195">
        <f t="shared" si="63"/>
        <v>0.8230423157707214</v>
      </c>
      <c r="L71" s="2194">
        <f>IFERROR(L70/H70-1,"")</f>
        <v>8.0711881703638966E-3</v>
      </c>
      <c r="M71" s="2195">
        <f t="shared" si="63"/>
        <v>0.22772040409916161</v>
      </c>
      <c r="N71" s="2195">
        <f t="shared" si="63"/>
        <v>0.28315502928378589</v>
      </c>
      <c r="O71" s="2195">
        <f t="shared" si="63"/>
        <v>0.39653413595824039</v>
      </c>
      <c r="P71" s="2194">
        <f t="shared" ref="P71:AE71" si="64">IFERROR(P70/L70-1,"")</f>
        <v>0.44277756718877548</v>
      </c>
      <c r="Q71" s="2195">
        <f t="shared" si="64"/>
        <v>0.48999278494727649</v>
      </c>
      <c r="R71" s="2195">
        <f t="shared" si="64"/>
        <v>0.33247072331440686</v>
      </c>
      <c r="S71" s="2244">
        <f t="shared" si="64"/>
        <v>0.39691514520439108</v>
      </c>
      <c r="T71" s="2198">
        <f t="shared" si="64"/>
        <v>0.33509922288254268</v>
      </c>
      <c r="U71" s="2195">
        <f t="shared" si="64"/>
        <v>0.74622045023153971</v>
      </c>
      <c r="V71" s="2195">
        <f t="shared" si="64"/>
        <v>0.78417445163003796</v>
      </c>
      <c r="W71" s="2244">
        <f t="shared" si="64"/>
        <v>0.61208137586681355</v>
      </c>
      <c r="X71" s="2198">
        <f>IFERROR(X70/T70-1,"")</f>
        <v>0.47618386198705775</v>
      </c>
      <c r="Y71" s="2195">
        <f t="shared" si="64"/>
        <v>0.30751545993973162</v>
      </c>
      <c r="Z71" s="2195">
        <f t="shared" si="64"/>
        <v>0.41909419670358083</v>
      </c>
      <c r="AA71" s="2217">
        <f>IFERROR(AA70/W70-1,"")</f>
        <v>0.29619550699234454</v>
      </c>
      <c r="AB71" s="1094">
        <f t="shared" si="64"/>
        <v>0.27645450077540046</v>
      </c>
      <c r="AC71" s="720">
        <f t="shared" si="64"/>
        <v>0.23728713070824847</v>
      </c>
      <c r="AD71" s="720">
        <f t="shared" si="64"/>
        <v>0.16709971669526791</v>
      </c>
      <c r="AE71" s="1688">
        <f t="shared" si="64"/>
        <v>0.32215272662520977</v>
      </c>
    </row>
    <row r="72" spans="2:31" ht="12" customHeight="1">
      <c r="B72" s="709" t="s">
        <v>106</v>
      </c>
      <c r="C72" s="709"/>
      <c r="D72" s="1094"/>
      <c r="E72" s="720">
        <f t="shared" ref="E72:O72" si="65">E70/D70-1</f>
        <v>0.87225072803234949</v>
      </c>
      <c r="F72" s="720">
        <f t="shared" si="65"/>
        <v>-8.6651763752760735E-2</v>
      </c>
      <c r="G72" s="720">
        <f t="shared" si="65"/>
        <v>-0.58886130668795089</v>
      </c>
      <c r="H72" s="1668">
        <f t="shared" si="65"/>
        <v>2.1650341403876454</v>
      </c>
      <c r="I72" s="720">
        <f t="shared" si="65"/>
        <v>-2.3261321219633535E-2</v>
      </c>
      <c r="J72" s="720">
        <f t="shared" si="65"/>
        <v>-4.1112124764537183E-2</v>
      </c>
      <c r="K72" s="720">
        <f t="shared" si="65"/>
        <v>-0.38500421793494655</v>
      </c>
      <c r="L72" s="1668">
        <f>L70/K70-1</f>
        <v>0.75014024573064808</v>
      </c>
      <c r="M72" s="720">
        <f t="shared" si="65"/>
        <v>0.18956083606354834</v>
      </c>
      <c r="N72" s="720">
        <f t="shared" si="65"/>
        <v>2.1840441190950077E-3</v>
      </c>
      <c r="O72" s="720">
        <f t="shared" si="65"/>
        <v>-0.33066341671624044</v>
      </c>
      <c r="P72" s="1668">
        <f t="shared" ref="P72:AE72" si="66">P70/O70-1</f>
        <v>0.80809263515914198</v>
      </c>
      <c r="Q72" s="720">
        <f t="shared" si="66"/>
        <v>0.22848947980532919</v>
      </c>
      <c r="R72" s="720">
        <f t="shared" si="66"/>
        <v>-0.10376686944240432</v>
      </c>
      <c r="S72" s="2149">
        <f t="shared" si="66"/>
        <v>-0.29829121640834577</v>
      </c>
      <c r="T72" s="1094">
        <f t="shared" si="66"/>
        <v>0.72808139448399678</v>
      </c>
      <c r="U72" s="720">
        <f t="shared" si="66"/>
        <v>0.60678203968897093</v>
      </c>
      <c r="V72" s="720">
        <f t="shared" si="66"/>
        <v>-8.4287293718701695E-2</v>
      </c>
      <c r="W72" s="2149">
        <f t="shared" si="66"/>
        <v>-0.36597474519558515</v>
      </c>
      <c r="X72" s="1094">
        <f t="shared" si="66"/>
        <v>0.58240514711344304</v>
      </c>
      <c r="Y72" s="720">
        <f t="shared" si="66"/>
        <v>0.42319152223955436</v>
      </c>
      <c r="Z72" s="720">
        <f t="shared" si="66"/>
        <v>-6.143615776887823E-3</v>
      </c>
      <c r="AA72" s="2218">
        <f t="shared" si="66"/>
        <v>-0.42088362526873191</v>
      </c>
      <c r="AB72" s="1094">
        <f t="shared" si="66"/>
        <v>0.55830517941692248</v>
      </c>
      <c r="AC72" s="720">
        <f t="shared" si="66"/>
        <v>0.37952159981448697</v>
      </c>
      <c r="AD72" s="720">
        <f t="shared" si="66"/>
        <v>-6.2521967880963869E-2</v>
      </c>
      <c r="AE72" s="720">
        <f t="shared" si="66"/>
        <v>-0.34394612308506489</v>
      </c>
    </row>
    <row r="73" spans="2:31" ht="12" customHeight="1">
      <c r="B73" s="707" t="s">
        <v>1809</v>
      </c>
      <c r="C73" s="709"/>
      <c r="D73" s="1094"/>
      <c r="E73" s="720"/>
      <c r="F73" s="720"/>
      <c r="G73" s="720"/>
      <c r="H73" s="1668"/>
      <c r="I73" s="720"/>
      <c r="J73" s="720"/>
      <c r="K73" s="720"/>
      <c r="L73" s="1668"/>
      <c r="M73" s="720"/>
      <c r="N73" s="720"/>
      <c r="O73" s="720"/>
      <c r="P73" s="1668"/>
      <c r="Q73" s="720"/>
      <c r="R73" s="720"/>
      <c r="S73" s="2149"/>
      <c r="T73" s="2284">
        <f>T74-T70</f>
        <v>-39.454344939999942</v>
      </c>
      <c r="U73" s="2284">
        <f t="shared" ref="U73:Z73" si="67">U74-U70</f>
        <v>15.774540079999724</v>
      </c>
      <c r="V73" s="2284">
        <f t="shared" si="67"/>
        <v>-20.481438460000049</v>
      </c>
      <c r="W73" s="2284">
        <f t="shared" si="67"/>
        <v>-20.298671310000259</v>
      </c>
      <c r="X73" s="2284">
        <f t="shared" si="67"/>
        <v>-21.217000129999974</v>
      </c>
      <c r="Y73" s="2284">
        <f t="shared" si="67"/>
        <v>-83.070501540000123</v>
      </c>
      <c r="Z73" s="2284">
        <f t="shared" si="67"/>
        <v>-116.78301584999986</v>
      </c>
      <c r="AA73" s="2218"/>
      <c r="AB73" s="1094"/>
      <c r="AC73" s="720"/>
      <c r="AD73" s="720"/>
      <c r="AE73" s="720"/>
    </row>
    <row r="74" spans="2:31" ht="15" customHeight="1">
      <c r="B74" s="2276" t="s">
        <v>1806</v>
      </c>
      <c r="C74" s="2273"/>
      <c r="D74" s="2273"/>
      <c r="E74" s="2273"/>
      <c r="F74" s="2273"/>
      <c r="G74" s="2273"/>
      <c r="H74" s="2274"/>
      <c r="I74" s="2273"/>
      <c r="J74" s="2273"/>
      <c r="K74" s="2273"/>
      <c r="L74" s="2274"/>
      <c r="M74" s="2273"/>
      <c r="N74" s="2273"/>
      <c r="O74" s="2273"/>
      <c r="P74" s="1670"/>
      <c r="Q74" s="2273"/>
      <c r="R74" s="2273"/>
      <c r="S74" s="2275"/>
      <c r="T74" s="2278">
        <f>624426053.36/10^6</f>
        <v>624.42605335999997</v>
      </c>
      <c r="U74" s="2277">
        <f>1706911693.93/10^6-T74</f>
        <v>1082.48564057</v>
      </c>
      <c r="V74" s="2277">
        <f>956319470.19/10^6</f>
        <v>956.31947019000006</v>
      </c>
      <c r="W74" s="2279">
        <f>3262248937.81/10^6-SUM(T74:V74)</f>
        <v>599.01777369000001</v>
      </c>
      <c r="X74" s="2278">
        <f>958792530.13/10^6</f>
        <v>958.79253013000005</v>
      </c>
      <c r="Y74" s="2277">
        <f>2270463283.77/10^6-X74</f>
        <v>1311.6707536399999</v>
      </c>
      <c r="Z74" s="2277">
        <f>1269389484.95/10^6</f>
        <v>1269.38948495</v>
      </c>
      <c r="AA74" s="2285">
        <f>AA70</f>
        <v>802.75519341547181</v>
      </c>
      <c r="AB74" s="1670"/>
      <c r="AC74" s="2273"/>
      <c r="AD74" s="2273"/>
      <c r="AE74" s="2273"/>
    </row>
    <row r="75" spans="2:31" ht="15" customHeight="1">
      <c r="B75" s="2197" t="s">
        <v>104</v>
      </c>
      <c r="P75" s="1669"/>
      <c r="T75" s="2198" t="str">
        <f t="shared" ref="T75" si="68">IFERROR(T74/P74-1,"")</f>
        <v/>
      </c>
      <c r="U75" s="2195" t="str">
        <f t="shared" ref="U75" si="69">IFERROR(U74/Q74-1,"")</f>
        <v/>
      </c>
      <c r="V75" s="2195" t="str">
        <f t="shared" ref="V75" si="70">IFERROR(V74/R74-1,"")</f>
        <v/>
      </c>
      <c r="W75" s="2244" t="str">
        <f t="shared" ref="W75" si="71">IFERROR(W74/S74-1,"")</f>
        <v/>
      </c>
      <c r="X75" s="2198">
        <f>IFERROR(X74/T74-1,"")</f>
        <v>0.53547810020224751</v>
      </c>
      <c r="Y75" s="2195">
        <f t="shared" ref="Y75" si="72">IFERROR(Y74/U74-1,"")</f>
        <v>0.21172115775071054</v>
      </c>
      <c r="Z75" s="2195">
        <f t="shared" ref="Z75" si="73">IFERROR(Z74/V74-1,"")</f>
        <v>0.32736969654899917</v>
      </c>
      <c r="AB75" s="1095"/>
    </row>
    <row r="76" spans="2:31" ht="12" customHeight="1">
      <c r="B76" s="707" t="s">
        <v>70</v>
      </c>
      <c r="C76" s="707"/>
      <c r="D76" s="1095">
        <f>D36</f>
        <v>0.43</v>
      </c>
      <c r="E76" s="721">
        <f t="shared" ref="E76:G77" si="74">E36-D36</f>
        <v>0.8</v>
      </c>
      <c r="F76" s="721">
        <f t="shared" si="74"/>
        <v>0.73</v>
      </c>
      <c r="G76" s="721">
        <f t="shared" si="74"/>
        <v>0.29999999999999982</v>
      </c>
      <c r="H76" s="1669">
        <f>H36</f>
        <v>0.95</v>
      </c>
      <c r="I76" s="721">
        <f t="shared" ref="I76:K77" si="75">I36-H36</f>
        <v>0.89319999999999999</v>
      </c>
      <c r="J76" s="721">
        <f t="shared" si="75"/>
        <v>0.79680000000000017</v>
      </c>
      <c r="K76" s="721">
        <f t="shared" si="75"/>
        <v>0.47199999999999998</v>
      </c>
      <c r="L76" s="1669">
        <f>L36</f>
        <v>0.86160000000000003</v>
      </c>
      <c r="M76" s="721">
        <f t="shared" ref="M76:O77" si="76">M36-L36</f>
        <v>1.0249000000000001</v>
      </c>
      <c r="N76" s="721">
        <f t="shared" si="76"/>
        <v>1.0271999999999999</v>
      </c>
      <c r="O76" s="721">
        <f t="shared" si="76"/>
        <v>0.6875</v>
      </c>
      <c r="P76" s="1669">
        <f>P36</f>
        <v>1.2431000000000001</v>
      </c>
      <c r="Q76" s="721">
        <f t="shared" ref="Q76:S77" si="77">Q36-P36</f>
        <v>1.5270999999999999</v>
      </c>
      <c r="R76" s="721">
        <f t="shared" si="77"/>
        <v>1.3686999999999996</v>
      </c>
      <c r="S76" s="2150">
        <f t="shared" si="77"/>
        <v>0.96040000000000081</v>
      </c>
      <c r="T76" s="1095">
        <f>T36</f>
        <v>1.6597</v>
      </c>
      <c r="U76" s="721">
        <f>U36-T36</f>
        <v>2.6666999999999996</v>
      </c>
      <c r="V76" s="721">
        <f>V36-U36</f>
        <v>0.88000000000000078</v>
      </c>
      <c r="W76" s="2150">
        <f>W70/W83</f>
        <v>1.1909633893768046</v>
      </c>
      <c r="X76" s="1095">
        <f>X36</f>
        <v>1.8846000000000001</v>
      </c>
      <c r="Y76" s="721">
        <f>Y36-X36</f>
        <v>2.6821000000000002</v>
      </c>
      <c r="Z76" s="721">
        <f>Z36-Y36</f>
        <v>2.6657000000000002</v>
      </c>
      <c r="AA76" s="2219">
        <f>AA70/AA83</f>
        <v>1.543721394302588</v>
      </c>
      <c r="AB76" s="1095">
        <f>AB70/AB83</f>
        <v>2.405589044318436</v>
      </c>
      <c r="AC76" s="721">
        <f>AC70/AC83</f>
        <v>3.3185620469143715</v>
      </c>
      <c r="AD76" s="721">
        <f>AD70/AD83</f>
        <v>3.1110790172062059</v>
      </c>
      <c r="AE76" s="721">
        <f>AE70/AE83</f>
        <v>2.0410354506268371</v>
      </c>
    </row>
    <row r="77" spans="2:31" ht="12" customHeight="1">
      <c r="B77" s="716" t="s">
        <v>103</v>
      </c>
      <c r="C77" s="716"/>
      <c r="D77" s="1096">
        <f>D37</f>
        <v>0.43</v>
      </c>
      <c r="E77" s="722">
        <f t="shared" si="74"/>
        <v>0.8</v>
      </c>
      <c r="F77" s="722">
        <f t="shared" si="74"/>
        <v>0.73</v>
      </c>
      <c r="G77" s="722">
        <f t="shared" si="74"/>
        <v>0.29999999999999982</v>
      </c>
      <c r="H77" s="1096">
        <f>H37</f>
        <v>0.95</v>
      </c>
      <c r="I77" s="722">
        <f t="shared" si="75"/>
        <v>0.89319999999999999</v>
      </c>
      <c r="J77" s="722">
        <f t="shared" si="75"/>
        <v>0.79680000000000017</v>
      </c>
      <c r="K77" s="722">
        <f t="shared" si="75"/>
        <v>0.47199999999999998</v>
      </c>
      <c r="L77" s="1096">
        <f>L37</f>
        <v>0.86160000000000003</v>
      </c>
      <c r="M77" s="722">
        <f t="shared" si="76"/>
        <v>1.0249000000000001</v>
      </c>
      <c r="N77" s="722">
        <f t="shared" si="76"/>
        <v>1.0271999999999999</v>
      </c>
      <c r="O77" s="722">
        <f t="shared" si="76"/>
        <v>0.6875</v>
      </c>
      <c r="P77" s="1670">
        <f>P37</f>
        <v>1.2431000000000001</v>
      </c>
      <c r="Q77" s="722">
        <f t="shared" si="77"/>
        <v>1.5270999999999999</v>
      </c>
      <c r="R77" s="722">
        <f t="shared" si="77"/>
        <v>1.3686999999999996</v>
      </c>
      <c r="S77" s="722">
        <f t="shared" si="77"/>
        <v>0.96040000000000081</v>
      </c>
      <c r="T77" s="1670">
        <f>T37</f>
        <v>1.6597</v>
      </c>
      <c r="U77" s="722">
        <f>U37-T37</f>
        <v>2.6666999999999996</v>
      </c>
      <c r="V77" s="722">
        <f>V37-U37</f>
        <v>0.88000000000000078</v>
      </c>
      <c r="W77" s="722">
        <f>W76</f>
        <v>1.1909633893768046</v>
      </c>
      <c r="X77" s="1670">
        <f>X37</f>
        <v>1.8846000000000001</v>
      </c>
      <c r="Y77" s="722">
        <f>Y37-X37</f>
        <v>2.6821000000000002</v>
      </c>
      <c r="Z77" s="722">
        <f>Z37-Y37</f>
        <v>2.6657000000000002</v>
      </c>
      <c r="AA77" s="2280">
        <f t="shared" ref="AA77:AE77" si="78">AA76</f>
        <v>1.543721394302588</v>
      </c>
      <c r="AB77" s="1670">
        <f t="shared" si="78"/>
        <v>2.405589044318436</v>
      </c>
      <c r="AC77" s="722">
        <f t="shared" si="78"/>
        <v>3.3185620469143715</v>
      </c>
      <c r="AD77" s="722">
        <f t="shared" si="78"/>
        <v>3.1110790172062059</v>
      </c>
      <c r="AE77" s="722">
        <f t="shared" si="78"/>
        <v>2.0410354506268371</v>
      </c>
    </row>
    <row r="78" spans="2:31" ht="10.5" customHeight="1">
      <c r="P78" s="129"/>
      <c r="T78" s="2196"/>
      <c r="U78" s="2196"/>
      <c r="V78" s="2196"/>
      <c r="W78" s="2196"/>
      <c r="X78" s="2196">
        <f>X74/T74-1</f>
        <v>0.53547810020224751</v>
      </c>
      <c r="Y78" s="2196">
        <f>Y74/U74-1</f>
        <v>0.21172115775071054</v>
      </c>
      <c r="Z78" s="2196">
        <f>Z74/V74-1</f>
        <v>0.32736969654899917</v>
      </c>
      <c r="AA78" s="2196"/>
    </row>
    <row r="79" spans="2:31" ht="10.5" customHeight="1">
      <c r="P79" s="129"/>
    </row>
    <row r="80" spans="2:31" ht="10.5" customHeight="1">
      <c r="P80" s="1592">
        <f t="shared" ref="P80:AE80" si="79">P68-L68</f>
        <v>2.7867506610399273E-2</v>
      </c>
      <c r="Q80" s="1592">
        <f t="shared" si="79"/>
        <v>2.6283006572171835E-2</v>
      </c>
      <c r="R80" s="1592">
        <f t="shared" si="79"/>
        <v>-2.4882347772248459E-3</v>
      </c>
      <c r="S80" s="2151">
        <f t="shared" si="79"/>
        <v>-1.2492116121081143E-3</v>
      </c>
      <c r="T80" s="1592">
        <f t="shared" si="79"/>
        <v>-8.978587902563423E-3</v>
      </c>
      <c r="U80" s="1592">
        <f t="shared" si="79"/>
        <v>3.7197786151912632E-2</v>
      </c>
      <c r="V80" s="1592">
        <f t="shared" si="79"/>
        <v>3.6371335939816868E-2</v>
      </c>
      <c r="W80" s="2151">
        <f t="shared" si="79"/>
        <v>4.2172580134476806E-2</v>
      </c>
      <c r="X80" s="1592">
        <f t="shared" si="79"/>
        <v>1.1481550936366214E-2</v>
      </c>
      <c r="Y80" s="1592">
        <f t="shared" si="79"/>
        <v>-6.0992829244162772E-3</v>
      </c>
      <c r="Z80" s="1592">
        <f t="shared" si="79"/>
        <v>1.8329449070630333E-2</v>
      </c>
      <c r="AA80" s="2151">
        <f t="shared" si="79"/>
        <v>4.8330715527849788E-3</v>
      </c>
      <c r="AB80" s="1592">
        <f t="shared" si="79"/>
        <v>7.6457297600331375E-3</v>
      </c>
      <c r="AC80" s="1592">
        <f t="shared" si="79"/>
        <v>3.3871189714999583E-3</v>
      </c>
      <c r="AD80" s="1592">
        <f t="shared" si="79"/>
        <v>-1.1463641413573006E-2</v>
      </c>
      <c r="AE80" s="1592">
        <f t="shared" si="79"/>
        <v>3.0123158954407286E-2</v>
      </c>
    </row>
    <row r="81" spans="2:31" ht="10.5" customHeight="1">
      <c r="P81" s="1315">
        <f t="shared" ref="P81:Z81" si="80">P57-P58+P60+P62++P63-P64</f>
        <v>641.29402140000025</v>
      </c>
      <c r="Q81" s="1315">
        <f t="shared" si="80"/>
        <v>760.8717554899988</v>
      </c>
      <c r="R81" s="1315">
        <f t="shared" si="80"/>
        <v>679.97410364000143</v>
      </c>
      <c r="S81" s="2245">
        <f t="shared" si="80"/>
        <v>497.13105505999943</v>
      </c>
      <c r="T81" s="1315">
        <f t="shared" si="80"/>
        <v>830.3412429599997</v>
      </c>
      <c r="U81" s="1315">
        <f t="shared" si="80"/>
        <v>1312.2231070500011</v>
      </c>
      <c r="V81" s="1315">
        <f t="shared" si="80"/>
        <v>1212.0321684599999</v>
      </c>
      <c r="W81" s="2245">
        <f t="shared" si="80"/>
        <v>753.33877981000012</v>
      </c>
      <c r="X81" s="1315">
        <f t="shared" si="80"/>
        <v>1232.0032289999999</v>
      </c>
      <c r="Y81" s="1315">
        <f t="shared" si="80"/>
        <v>1768.3794077500024</v>
      </c>
      <c r="Z81" s="1315">
        <f t="shared" si="80"/>
        <v>1776.2079109799979</v>
      </c>
    </row>
    <row r="82" spans="2:31" ht="10.5" customHeight="1"/>
    <row r="83" spans="2:31" ht="14.25" customHeight="1">
      <c r="B83" s="129" t="s">
        <v>1334</v>
      </c>
      <c r="D83" s="129">
        <f>Model!F70</f>
        <v>468</v>
      </c>
      <c r="H83" s="196">
        <f>Model!G70</f>
        <v>520.01300000000003</v>
      </c>
      <c r="L83" s="196">
        <f>Model!H70</f>
        <v>520.01300000000003</v>
      </c>
      <c r="P83" s="1671">
        <f>Model!I70</f>
        <v>520.01300000000003</v>
      </c>
      <c r="T83" s="2163">
        <f>Model!J70</f>
        <v>520.01300000000003</v>
      </c>
      <c r="W83" s="2152">
        <f>T83</f>
        <v>520.01300000000003</v>
      </c>
      <c r="X83" s="2163">
        <f>Model!K70</f>
        <v>520.01300000000003</v>
      </c>
      <c r="Y83" s="1683">
        <f>Model!L70</f>
        <v>520.01300000000003</v>
      </c>
      <c r="AA83" s="2152">
        <f>X83</f>
        <v>520.01300000000003</v>
      </c>
      <c r="AB83" s="1683">
        <f>Model!L70</f>
        <v>520.01300000000003</v>
      </c>
      <c r="AC83" s="1305">
        <f>AB83</f>
        <v>520.01300000000003</v>
      </c>
      <c r="AD83" s="1305">
        <f>AC83</f>
        <v>520.01300000000003</v>
      </c>
      <c r="AE83" s="1305">
        <f>AB83</f>
        <v>520.01300000000003</v>
      </c>
    </row>
    <row r="84" spans="2:31" ht="14.25" customHeight="1">
      <c r="B84" s="133" t="s">
        <v>530</v>
      </c>
      <c r="C84" s="133"/>
      <c r="D84" s="1319">
        <f t="shared" ref="D84:AA84" si="81">D66/D65</f>
        <v>0.22448782373408904</v>
      </c>
      <c r="E84" s="1319">
        <f t="shared" si="81"/>
        <v>0.21579299790365697</v>
      </c>
      <c r="F84" s="1319">
        <f t="shared" si="81"/>
        <v>0.21047357493751559</v>
      </c>
      <c r="G84" s="1319">
        <f t="shared" si="81"/>
        <v>0.18062811071900323</v>
      </c>
      <c r="H84" s="1672">
        <f t="shared" si="81"/>
        <v>0.21996098116117888</v>
      </c>
      <c r="I84" s="1319">
        <f t="shared" si="81"/>
        <v>0.20787050715807417</v>
      </c>
      <c r="J84" s="1319">
        <f t="shared" si="81"/>
        <v>0.20625374113694095</v>
      </c>
      <c r="K84" s="1319">
        <f t="shared" si="81"/>
        <v>0.21304117730797373</v>
      </c>
      <c r="L84" s="1672">
        <f t="shared" si="81"/>
        <v>0.21556227427565694</v>
      </c>
      <c r="M84" s="1319">
        <f t="shared" si="81"/>
        <v>0.21407432273021856</v>
      </c>
      <c r="N84" s="1319">
        <f t="shared" si="81"/>
        <v>0.21261151500979894</v>
      </c>
      <c r="O84" s="1319">
        <f t="shared" si="81"/>
        <v>0.2213121014866421</v>
      </c>
      <c r="P84" s="1672">
        <f t="shared" si="81"/>
        <v>0.22461193554485864</v>
      </c>
      <c r="Q84" s="1319">
        <f t="shared" si="81"/>
        <v>0.19714654314300065</v>
      </c>
      <c r="R84" s="1319">
        <f t="shared" si="81"/>
        <v>0.19485080046540476</v>
      </c>
      <c r="S84" s="2153">
        <f t="shared" si="81"/>
        <v>0.22722198575256281</v>
      </c>
      <c r="T84" s="414">
        <f t="shared" si="81"/>
        <v>0.19972251948948294</v>
      </c>
      <c r="U84" s="1319">
        <f t="shared" si="81"/>
        <v>0.18709623785846435</v>
      </c>
      <c r="V84" s="1319">
        <f t="shared" si="81"/>
        <v>0.19408004666153655</v>
      </c>
      <c r="W84" s="2153">
        <f t="shared" si="81"/>
        <v>0.17827594458083293</v>
      </c>
      <c r="X84" s="414">
        <f t="shared" si="81"/>
        <v>0.20554710291266615</v>
      </c>
      <c r="Y84" s="1319">
        <f t="shared" si="81"/>
        <v>0.21139141039061898</v>
      </c>
      <c r="Z84" s="1319">
        <f t="shared" si="81"/>
        <v>0.22008108016156766</v>
      </c>
      <c r="AA84" s="2153">
        <f t="shared" si="81"/>
        <v>0.16492902011867544</v>
      </c>
      <c r="AB84" s="2133">
        <f>X84</f>
        <v>0.20554710291266615</v>
      </c>
      <c r="AC84" s="2133">
        <f>Y84</f>
        <v>0.21139141039061898</v>
      </c>
      <c r="AD84" s="2133">
        <f>Z84</f>
        <v>0.22008108016156766</v>
      </c>
      <c r="AE84" s="1319">
        <f>AE66/AE65</f>
        <v>0.16886649997902994</v>
      </c>
    </row>
    <row r="85" spans="2:31" ht="14.25" customHeight="1">
      <c r="B85" s="133"/>
      <c r="C85" s="133"/>
      <c r="T85" s="1592"/>
      <c r="U85" s="1592"/>
      <c r="V85" s="1592"/>
      <c r="W85" s="2151"/>
      <c r="X85" s="1592"/>
      <c r="Y85" s="1592"/>
      <c r="Z85" s="1592"/>
      <c r="AA85" s="1592"/>
    </row>
    <row r="86" spans="2:31" ht="14.25" customHeight="1">
      <c r="B86" s="133"/>
      <c r="C86" s="133"/>
    </row>
    <row r="87" spans="2:31" s="1993" customFormat="1" ht="14.25" customHeight="1">
      <c r="B87" s="1990" t="s">
        <v>1335</v>
      </c>
      <c r="C87" s="1990"/>
      <c r="D87" s="1991" t="s">
        <v>1059</v>
      </c>
      <c r="E87" s="1991" t="s">
        <v>1060</v>
      </c>
      <c r="F87" s="1991" t="s">
        <v>1068</v>
      </c>
      <c r="G87" s="1991" t="s">
        <v>1073</v>
      </c>
      <c r="H87" s="1992" t="s">
        <v>1076</v>
      </c>
      <c r="I87" s="1991" t="s">
        <v>1093</v>
      </c>
      <c r="J87" s="1991" t="s">
        <v>1100</v>
      </c>
      <c r="K87" s="1991" t="s">
        <v>1231</v>
      </c>
      <c r="L87" s="1992"/>
      <c r="M87" s="1991"/>
      <c r="N87" s="1991"/>
      <c r="O87" s="1991"/>
      <c r="P87" s="1992"/>
      <c r="Q87" s="1991"/>
      <c r="R87" s="1991"/>
      <c r="S87" s="2154"/>
      <c r="T87" s="1991"/>
      <c r="U87" s="1991"/>
      <c r="V87" s="1991"/>
      <c r="W87" s="2154"/>
      <c r="X87" s="1991"/>
      <c r="Y87" s="1991"/>
      <c r="Z87" s="1991"/>
      <c r="AA87" s="2154"/>
      <c r="AB87" s="1992"/>
      <c r="AC87" s="1991"/>
      <c r="AD87" s="1991"/>
      <c r="AE87" s="1991"/>
    </row>
    <row r="88" spans="2:31" ht="14.25" customHeight="1">
      <c r="T88" s="2075"/>
      <c r="V88" s="129" t="s">
        <v>1807</v>
      </c>
    </row>
    <row r="89" spans="2:31" ht="14.25" hidden="1" customHeight="1" outlineLevel="1">
      <c r="B89" s="1348" t="s">
        <v>53</v>
      </c>
      <c r="C89" s="1349"/>
      <c r="D89" s="1350" t="s">
        <v>1059</v>
      </c>
      <c r="E89" s="1350" t="s">
        <v>1060</v>
      </c>
      <c r="F89" s="1350" t="s">
        <v>1068</v>
      </c>
      <c r="G89" s="1350" t="s">
        <v>1073</v>
      </c>
      <c r="H89" s="1673" t="s">
        <v>1076</v>
      </c>
      <c r="I89" s="1350" t="s">
        <v>1093</v>
      </c>
      <c r="J89" s="1350" t="s">
        <v>1100</v>
      </c>
      <c r="K89" s="1350" t="s">
        <v>1231</v>
      </c>
      <c r="L89" s="1673" t="s">
        <v>1209</v>
      </c>
      <c r="M89" s="1350" t="s">
        <v>1232</v>
      </c>
      <c r="N89" s="1350" t="s">
        <v>1229</v>
      </c>
      <c r="O89" s="1350" t="s">
        <v>1276</v>
      </c>
      <c r="P89" s="1673" t="s">
        <v>1273</v>
      </c>
      <c r="Q89" s="1350" t="s">
        <v>1277</v>
      </c>
      <c r="R89" s="1350" t="s">
        <v>1278</v>
      </c>
      <c r="S89" s="1351" t="s">
        <v>1279</v>
      </c>
      <c r="T89" s="1350" t="s">
        <v>1275</v>
      </c>
      <c r="U89" s="1350" t="str">
        <f>$U$42</f>
        <v>2Q24</v>
      </c>
      <c r="V89" s="1350" t="s">
        <v>1549</v>
      </c>
      <c r="W89" s="1351" t="s">
        <v>1644</v>
      </c>
      <c r="X89" s="1350" t="s">
        <v>1758</v>
      </c>
      <c r="Y89" s="1350" t="s">
        <v>1761</v>
      </c>
      <c r="Z89" s="1350" t="s">
        <v>1804</v>
      </c>
      <c r="AA89" s="1351" t="s">
        <v>1647</v>
      </c>
      <c r="AB89" s="1350" t="s">
        <v>1787</v>
      </c>
      <c r="AC89" s="1350" t="s">
        <v>1784</v>
      </c>
      <c r="AD89" s="1350" t="s">
        <v>1785</v>
      </c>
      <c r="AE89" s="1350" t="s">
        <v>1786</v>
      </c>
    </row>
    <row r="90" spans="2:31" ht="14.25" hidden="1" customHeight="1" outlineLevel="1">
      <c r="B90" s="144" t="s">
        <v>1116</v>
      </c>
      <c r="C90" s="144"/>
      <c r="F90" s="1308">
        <v>1493.9187999999999</v>
      </c>
      <c r="G90" s="1308">
        <v>888.9077000000002</v>
      </c>
      <c r="H90" s="1674">
        <v>1645.0963999999999</v>
      </c>
      <c r="I90" s="1308">
        <v>1902.1291999999999</v>
      </c>
      <c r="J90" s="1308">
        <v>1791.1180000000004</v>
      </c>
      <c r="K90" s="1308">
        <v>1253.5542791799999</v>
      </c>
      <c r="L90" s="1674">
        <v>1906.5174999999999</v>
      </c>
      <c r="M90" s="1308">
        <v>2211.8160217599998</v>
      </c>
      <c r="N90" s="1308">
        <v>2273.5560782400007</v>
      </c>
      <c r="O90" s="1308">
        <v>1780.4172279999993</v>
      </c>
      <c r="P90" s="1674">
        <v>2383.1745999999998</v>
      </c>
      <c r="Q90" s="1308">
        <v>2751.8139000000006</v>
      </c>
      <c r="R90" s="1308">
        <v>2858.9588999999996</v>
      </c>
      <c r="S90" s="2156">
        <v>2342.0616</v>
      </c>
      <c r="T90" s="1345">
        <f>T174</f>
        <v>3102.8078000000005</v>
      </c>
      <c r="U90" s="1308">
        <f>U121-T90</f>
        <v>3755.2485999999999</v>
      </c>
      <c r="V90" s="1308">
        <f>10525.5134-U90-T90</f>
        <v>3667.4569999999994</v>
      </c>
      <c r="W90" s="2152">
        <f>Segment!M11-Quarterly!T90-Quarterly!U90-Quarterly!V90</f>
        <v>2778.0708881400005</v>
      </c>
      <c r="X90" s="2234">
        <v>3900.5288999999998</v>
      </c>
      <c r="Y90" s="1308">
        <f>Y121-X90</f>
        <v>4459.9820958700002</v>
      </c>
      <c r="Z90" s="1308">
        <f>1256315.56/100-SUM(X90:Y90)</f>
        <v>4202.6446041300005</v>
      </c>
      <c r="AA90" s="2152">
        <f>Segment!N74-Quarterly!X90-Quarterly!Y90-Quarterly!Z90</f>
        <v>3373.2080187629072</v>
      </c>
      <c r="AB90" s="1677">
        <f>X90*(1+AB91)</f>
        <v>4719.6399689999998</v>
      </c>
      <c r="AC90" s="2073">
        <f>Y90*(1+AC91)</f>
        <v>5351.9785150440002</v>
      </c>
      <c r="AD90" s="2073">
        <f>Z90*(1+AD91)</f>
        <v>5001.1470789147006</v>
      </c>
      <c r="AE90" s="1305">
        <f>Segment!O74-Quarterly!AB90-Quarterly!AC90-Quarterly!AD90</f>
        <v>3572.7798709938997</v>
      </c>
    </row>
    <row r="91" spans="2:31" ht="14.25" hidden="1" customHeight="1" outlineLevel="1">
      <c r="B91" s="144" t="s">
        <v>216</v>
      </c>
      <c r="C91" s="144"/>
      <c r="F91" s="1345"/>
      <c r="G91" s="1345"/>
      <c r="H91" s="1674"/>
      <c r="I91" s="1345"/>
      <c r="J91" s="1314">
        <f>J90/F90-1</f>
        <v>0.19893932655509827</v>
      </c>
      <c r="K91" s="1314">
        <f t="shared" ref="K91:Z91" si="82">K90/G90-1</f>
        <v>0.41021872032383078</v>
      </c>
      <c r="L91" s="1675">
        <f t="shared" si="82"/>
        <v>0.1589092894495423</v>
      </c>
      <c r="M91" s="1314">
        <f t="shared" si="82"/>
        <v>0.16281061336948088</v>
      </c>
      <c r="N91" s="1314">
        <f t="shared" si="82"/>
        <v>0.26935024841467747</v>
      </c>
      <c r="O91" s="1314">
        <f t="shared" si="82"/>
        <v>0.42029528164080898</v>
      </c>
      <c r="P91" s="1675">
        <f t="shared" si="82"/>
        <v>0.25001454222161601</v>
      </c>
      <c r="Q91" s="1314">
        <f t="shared" si="82"/>
        <v>0.24414231243804374</v>
      </c>
      <c r="R91" s="1314">
        <f t="shared" si="82"/>
        <v>0.25748334398383066</v>
      </c>
      <c r="S91" s="2155">
        <f t="shared" si="82"/>
        <v>0.3154566037483888</v>
      </c>
      <c r="T91" s="399">
        <f t="shared" si="82"/>
        <v>0.30196411123213585</v>
      </c>
      <c r="U91" s="1314">
        <f t="shared" si="82"/>
        <v>0.36464482572749524</v>
      </c>
      <c r="V91" s="1314">
        <f t="shared" si="82"/>
        <v>0.28279458651888967</v>
      </c>
      <c r="W91" s="2155">
        <f>W90/S90-1</f>
        <v>0.18616473970624869</v>
      </c>
      <c r="X91" s="399">
        <f t="shared" si="82"/>
        <v>0.25709652399352589</v>
      </c>
      <c r="Y91" s="1314">
        <f>Y90/U90-1</f>
        <v>0.18766626951675058</v>
      </c>
      <c r="Z91" s="1314">
        <f t="shared" si="82"/>
        <v>0.14592880138199327</v>
      </c>
      <c r="AA91" s="2155">
        <f>AA90/W90-1</f>
        <v>0.21422676187408896</v>
      </c>
      <c r="AB91" s="1775">
        <v>0.21</v>
      </c>
      <c r="AC91" s="2160">
        <v>0.2</v>
      </c>
      <c r="AD91" s="2160">
        <v>0.19</v>
      </c>
      <c r="AE91" s="1314">
        <f>AE90/AA90-1</f>
        <v>5.9163814126169445E-2</v>
      </c>
    </row>
    <row r="92" spans="2:31" ht="14.25" hidden="1" customHeight="1" outlineLevel="1">
      <c r="B92" s="144" t="s">
        <v>1477</v>
      </c>
      <c r="C92" s="144"/>
      <c r="F92" s="1308">
        <v>73.643599999999992</v>
      </c>
      <c r="G92" s="1308">
        <v>60.560800000000029</v>
      </c>
      <c r="H92" s="1674">
        <v>61.590499999999999</v>
      </c>
      <c r="I92" s="1308">
        <v>63.669500000000006</v>
      </c>
      <c r="J92" s="1308">
        <v>85.614999999999995</v>
      </c>
      <c r="K92" s="1308">
        <v>161.07456093000002</v>
      </c>
      <c r="L92" s="1674">
        <v>92.709699999999998</v>
      </c>
      <c r="M92" s="1308">
        <v>73.21835397000001</v>
      </c>
      <c r="N92" s="1308">
        <v>75.190346030000001</v>
      </c>
      <c r="O92" s="1308">
        <v>77.907323000000019</v>
      </c>
      <c r="P92" s="1674">
        <v>105.57080000000001</v>
      </c>
      <c r="Q92" s="1308">
        <v>214.41399999999999</v>
      </c>
      <c r="R92" s="1308">
        <v>319.81109999999995</v>
      </c>
      <c r="S92" s="2156">
        <v>274.67930786000005</v>
      </c>
      <c r="T92" s="1345">
        <f>T182</f>
        <v>374.77840000000003</v>
      </c>
      <c r="U92" s="1308">
        <f>U123+U125-T92</f>
        <v>628.80639999999994</v>
      </c>
      <c r="V92" s="1308">
        <f>1212.5045+807.3733-U92-T92</f>
        <v>1016.293</v>
      </c>
      <c r="W92" s="2152">
        <f>Segment!M12-Quarterly!T92-Quarterly!U92-Quarterly!V92</f>
        <v>498.30205348999982</v>
      </c>
      <c r="X92" s="1345">
        <f>X182</f>
        <v>944.63840000000005</v>
      </c>
      <c r="Y92" s="1308">
        <f>Y123+Y125-X92</f>
        <v>1425.4038648699996</v>
      </c>
      <c r="Z92" s="1308">
        <f>2846.7703+1424.3239-Y92-X92</f>
        <v>1901.0519351300006</v>
      </c>
      <c r="AA92" s="2152">
        <f>Segment!N177-Quarterly!X92-Quarterly!Y92-Quarterly!Z92</f>
        <v>760.73278324371881</v>
      </c>
      <c r="AB92" s="1677">
        <f>AB43-AB90</f>
        <v>1243.4882276949011</v>
      </c>
      <c r="AC92" s="1305">
        <f>AC43-AC90</f>
        <v>1832.0599926164005</v>
      </c>
      <c r="AD92" s="1305">
        <f>AD43-AD90</f>
        <v>2510.881166472298</v>
      </c>
      <c r="AE92" s="1305">
        <f>Segment!O177-Quarterly!AB92-Quarterly!AC92-Quarterly!AD92</f>
        <v>1138.6073763216318</v>
      </c>
    </row>
    <row r="93" spans="2:31" ht="14.25" hidden="1" customHeight="1" outlineLevel="1">
      <c r="B93" s="144" t="s">
        <v>216</v>
      </c>
      <c r="J93" s="1314">
        <f>J92/F92-1</f>
        <v>0.16255859300740338</v>
      </c>
      <c r="K93" s="1314">
        <f t="shared" ref="K93:Z93" si="83">K92/G92-1</f>
        <v>1.6597165316508358</v>
      </c>
      <c r="L93" s="1675">
        <f t="shared" si="83"/>
        <v>0.50525973973258864</v>
      </c>
      <c r="M93" s="1314">
        <f t="shared" si="83"/>
        <v>0.1499753252342173</v>
      </c>
      <c r="N93" s="1314">
        <f t="shared" si="83"/>
        <v>-0.12176200397126669</v>
      </c>
      <c r="O93" s="1314">
        <f t="shared" si="83"/>
        <v>-0.51632757804718099</v>
      </c>
      <c r="P93" s="1675">
        <f t="shared" si="83"/>
        <v>0.1387244268938419</v>
      </c>
      <c r="Q93" s="1314">
        <f t="shared" si="83"/>
        <v>1.9284187416703267</v>
      </c>
      <c r="R93" s="1314">
        <f t="shared" si="83"/>
        <v>3.2533532146852915</v>
      </c>
      <c r="S93" s="2155">
        <f t="shared" si="83"/>
        <v>2.5257187294190557</v>
      </c>
      <c r="T93" s="399">
        <f t="shared" si="83"/>
        <v>2.5500195129713901</v>
      </c>
      <c r="U93" s="1314">
        <f t="shared" si="83"/>
        <v>1.9326741723954592</v>
      </c>
      <c r="V93" s="1314">
        <f t="shared" si="83"/>
        <v>2.1777915150537308</v>
      </c>
      <c r="W93" s="2155">
        <f>W92/S92-1</f>
        <v>0.81412301265873643</v>
      </c>
      <c r="X93" s="399">
        <f t="shared" si="83"/>
        <v>1.5205251956889723</v>
      </c>
      <c r="Y93" s="1314">
        <f t="shared" si="83"/>
        <v>1.266840580614319</v>
      </c>
      <c r="Z93" s="1314">
        <f t="shared" si="83"/>
        <v>0.87057466215943702</v>
      </c>
      <c r="AA93" s="2155">
        <f t="shared" ref="AA93:AE93" si="84">AA92/W92-1</f>
        <v>0.52664990624804964</v>
      </c>
      <c r="AB93" s="1314">
        <f t="shared" si="84"/>
        <v>0.31636425927095591</v>
      </c>
      <c r="AC93" s="1314">
        <f t="shared" si="84"/>
        <v>0.28529186553278296</v>
      </c>
      <c r="AD93" s="1314">
        <f t="shared" si="84"/>
        <v>0.32078515061746327</v>
      </c>
      <c r="AE93" s="1314">
        <f t="shared" si="84"/>
        <v>0.49672447592790525</v>
      </c>
    </row>
    <row r="94" spans="2:31" ht="14.25" hidden="1" customHeight="1" outlineLevel="1">
      <c r="B94" s="144" t="s">
        <v>1348</v>
      </c>
      <c r="F94" s="1319">
        <f t="shared" ref="F94:AE94" si="85">F92/F43</f>
        <v>4.6783558045258779E-2</v>
      </c>
      <c r="G94" s="1319">
        <f t="shared" si="85"/>
        <v>6.6193489204279074E-2</v>
      </c>
      <c r="H94" s="1672">
        <f t="shared" si="85"/>
        <v>3.5991280013686448E-2</v>
      </c>
      <c r="I94" s="1319">
        <f t="shared" si="85"/>
        <v>3.2303145166397575E-2</v>
      </c>
      <c r="J94" s="1319">
        <f t="shared" si="85"/>
        <v>4.5589588618904685E-2</v>
      </c>
      <c r="K94" s="1319">
        <f t="shared" si="85"/>
        <v>0.11362402847012067</v>
      </c>
      <c r="L94" s="1672">
        <f t="shared" si="85"/>
        <v>4.6203697644974902E-2</v>
      </c>
      <c r="M94" s="1319">
        <f t="shared" si="85"/>
        <v>3.2046814195900358E-2</v>
      </c>
      <c r="N94" s="1319">
        <f t="shared" si="85"/>
        <v>3.1954095721350079E-2</v>
      </c>
      <c r="O94" s="1319">
        <f t="shared" si="85"/>
        <v>4.1862207598358459E-2</v>
      </c>
      <c r="P94" s="1672">
        <f t="shared" si="85"/>
        <v>4.2383170354233085E-2</v>
      </c>
      <c r="Q94" s="1319">
        <f t="shared" si="85"/>
        <v>7.2209826067425764E-2</v>
      </c>
      <c r="R94" s="1319">
        <f t="shared" si="85"/>
        <v>0.10054652777713086</v>
      </c>
      <c r="S94" s="2153">
        <f t="shared" si="85"/>
        <v>0.10476418766693513</v>
      </c>
      <c r="T94" s="414">
        <f t="shared" si="85"/>
        <v>0.1076278989211359</v>
      </c>
      <c r="U94" s="1319">
        <f t="shared" si="85"/>
        <v>0.14319954526654896</v>
      </c>
      <c r="V94" s="1319">
        <f t="shared" si="85"/>
        <v>0.21692516060620315</v>
      </c>
      <c r="W94" s="2153">
        <f t="shared" si="85"/>
        <v>0.15189494629614012</v>
      </c>
      <c r="X94" s="414">
        <f t="shared" si="85"/>
        <v>0.194848273200632</v>
      </c>
      <c r="Y94" s="1319">
        <f t="shared" si="85"/>
        <v>0.24206339001205196</v>
      </c>
      <c r="Z94" s="1319">
        <f t="shared" si="85"/>
        <v>0.31127330779750528</v>
      </c>
      <c r="AA94" s="2153">
        <f t="shared" si="85"/>
        <v>0.18340002624856722</v>
      </c>
      <c r="AB94" s="1672">
        <f t="shared" si="85"/>
        <v>0.2085295144894104</v>
      </c>
      <c r="AC94" s="1319">
        <f t="shared" si="85"/>
        <v>0.25501811977522942</v>
      </c>
      <c r="AD94" s="1319">
        <f t="shared" si="85"/>
        <v>0.33424809977440978</v>
      </c>
      <c r="AE94" s="414">
        <f t="shared" si="85"/>
        <v>0.23999412620057284</v>
      </c>
    </row>
    <row r="95" spans="2:31" ht="14.25" hidden="1" customHeight="1" outlineLevel="1">
      <c r="B95" s="144"/>
      <c r="F95" s="1319"/>
      <c r="G95" s="1319"/>
      <c r="H95" s="1672"/>
      <c r="I95" s="1319"/>
      <c r="J95" s="1319"/>
      <c r="K95" s="1319"/>
      <c r="L95" s="1672"/>
      <c r="M95" s="1319"/>
      <c r="N95" s="1319"/>
      <c r="O95" s="1319"/>
      <c r="P95" s="1672"/>
      <c r="Q95" s="1319"/>
      <c r="R95" s="1319"/>
      <c r="S95" s="2153"/>
      <c r="T95" s="414"/>
      <c r="U95" s="1319"/>
      <c r="V95" s="1319"/>
      <c r="W95" s="2153"/>
      <c r="X95" s="414"/>
      <c r="Y95" s="1319"/>
      <c r="Z95" s="1319"/>
      <c r="AA95" s="2153"/>
      <c r="AB95" s="1319"/>
      <c r="AC95" s="1319"/>
      <c r="AD95" s="1319"/>
      <c r="AE95" s="1319"/>
    </row>
    <row r="96" spans="2:31" ht="14.25" hidden="1" customHeight="1" outlineLevel="2">
      <c r="B96" s="1594" t="s">
        <v>1356</v>
      </c>
      <c r="S96" s="2146" t="s">
        <v>1509</v>
      </c>
      <c r="T96" s="2256">
        <f>T97*T100</f>
        <v>240.64896503999998</v>
      </c>
      <c r="U96" s="1593">
        <f>U123-T96+100</f>
        <v>335.18883496000001</v>
      </c>
      <c r="Y96" s="1593"/>
    </row>
    <row r="97" spans="2:31" ht="14.25" hidden="1" customHeight="1" outlineLevel="2">
      <c r="B97" s="1447" t="s">
        <v>1348</v>
      </c>
      <c r="T97" s="2229">
        <v>6.9199999999999998E-2</v>
      </c>
      <c r="U97" s="1592">
        <f>U96/+U100</f>
        <v>7.6456348052202805E-2</v>
      </c>
      <c r="Y97" s="1592">
        <f>Y96/+Y100</f>
        <v>0</v>
      </c>
    </row>
    <row r="98" spans="2:31" ht="14.25" hidden="1" customHeight="1" outlineLevel="2"/>
    <row r="99" spans="2:31" ht="14.25" hidden="1" customHeight="1" outlineLevel="2"/>
    <row r="100" spans="2:31" ht="14.25" hidden="1" customHeight="1" outlineLevel="1" collapsed="1">
      <c r="B100" s="1460" t="s">
        <v>1505</v>
      </c>
      <c r="H100" s="1674">
        <v>1706.6868999999999</v>
      </c>
      <c r="I100" s="1308">
        <v>1965.7987000000001</v>
      </c>
      <c r="J100" s="1308">
        <v>1876.7330000000002</v>
      </c>
      <c r="K100" s="1308">
        <v>1414.6288401100001</v>
      </c>
      <c r="L100" s="1674">
        <v>1999.2272</v>
      </c>
      <c r="M100" s="1308">
        <v>2285.0343999999996</v>
      </c>
      <c r="N100" s="1308">
        <v>2348.7464</v>
      </c>
      <c r="O100" s="1308">
        <v>1935.5151999999998</v>
      </c>
      <c r="P100" s="1674">
        <v>2488.7453999999998</v>
      </c>
      <c r="Q100" s="1308">
        <v>2966.2279000000008</v>
      </c>
      <c r="R100" s="1308">
        <v>3178.7699999999995</v>
      </c>
      <c r="S100" s="2156">
        <v>2616.7409078599999</v>
      </c>
      <c r="T100" s="1345">
        <v>3477.5861999999997</v>
      </c>
      <c r="U100" s="1308">
        <f>U90+U92</f>
        <v>4384.0550000000003</v>
      </c>
      <c r="V100" s="1308">
        <f>V90+V92</f>
        <v>4683.7499999999991</v>
      </c>
      <c r="W100" s="2246">
        <f>W90+W92</f>
        <v>3276.3729416300002</v>
      </c>
      <c r="X100" s="1345">
        <v>4845.1673000000001</v>
      </c>
      <c r="Y100" s="1308">
        <f>Y90+Y92</f>
        <v>5885.38596074</v>
      </c>
      <c r="Z100" s="1742">
        <f>Z90+Z92</f>
        <v>6103.6965392600014</v>
      </c>
    </row>
    <row r="101" spans="2:31" ht="14.25" hidden="1" customHeight="1" outlineLevel="1">
      <c r="B101" s="1447" t="s">
        <v>1144</v>
      </c>
      <c r="H101" s="1674">
        <v>733.06989999999996</v>
      </c>
      <c r="I101" s="1308">
        <v>921.56510000000003</v>
      </c>
      <c r="J101" s="1308">
        <v>900.36370000000011</v>
      </c>
      <c r="K101" s="1308">
        <v>644.07032373999982</v>
      </c>
      <c r="L101" s="1674">
        <v>784.86919999999998</v>
      </c>
      <c r="M101" s="1308">
        <v>863.0104</v>
      </c>
      <c r="N101" s="1308">
        <v>1024.2504999999996</v>
      </c>
      <c r="O101" s="1308">
        <v>681.86990000000037</v>
      </c>
      <c r="P101" s="1674">
        <v>841.77459999999996</v>
      </c>
      <c r="Q101" s="1308">
        <v>1037.5624</v>
      </c>
      <c r="R101" s="1308">
        <v>1060.0693000000001</v>
      </c>
      <c r="S101" s="2156">
        <v>821.54783399999997</v>
      </c>
      <c r="T101" s="1345">
        <f>T217</f>
        <v>925.47059999999999</v>
      </c>
      <c r="U101" s="1308">
        <f>U217</f>
        <v>1185.2956999999997</v>
      </c>
      <c r="V101" s="1308">
        <f>V217</f>
        <v>1311.9308000000001</v>
      </c>
      <c r="W101" s="2246">
        <f>W217</f>
        <v>937.25434157999962</v>
      </c>
      <c r="X101" s="1345">
        <v>1125.1771000000001</v>
      </c>
      <c r="Y101" s="1308">
        <f>Y217</f>
        <v>1420.6416999999999</v>
      </c>
      <c r="Z101" s="1742">
        <f>Z217</f>
        <v>1339.1014000000002</v>
      </c>
    </row>
    <row r="102" spans="2:31" ht="14.25" hidden="1" customHeight="1" outlineLevel="1">
      <c r="B102" s="1447" t="s">
        <v>1238</v>
      </c>
      <c r="H102" s="1674">
        <v>824.43520000000001</v>
      </c>
      <c r="I102" s="1308">
        <v>869.154</v>
      </c>
      <c r="J102" s="1308">
        <v>706.46559999999999</v>
      </c>
      <c r="K102" s="1308">
        <v>708.43171498000027</v>
      </c>
      <c r="L102" s="1674">
        <v>1035.5091</v>
      </c>
      <c r="M102" s="1308">
        <v>1254.3103999999994</v>
      </c>
      <c r="N102" s="1308">
        <v>1100.4478000000004</v>
      </c>
      <c r="O102" s="1308">
        <v>1089.0115961999993</v>
      </c>
      <c r="P102" s="1674">
        <v>1417.1542999999999</v>
      </c>
      <c r="Q102" s="1308">
        <v>1670.5310000000009</v>
      </c>
      <c r="R102" s="1308">
        <v>1791.3267999999994</v>
      </c>
      <c r="S102" s="2156">
        <v>1350.4170138599998</v>
      </c>
      <c r="T102" s="2163">
        <f t="shared" ref="T102:Y102" si="86">SUM(T218:T222)</f>
        <v>2139.4697000000001</v>
      </c>
      <c r="U102" s="1308">
        <f t="shared" si="86"/>
        <v>2552.9596999999999</v>
      </c>
      <c r="V102" s="1308">
        <f t="shared" si="86"/>
        <v>2636.6423999999997</v>
      </c>
      <c r="W102" s="2246">
        <f t="shared" si="86"/>
        <v>1680.9446752599999</v>
      </c>
      <c r="X102" s="2163">
        <f t="shared" si="86"/>
        <v>3086.9447</v>
      </c>
      <c r="Y102" s="1308">
        <f t="shared" si="86"/>
        <v>3554.8852999999999</v>
      </c>
      <c r="Z102" s="1742">
        <f t="shared" ref="Z102" si="87">SUM(Z218:Z222)</f>
        <v>3731.4875000000002</v>
      </c>
    </row>
    <row r="103" spans="2:31" ht="14.25" hidden="1" customHeight="1" outlineLevel="2">
      <c r="B103" s="144"/>
      <c r="W103" s="2247"/>
    </row>
    <row r="104" spans="2:31" ht="14.25" hidden="1" customHeight="1" outlineLevel="2">
      <c r="B104" s="1447" t="s">
        <v>1234</v>
      </c>
      <c r="H104" s="1674">
        <v>149.18180000000001</v>
      </c>
      <c r="I104" s="1308">
        <v>175.07959999999997</v>
      </c>
      <c r="J104" s="1308">
        <v>269.90370000000007</v>
      </c>
      <c r="K104" s="1308">
        <v>62.126801389999969</v>
      </c>
      <c r="L104" s="1674">
        <v>178.84889999999999</v>
      </c>
      <c r="M104" s="1308">
        <v>167.71360000000001</v>
      </c>
      <c r="N104" s="1308">
        <v>224.04809999999995</v>
      </c>
      <c r="O104" s="1308">
        <v>164.63370380000006</v>
      </c>
      <c r="P104" s="1674">
        <v>229.81649999999999</v>
      </c>
      <c r="Q104" s="1308">
        <v>258.1345</v>
      </c>
      <c r="R104" s="1308">
        <v>327.37389999999994</v>
      </c>
      <c r="S104" s="2156">
        <v>444.77606000000003</v>
      </c>
      <c r="T104" s="1345">
        <v>413.38040000000001</v>
      </c>
      <c r="U104" s="1308">
        <f>U224</f>
        <v>645.06510000000003</v>
      </c>
      <c r="V104" s="1308">
        <f>V224</f>
        <v>735.17679999999996</v>
      </c>
      <c r="W104" s="2246">
        <f>W224</f>
        <v>658.17392483999993</v>
      </c>
      <c r="Y104" s="1308">
        <f>Y224</f>
        <v>909.85889999999984</v>
      </c>
      <c r="Z104" s="1308">
        <f>Z224</f>
        <v>1033.1077</v>
      </c>
    </row>
    <row r="105" spans="2:31" ht="14.25" hidden="1" customHeight="1" outlineLevel="1" collapsed="1">
      <c r="B105" s="144"/>
      <c r="H105" s="1674"/>
      <c r="I105" s="1308"/>
      <c r="J105" s="1308"/>
      <c r="K105" s="1308"/>
      <c r="L105" s="1674"/>
      <c r="M105" s="1308"/>
      <c r="N105" s="1308"/>
      <c r="O105" s="1308"/>
      <c r="P105" s="1674"/>
      <c r="Q105" s="1308"/>
      <c r="R105" s="1308"/>
      <c r="S105" s="2156"/>
      <c r="T105" s="1345">
        <f>T100-T101-T102</f>
        <v>412.64589999999953</v>
      </c>
      <c r="U105" s="1345">
        <f t="shared" ref="U105:W105" si="88">U100-U101-U102</f>
        <v>645.79960000000074</v>
      </c>
      <c r="V105" s="1345">
        <f t="shared" si="88"/>
        <v>735.17679999999928</v>
      </c>
      <c r="W105" s="1345">
        <f t="shared" si="88"/>
        <v>658.17392479000068</v>
      </c>
      <c r="Z105" s="1308"/>
    </row>
    <row r="106" spans="2:31" ht="14.25" hidden="1" customHeight="1" outlineLevel="2">
      <c r="B106" s="1348" t="s">
        <v>1355</v>
      </c>
      <c r="C106" s="1349"/>
      <c r="D106" s="1350" t="s">
        <v>1059</v>
      </c>
      <c r="E106" s="1350" t="s">
        <v>1060</v>
      </c>
      <c r="F106" s="1350" t="s">
        <v>1068</v>
      </c>
      <c r="G106" s="1350" t="s">
        <v>1073</v>
      </c>
      <c r="H106" s="1673" t="s">
        <v>1076</v>
      </c>
      <c r="I106" s="1350" t="s">
        <v>1093</v>
      </c>
      <c r="J106" s="1350" t="s">
        <v>1100</v>
      </c>
      <c r="K106" s="1350" t="s">
        <v>1231</v>
      </c>
      <c r="L106" s="1673" t="s">
        <v>1209</v>
      </c>
      <c r="M106" s="1350" t="s">
        <v>1232</v>
      </c>
      <c r="N106" s="1350" t="s">
        <v>1229</v>
      </c>
      <c r="O106" s="1350" t="s">
        <v>1276</v>
      </c>
      <c r="P106" s="1673" t="s">
        <v>1273</v>
      </c>
      <c r="Q106" s="1350" t="s">
        <v>1277</v>
      </c>
      <c r="R106" s="1350" t="s">
        <v>1278</v>
      </c>
      <c r="S106" s="1351" t="s">
        <v>1279</v>
      </c>
      <c r="T106" s="1350" t="s">
        <v>1275</v>
      </c>
      <c r="U106" s="1350" t="s">
        <v>1475</v>
      </c>
      <c r="V106" s="1350" t="s">
        <v>1549</v>
      </c>
      <c r="W106" s="1351" t="s">
        <v>1644</v>
      </c>
      <c r="X106" s="1350" t="s">
        <v>1758</v>
      </c>
      <c r="Y106" s="1350" t="s">
        <v>1758</v>
      </c>
      <c r="Z106" s="1350" t="s">
        <v>1804</v>
      </c>
      <c r="AA106" s="1351" t="s">
        <v>1647</v>
      </c>
      <c r="AB106" s="1350" t="s">
        <v>1787</v>
      </c>
      <c r="AC106" s="1350" t="s">
        <v>1784</v>
      </c>
      <c r="AD106" s="1350" t="s">
        <v>1785</v>
      </c>
      <c r="AE106" s="1350" t="s">
        <v>1786</v>
      </c>
    </row>
    <row r="107" spans="2:31" ht="14.25" hidden="1" customHeight="1" outlineLevel="2">
      <c r="B107" s="144" t="s">
        <v>1503</v>
      </c>
      <c r="H107" s="1674"/>
      <c r="I107" s="1308"/>
      <c r="J107" s="1308"/>
      <c r="K107" s="1308"/>
      <c r="L107" s="1674"/>
      <c r="M107" s="1308">
        <f t="shared" ref="M107:V107" si="89">M205-M213</f>
        <v>2231</v>
      </c>
      <c r="N107" s="1308">
        <f t="shared" si="89"/>
        <v>2233</v>
      </c>
      <c r="O107" s="1308">
        <f t="shared" si="89"/>
        <v>2393</v>
      </c>
      <c r="P107" s="1674">
        <f t="shared" si="89"/>
        <v>2375</v>
      </c>
      <c r="Q107" s="1308">
        <f t="shared" si="89"/>
        <v>2328</v>
      </c>
      <c r="R107" s="1308">
        <f t="shared" si="89"/>
        <v>2327</v>
      </c>
      <c r="S107" s="2156">
        <f t="shared" si="89"/>
        <v>2485</v>
      </c>
      <c r="T107" s="1345">
        <f>T205-T213</f>
        <v>2410</v>
      </c>
      <c r="U107" s="1308">
        <f>U205-U213</f>
        <v>2366</v>
      </c>
      <c r="V107" s="1308">
        <f t="shared" si="89"/>
        <v>2369</v>
      </c>
      <c r="W107" s="2156">
        <f>W205-W213</f>
        <v>2536</v>
      </c>
      <c r="X107" s="1345">
        <f>X205-X213</f>
        <v>2563</v>
      </c>
      <c r="Y107" s="1308">
        <f>Y205-Y213</f>
        <v>2558</v>
      </c>
      <c r="Z107" s="1308">
        <f>Z205-Z213</f>
        <v>2522</v>
      </c>
    </row>
    <row r="108" spans="2:31" ht="14.25" hidden="1" customHeight="1" outlineLevel="2">
      <c r="B108" s="144" t="s">
        <v>1504</v>
      </c>
      <c r="H108" s="1674"/>
      <c r="I108" s="1308"/>
      <c r="J108" s="1308"/>
      <c r="K108" s="1308"/>
      <c r="L108" s="1674"/>
      <c r="M108" s="1308">
        <f t="shared" ref="M108:T108" si="90">M213</f>
        <v>359</v>
      </c>
      <c r="N108" s="1308">
        <f t="shared" si="90"/>
        <v>367</v>
      </c>
      <c r="O108" s="1308">
        <f t="shared" si="90"/>
        <v>386</v>
      </c>
      <c r="P108" s="1674">
        <f t="shared" si="90"/>
        <v>418</v>
      </c>
      <c r="Q108" s="1308">
        <f t="shared" si="90"/>
        <v>468</v>
      </c>
      <c r="R108" s="1308">
        <f t="shared" si="90"/>
        <v>453</v>
      </c>
      <c r="S108" s="2156">
        <f t="shared" si="90"/>
        <v>496</v>
      </c>
      <c r="T108" s="1345">
        <f t="shared" si="90"/>
        <v>502</v>
      </c>
      <c r="U108" s="1308">
        <f t="shared" ref="U108:Z108" si="91">U213</f>
        <v>616</v>
      </c>
      <c r="V108" s="1308">
        <f t="shared" si="91"/>
        <v>624</v>
      </c>
      <c r="W108" s="2156">
        <f t="shared" si="91"/>
        <v>657</v>
      </c>
      <c r="X108" s="1345">
        <f t="shared" si="91"/>
        <v>681</v>
      </c>
      <c r="Y108" s="1308">
        <f t="shared" si="91"/>
        <v>721</v>
      </c>
      <c r="Z108" s="1308">
        <f t="shared" si="91"/>
        <v>749</v>
      </c>
    </row>
    <row r="109" spans="2:31" ht="14.25" hidden="1" customHeight="1" outlineLevel="2">
      <c r="B109" s="144"/>
      <c r="H109" s="1674"/>
      <c r="I109" s="1308"/>
      <c r="J109" s="1308"/>
      <c r="K109" s="1308"/>
      <c r="L109" s="1674"/>
      <c r="M109" s="1308"/>
      <c r="N109" s="1308"/>
      <c r="O109" s="1308"/>
      <c r="P109" s="1674"/>
      <c r="Q109" s="1308"/>
      <c r="R109" s="1308"/>
      <c r="S109" s="2156"/>
      <c r="T109" s="1345"/>
      <c r="U109" s="1308"/>
      <c r="V109" s="1308"/>
      <c r="Z109" s="1308"/>
    </row>
    <row r="110" spans="2:31" ht="14.25" hidden="1" customHeight="1" outlineLevel="2">
      <c r="B110" s="1460" t="s">
        <v>1506</v>
      </c>
      <c r="H110" s="1674"/>
      <c r="I110" s="1308"/>
      <c r="J110" s="1308"/>
      <c r="K110" s="1308"/>
      <c r="L110" s="1674"/>
      <c r="M110" s="1308"/>
      <c r="N110" s="1308"/>
      <c r="O110" s="1308"/>
      <c r="P110" s="1674"/>
      <c r="Q110" s="1308"/>
      <c r="R110" s="1308"/>
      <c r="S110" s="2156"/>
      <c r="T110" s="1345"/>
      <c r="U110" s="1308"/>
      <c r="V110" s="1308"/>
      <c r="Z110" s="1308"/>
    </row>
    <row r="111" spans="2:31" ht="14.25" hidden="1" customHeight="1" outlineLevel="2">
      <c r="B111" s="144" t="s">
        <v>1503</v>
      </c>
      <c r="H111" s="1674"/>
      <c r="I111" s="1308"/>
      <c r="J111" s="1308"/>
      <c r="K111" s="1308"/>
      <c r="L111" s="1674"/>
      <c r="M111" s="1461"/>
      <c r="N111" s="1461"/>
      <c r="O111" s="1461"/>
      <c r="P111" s="1676"/>
      <c r="Q111" s="1461">
        <f t="shared" ref="Q111:Y111" si="92">(Q216-Q224)/Q107</f>
        <v>1.1129442010309281</v>
      </c>
      <c r="R111" s="1461">
        <f t="shared" si="92"/>
        <v>1.209649462827675</v>
      </c>
      <c r="S111" s="2248">
        <f t="shared" si="92"/>
        <v>0.85326279329979859</v>
      </c>
      <c r="T111" s="2235">
        <f t="shared" si="92"/>
        <v>1.2717594605809128</v>
      </c>
      <c r="U111" s="1461">
        <f t="shared" si="92"/>
        <v>1.5799896027049873</v>
      </c>
      <c r="V111" s="1461">
        <f t="shared" si="92"/>
        <v>1.6667679189531448</v>
      </c>
      <c r="W111" s="2248">
        <f t="shared" si="92"/>
        <v>1.0324128615299684</v>
      </c>
      <c r="X111" s="2235">
        <f t="shared" si="92"/>
        <v>1.6434341786968396</v>
      </c>
      <c r="Y111" s="1461">
        <f t="shared" si="92"/>
        <v>1.9450848318999219</v>
      </c>
      <c r="Z111" s="2271">
        <f>(Z216-Z224)/Z107</f>
        <v>2.0105427835051541</v>
      </c>
    </row>
    <row r="112" spans="2:31" ht="14.25" hidden="1" customHeight="1" outlineLevel="2">
      <c r="B112" s="144" t="s">
        <v>1504</v>
      </c>
      <c r="H112" s="1674"/>
      <c r="I112" s="1308"/>
      <c r="J112" s="1308"/>
      <c r="K112" s="1308"/>
      <c r="L112" s="1674"/>
      <c r="M112" s="1308"/>
      <c r="N112" s="1308"/>
      <c r="O112" s="1308"/>
      <c r="P112" s="1674"/>
      <c r="Q112" s="1461">
        <f t="shared" ref="Q112:Y112" si="93">Q224/Q108</f>
        <v>0.8019098290598291</v>
      </c>
      <c r="R112" s="1461">
        <f t="shared" si="93"/>
        <v>0.80334591611479012</v>
      </c>
      <c r="S112" s="2248">
        <f t="shared" si="93"/>
        <v>1.0007719341935488</v>
      </c>
      <c r="T112" s="2235">
        <f t="shared" si="93"/>
        <v>0.82346693227091639</v>
      </c>
      <c r="U112" s="1461">
        <f t="shared" si="93"/>
        <v>1.047183603896104</v>
      </c>
      <c r="V112" s="1461">
        <f t="shared" si="93"/>
        <v>1.1781679487179486</v>
      </c>
      <c r="W112" s="2248">
        <f t="shared" si="93"/>
        <v>1.0017867957990867</v>
      </c>
      <c r="X112" s="2235">
        <f t="shared" si="93"/>
        <v>0.9295822320117475</v>
      </c>
      <c r="Y112" s="1461">
        <f t="shared" si="93"/>
        <v>1.2619402219140081</v>
      </c>
      <c r="Z112" s="2271">
        <f t="shared" ref="Z112" si="94">Z224/Z108</f>
        <v>1.3793160213618159</v>
      </c>
    </row>
    <row r="113" spans="2:48" ht="14.25" hidden="1" customHeight="1" outlineLevel="2">
      <c r="B113" s="144"/>
      <c r="H113" s="1674"/>
      <c r="I113" s="1308"/>
      <c r="J113" s="1308"/>
      <c r="K113" s="1308"/>
      <c r="L113" s="1674"/>
      <c r="M113" s="1308"/>
      <c r="N113" s="1308"/>
      <c r="O113" s="1308"/>
      <c r="P113" s="1674"/>
      <c r="Q113" s="1308"/>
      <c r="R113" s="1308"/>
      <c r="S113" s="2156"/>
      <c r="T113" s="1345"/>
      <c r="U113" s="1308"/>
      <c r="V113" s="1308"/>
    </row>
    <row r="114" spans="2:48" ht="14.25" hidden="1" customHeight="1" outlineLevel="2">
      <c r="B114" s="1460" t="s">
        <v>1507</v>
      </c>
      <c r="H114" s="1674"/>
      <c r="I114" s="1308"/>
      <c r="J114" s="1308"/>
      <c r="K114" s="1308"/>
      <c r="L114" s="1674"/>
      <c r="M114" s="1308"/>
      <c r="N114" s="1308"/>
      <c r="O114" s="1308"/>
      <c r="P114" s="1674"/>
      <c r="Q114" s="1308"/>
      <c r="R114" s="1308"/>
      <c r="S114" s="2248">
        <f>U114/(1+9.09%)</f>
        <v>3.3000275002291688</v>
      </c>
      <c r="T114" s="1345"/>
      <c r="U114" s="1456">
        <v>3.6</v>
      </c>
      <c r="V114" s="1308"/>
      <c r="W114" s="2249">
        <v>4</v>
      </c>
      <c r="Y114" s="1995">
        <v>4.2</v>
      </c>
    </row>
    <row r="115" spans="2:48" ht="14.25" hidden="1" customHeight="1" outlineLevel="3">
      <c r="B115" s="144" t="s">
        <v>1514</v>
      </c>
      <c r="H115" s="1674"/>
      <c r="I115" s="1308"/>
      <c r="J115" s="1308"/>
      <c r="K115" s="1308"/>
      <c r="L115" s="1674"/>
      <c r="M115" s="1308"/>
      <c r="N115" s="1308"/>
      <c r="O115" s="1308"/>
      <c r="P115" s="1674"/>
      <c r="Q115" s="1308"/>
      <c r="R115" s="1308"/>
      <c r="S115" s="2156"/>
      <c r="T115" s="1345"/>
      <c r="U115" s="1308">
        <f>U121/AVERAGE(S114,U114)</f>
        <v>1987.8345121877342</v>
      </c>
      <c r="V115" s="1308"/>
      <c r="W115" s="2156">
        <f>W121/AVERAGE(U114,W114)</f>
        <v>1696.1915495105263</v>
      </c>
      <c r="X115" s="1345"/>
      <c r="Y115" s="1308"/>
      <c r="Z115" s="1308"/>
      <c r="AA115" s="2156"/>
      <c r="AB115" s="1308"/>
      <c r="AC115" s="1308"/>
      <c r="AD115" s="1308"/>
      <c r="AE115" s="1308"/>
    </row>
    <row r="116" spans="2:48" ht="14.25" hidden="1" customHeight="1" outlineLevel="4">
      <c r="B116" s="144"/>
      <c r="H116" s="1674"/>
      <c r="I116" s="1308"/>
      <c r="J116" s="1308"/>
      <c r="K116" s="1308"/>
      <c r="L116" s="1674"/>
      <c r="M116" s="1308"/>
      <c r="N116" s="1308"/>
      <c r="O116" s="1308"/>
      <c r="P116" s="1674"/>
      <c r="Q116" s="1308"/>
      <c r="R116" s="1308"/>
      <c r="S116" s="2156"/>
      <c r="T116" s="1345"/>
      <c r="U116" s="1308"/>
      <c r="V116" s="1308"/>
    </row>
    <row r="117" spans="2:48" ht="14.25" hidden="1" customHeight="1" outlineLevel="4">
      <c r="B117" s="144"/>
      <c r="H117" s="1674"/>
      <c r="I117" s="1308"/>
      <c r="J117" s="1308"/>
      <c r="K117" s="1308"/>
      <c r="L117" s="1674"/>
      <c r="M117" s="1308"/>
      <c r="N117" s="1308"/>
      <c r="O117" s="1308"/>
      <c r="P117" s="1674"/>
      <c r="Q117" s="1308"/>
      <c r="R117" s="1308"/>
      <c r="S117" s="2156"/>
      <c r="T117" s="1345"/>
      <c r="U117" s="1308"/>
      <c r="V117" s="1308"/>
    </row>
    <row r="118" spans="2:48" ht="14.25" hidden="1" customHeight="1" outlineLevel="4">
      <c r="B118" s="144" t="s">
        <v>1508</v>
      </c>
      <c r="H118" s="1674"/>
      <c r="I118" s="1308"/>
      <c r="J118" s="1308"/>
      <c r="K118" s="1308"/>
      <c r="L118" s="1674"/>
      <c r="M118" s="1308"/>
      <c r="N118" s="1308"/>
      <c r="O118" s="1308"/>
      <c r="P118" s="1674"/>
      <c r="Q118" s="1308"/>
      <c r="R118" s="1308"/>
      <c r="S118" s="2156"/>
      <c r="T118" s="1345"/>
      <c r="U118" s="1308">
        <v>210</v>
      </c>
      <c r="V118" s="1308"/>
    </row>
    <row r="119" spans="2:48" ht="14.25" hidden="1" customHeight="1" outlineLevel="1">
      <c r="B119" s="144"/>
      <c r="H119" s="1674"/>
      <c r="I119" s="1308"/>
      <c r="J119" s="1308"/>
      <c r="K119" s="1308"/>
      <c r="L119" s="1674"/>
      <c r="M119" s="1308"/>
      <c r="N119" s="1308"/>
      <c r="O119" s="1308"/>
      <c r="P119" s="1674"/>
      <c r="Q119" s="1308"/>
      <c r="R119" s="1308"/>
      <c r="S119" s="2156"/>
      <c r="T119" s="1345"/>
      <c r="U119" s="1308"/>
      <c r="V119" s="1308"/>
    </row>
    <row r="120" spans="2:48" ht="14.25" hidden="1" customHeight="1" outlineLevel="2">
      <c r="B120" s="1348" t="s">
        <v>1479</v>
      </c>
      <c r="C120" s="1349"/>
      <c r="D120" s="1350"/>
      <c r="E120" s="1350"/>
      <c r="F120" s="1350"/>
      <c r="G120" s="1350"/>
      <c r="H120" s="1673"/>
      <c r="I120" s="1350" t="s">
        <v>1094</v>
      </c>
      <c r="J120" s="1350"/>
      <c r="K120" s="1350" t="s">
        <v>1211</v>
      </c>
      <c r="L120" s="1673"/>
      <c r="M120" s="1350" t="s">
        <v>1210</v>
      </c>
      <c r="N120" s="1350"/>
      <c r="O120" s="1350" t="s">
        <v>1239</v>
      </c>
      <c r="P120" s="1673"/>
      <c r="Q120" s="1350" t="s">
        <v>1240</v>
      </c>
      <c r="R120" s="1350"/>
      <c r="S120" s="1351" t="s">
        <v>1241</v>
      </c>
      <c r="T120" s="1350"/>
      <c r="U120" s="1350" t="s">
        <v>1476</v>
      </c>
      <c r="V120" s="1350"/>
      <c r="W120" s="1351" t="s">
        <v>1745</v>
      </c>
      <c r="X120" s="1350"/>
      <c r="Y120" s="1350" t="s">
        <v>1751</v>
      </c>
      <c r="Z120" s="1350"/>
      <c r="AA120" s="1351" t="s">
        <v>1649</v>
      </c>
      <c r="AB120" s="1350"/>
      <c r="AC120" s="1350" t="s">
        <v>1782</v>
      </c>
      <c r="AD120" s="1350"/>
      <c r="AE120" s="1350" t="s">
        <v>1788</v>
      </c>
    </row>
    <row r="121" spans="2:48" ht="14.25" hidden="1" customHeight="1" outlineLevel="2">
      <c r="B121" s="1448" t="s">
        <v>1480</v>
      </c>
      <c r="I121" s="1305">
        <f>H90+I90</f>
        <v>3547.2255999999998</v>
      </c>
      <c r="K121" s="1305">
        <f>J90+K90</f>
        <v>3044.6722791800003</v>
      </c>
      <c r="M121" s="1305">
        <f>L90+M90</f>
        <v>4118.3335217599997</v>
      </c>
      <c r="O121" s="1305">
        <f>N90+O90</f>
        <v>4053.9733062400001</v>
      </c>
      <c r="Q121" s="1308">
        <v>5134.9885000000004</v>
      </c>
      <c r="S121" s="2260">
        <f>S90+R90</f>
        <v>5201.0204999999996</v>
      </c>
      <c r="U121" s="1308">
        <f>685805.64/100</f>
        <v>6858.0564000000004</v>
      </c>
      <c r="V121" s="1308"/>
      <c r="W121" s="2152">
        <f>Segment!M74-Quarterly!U121</f>
        <v>6445.52788814</v>
      </c>
      <c r="X121" s="1305"/>
      <c r="Y121" s="1308">
        <f>8360510995.87/1000000</f>
        <v>8360.5109958699995</v>
      </c>
      <c r="Z121" s="1305"/>
      <c r="AA121" s="2152">
        <f>AA90+Z90</f>
        <v>7575.8526228929077</v>
      </c>
      <c r="AB121" s="1305"/>
      <c r="AC121" s="1305">
        <f>AC90+AB90</f>
        <v>10071.618484044</v>
      </c>
      <c r="AD121" s="1305"/>
      <c r="AE121" s="2073">
        <f>AE90+AD90</f>
        <v>8573.9269499086004</v>
      </c>
    </row>
    <row r="122" spans="2:48" ht="14.25" hidden="1" customHeight="1" outlineLevel="2">
      <c r="B122" s="1448" t="s">
        <v>216</v>
      </c>
      <c r="M122" s="1314">
        <f>M121/I121-1</f>
        <v>0.16100129683322084</v>
      </c>
      <c r="O122" s="1314">
        <f>O121/K121-1</f>
        <v>0.33149742714898278</v>
      </c>
      <c r="Q122" s="1314">
        <f>Q121/M121-1</f>
        <v>0.24686076852889904</v>
      </c>
      <c r="S122" s="2261">
        <f>S121/O121-1</f>
        <v>0.28294394341334939</v>
      </c>
      <c r="U122" s="1314">
        <f>U121/Q121-1</f>
        <v>0.33555438342266974</v>
      </c>
      <c r="V122" s="1314"/>
      <c r="W122" s="2155">
        <f>W121/S121-1</f>
        <v>0.23928138490129003</v>
      </c>
      <c r="X122" s="399"/>
      <c r="Y122" s="1314">
        <f>Y121/U121-1</f>
        <v>0.21907877512789176</v>
      </c>
      <c r="Z122" s="1314"/>
      <c r="AA122" s="2155">
        <f>AA121/W121-1</f>
        <v>0.17536573487374785</v>
      </c>
      <c r="AB122" s="1314"/>
      <c r="AC122" s="1314">
        <f>AC121/Y121-1</f>
        <v>0.2046654192571804</v>
      </c>
      <c r="AD122" s="1314"/>
      <c r="AE122" s="399">
        <f>AE121/AA121-1</f>
        <v>0.13174415827463237</v>
      </c>
    </row>
    <row r="123" spans="2:48" ht="14.25" hidden="1" customHeight="1" outlineLevel="2">
      <c r="B123" s="1448" t="s">
        <v>1478</v>
      </c>
      <c r="Q123" s="1308">
        <v>124.8535</v>
      </c>
      <c r="S123" s="2260">
        <f>Segment!L188-Quarterly!Q123</f>
        <v>268.18855623208981</v>
      </c>
      <c r="U123" s="1308">
        <v>475.83780000000002</v>
      </c>
      <c r="V123" s="1308"/>
      <c r="W123" s="2152">
        <f>Segment!M188-Quarterly!U123</f>
        <v>1019.1762692899999</v>
      </c>
      <c r="X123" s="1305"/>
      <c r="Y123" s="1308">
        <f>1492738443.12/1000000</f>
        <v>1492.7384431199998</v>
      </c>
      <c r="Z123" s="1305"/>
      <c r="AA123" s="2152">
        <f>AA177+Z177</f>
        <v>1811.2426500109</v>
      </c>
      <c r="AB123" s="1305"/>
      <c r="AC123" s="1305">
        <f>AC177+AB177</f>
        <v>2005.9679287807999</v>
      </c>
      <c r="AD123" s="1305"/>
      <c r="AE123" s="1305">
        <f>AE177+AD177</f>
        <v>2487.4463578772234</v>
      </c>
      <c r="AI123" s="129" t="s">
        <v>1210</v>
      </c>
      <c r="AJ123" s="129" t="s">
        <v>1239</v>
      </c>
      <c r="AK123" s="129" t="s">
        <v>1240</v>
      </c>
      <c r="AL123" s="129" t="s">
        <v>1241</v>
      </c>
      <c r="AM123" s="129" t="s">
        <v>1476</v>
      </c>
      <c r="AN123" s="129" t="s">
        <v>1489</v>
      </c>
      <c r="AP123" s="129" t="s">
        <v>1278</v>
      </c>
      <c r="AQ123" s="129" t="s">
        <v>1549</v>
      </c>
      <c r="AS123" s="129" t="s">
        <v>1071</v>
      </c>
      <c r="AT123" s="129" t="s">
        <v>1096</v>
      </c>
      <c r="AU123" s="129" t="s">
        <v>1401</v>
      </c>
      <c r="AV123" s="129" t="s">
        <v>1551</v>
      </c>
    </row>
    <row r="124" spans="2:48" ht="14.25" hidden="1" customHeight="1" outlineLevel="2">
      <c r="B124" s="1448" t="s">
        <v>216</v>
      </c>
      <c r="S124" s="2247"/>
      <c r="U124" s="1314">
        <f>U123/Q123-1</f>
        <v>2.8111690901736837</v>
      </c>
      <c r="V124" s="1314"/>
      <c r="W124" s="2155">
        <f>W123/S123-1</f>
        <v>2.8002228119234398</v>
      </c>
      <c r="X124" s="399"/>
      <c r="Y124" s="1314">
        <f>Y123/U123-1</f>
        <v>2.1370741103796287</v>
      </c>
      <c r="Z124" s="1314"/>
      <c r="AA124" s="2155">
        <f>AA123/W123-1</f>
        <v>0.77716328822362213</v>
      </c>
      <c r="AB124" s="1314"/>
      <c r="AC124" s="1314">
        <f>AC123/Y123-1</f>
        <v>0.34381742362586287</v>
      </c>
      <c r="AD124" s="1314"/>
      <c r="AE124" s="399">
        <f>AE123/AA123-1</f>
        <v>0.37333689545255244</v>
      </c>
      <c r="AI124" s="1304">
        <f>M121</f>
        <v>4118.3335217599997</v>
      </c>
      <c r="AJ124" s="1304">
        <f>O121</f>
        <v>4053.9733062400001</v>
      </c>
      <c r="AK124" s="1304">
        <f>Q121</f>
        <v>5134.9885000000004</v>
      </c>
      <c r="AL124" s="1304">
        <f>S121</f>
        <v>5201.0204999999996</v>
      </c>
      <c r="AM124" s="1304">
        <f>U121</f>
        <v>6858.0564000000004</v>
      </c>
      <c r="AN124" s="1304">
        <f>W121</f>
        <v>6445.52788814</v>
      </c>
      <c r="AP124" s="1305">
        <f>R90</f>
        <v>2858.9588999999996</v>
      </c>
      <c r="AQ124" s="1305">
        <f>V90</f>
        <v>3667.4569999999994</v>
      </c>
      <c r="AS124" s="1304">
        <f>Segment!N11</f>
        <v>15936.363618762907</v>
      </c>
      <c r="AT124" s="1304">
        <f>Segment!O11</f>
        <v>18645.5454339526</v>
      </c>
      <c r="AU124" s="1304">
        <f>Segment!P11</f>
        <v>21255.921794705966</v>
      </c>
      <c r="AV124" s="1304" t="e">
        <f>Segment!#REF!</f>
        <v>#REF!</v>
      </c>
    </row>
    <row r="125" spans="2:48" ht="14.25" hidden="1" customHeight="1" outlineLevel="2">
      <c r="B125" s="1448" t="s">
        <v>1337</v>
      </c>
      <c r="M125" s="1691">
        <f>Segment!Z177</f>
        <v>165.92805397000001</v>
      </c>
      <c r="O125" s="1691">
        <f>Segment!AA177</f>
        <v>153.09766903000002</v>
      </c>
      <c r="Q125" s="1308">
        <v>195.13130000000001</v>
      </c>
      <c r="S125" s="2260">
        <f>Segment!L177-Segment!L188-Quarterly!Q125</f>
        <v>326.30185162791008</v>
      </c>
      <c r="U125" s="1308">
        <f>52774.7/100</f>
        <v>527.74699999999996</v>
      </c>
      <c r="V125" s="1308"/>
      <c r="W125" s="2152">
        <f>Segment!M177-Segment!M188-Quarterly!U125</f>
        <v>495.4187842</v>
      </c>
      <c r="X125" s="1305"/>
      <c r="Y125" s="1308">
        <f>877303821.75/1000000</f>
        <v>877.30382175</v>
      </c>
      <c r="Z125" s="1305"/>
      <c r="AA125" s="2152">
        <f>AA128-AA123</f>
        <v>850.54206836281946</v>
      </c>
      <c r="AB125" s="1305"/>
      <c r="AC125" s="1305">
        <f>AC128-AC123</f>
        <v>1069.5802915305017</v>
      </c>
      <c r="AD125" s="1305"/>
      <c r="AE125" s="1305">
        <f>AE128-AE123</f>
        <v>1162.0421849167064</v>
      </c>
      <c r="AI125" s="1304"/>
      <c r="AJ125" s="1304"/>
      <c r="AK125" s="1304">
        <f>Q123</f>
        <v>124.8535</v>
      </c>
      <c r="AL125" s="1304">
        <f>S123</f>
        <v>268.18855623208981</v>
      </c>
      <c r="AM125" s="1304">
        <f>U123</f>
        <v>475.83780000000002</v>
      </c>
      <c r="AN125" s="1304">
        <f>W123</f>
        <v>1019.1762692899999</v>
      </c>
      <c r="AP125" s="1305">
        <f>R177</f>
        <v>183.98660000000001</v>
      </c>
      <c r="AQ125" s="1305">
        <f>V177</f>
        <v>736.66669999999999</v>
      </c>
      <c r="AS125" s="1304">
        <f>Segment!N188</f>
        <v>3303.9810931308998</v>
      </c>
      <c r="AT125" s="1304">
        <f>Segment!O188</f>
        <v>4493.4142866580232</v>
      </c>
      <c r="AU125" s="1304">
        <f>Segment!P188</f>
        <v>5684.1690726223997</v>
      </c>
      <c r="AV125" s="1304" t="e">
        <f>Segment!#REF!</f>
        <v>#REF!</v>
      </c>
    </row>
    <row r="126" spans="2:48" ht="14.25" hidden="1" customHeight="1" outlineLevel="2">
      <c r="B126" s="1448" t="s">
        <v>216</v>
      </c>
      <c r="S126" s="2247"/>
      <c r="U126" s="1314">
        <f>U125/Q125-1</f>
        <v>1.7045737921081852</v>
      </c>
      <c r="V126" s="1314"/>
      <c r="W126" s="2155">
        <f>W125/S125-1</f>
        <v>0.51828370488359377</v>
      </c>
      <c r="X126" s="399"/>
      <c r="Y126" s="1314">
        <f>Y125/U125-1</f>
        <v>0.6623568144394949</v>
      </c>
      <c r="Z126" s="1314"/>
      <c r="AA126" s="2155">
        <f>AA125/W125-1</f>
        <v>0.71681433059965816</v>
      </c>
      <c r="AB126" s="1314"/>
      <c r="AC126" s="1314">
        <f>AC125/Y125-1</f>
        <v>0.21916748224914673</v>
      </c>
      <c r="AD126" s="1314"/>
      <c r="AE126" s="399">
        <f>AE125/AA125-1</f>
        <v>0.36623716585057742</v>
      </c>
      <c r="AI126" s="1304">
        <f>M125</f>
        <v>165.92805397000001</v>
      </c>
      <c r="AJ126" s="1304">
        <f>O125</f>
        <v>153.09766903000002</v>
      </c>
      <c r="AK126" s="1304">
        <f>Q125</f>
        <v>195.13130000000001</v>
      </c>
      <c r="AL126" s="1304">
        <f>S125</f>
        <v>326.30185162791008</v>
      </c>
      <c r="AM126" s="1304">
        <f>U125</f>
        <v>527.74699999999996</v>
      </c>
      <c r="AN126" s="1304">
        <f>W125</f>
        <v>495.4187842</v>
      </c>
      <c r="AP126" s="1305">
        <f>R179</f>
        <v>135.8245</v>
      </c>
      <c r="AQ126" s="1305">
        <f>V179</f>
        <v>279.62630000000001</v>
      </c>
      <c r="AS126" s="1304">
        <f>Segment!N12-Quarterly!AS125</f>
        <v>1727.8458901128192</v>
      </c>
      <c r="AT126" s="1304">
        <f>Segment!O12-Quarterly!AT125</f>
        <v>2231.6224764472081</v>
      </c>
      <c r="AU126" s="1304">
        <f>Segment!P12-Quarterly!AU125</f>
        <v>2806.1898407979543</v>
      </c>
      <c r="AV126" s="1304" t="e">
        <f>Segment!#REF!-Quarterly!AV125</f>
        <v>#REF!</v>
      </c>
    </row>
    <row r="127" spans="2:48" ht="14.25" hidden="1" customHeight="1" outlineLevel="2">
      <c r="B127" s="1448"/>
      <c r="U127" s="1314"/>
      <c r="V127" s="1314"/>
      <c r="Y127" s="1314"/>
      <c r="AP127" s="1305">
        <f>SUM(AP124:AP126)</f>
        <v>3178.77</v>
      </c>
      <c r="AQ127" s="1305">
        <f>SUM(AQ124:AQ126)</f>
        <v>4683.7499999999991</v>
      </c>
    </row>
    <row r="128" spans="2:48" ht="14.25" hidden="1" customHeight="1" outlineLevel="2">
      <c r="B128" s="1448" t="s">
        <v>1500</v>
      </c>
      <c r="Q128" s="1305">
        <f>Q92+P92</f>
        <v>319.98480000000001</v>
      </c>
      <c r="S128" s="2152">
        <f>S92+R92</f>
        <v>594.49040786</v>
      </c>
      <c r="U128" s="1305">
        <f>U92+T92</f>
        <v>1003.5848</v>
      </c>
      <c r="V128" s="1305"/>
      <c r="W128" s="2152">
        <f>W125+W123</f>
        <v>1514.5950534899998</v>
      </c>
      <c r="X128" s="1305"/>
      <c r="Y128" s="1305">
        <f>Y92+X92</f>
        <v>2370.0422648699996</v>
      </c>
      <c r="Z128" s="1305"/>
      <c r="AA128" s="2152">
        <f>AA92+Z92</f>
        <v>2661.7847183737194</v>
      </c>
      <c r="AB128" s="1305"/>
      <c r="AC128" s="1305">
        <f>AC92+AB92</f>
        <v>3075.5482203113015</v>
      </c>
      <c r="AD128" s="1305"/>
      <c r="AE128" s="1305">
        <f>AE92+AD92</f>
        <v>3649.4885427939298</v>
      </c>
    </row>
    <row r="129" spans="2:31" ht="14.25" hidden="1" customHeight="1" outlineLevel="2">
      <c r="B129" s="1448"/>
      <c r="U129" s="1314">
        <f>U128/Q128-1</f>
        <v>2.1363514766951428</v>
      </c>
      <c r="V129" s="1314"/>
      <c r="W129" s="2155">
        <f>W128/S128-1</f>
        <v>1.5477199185469122</v>
      </c>
      <c r="X129" s="399"/>
      <c r="Y129" s="1314">
        <f>Y128/U128-1</f>
        <v>1.3615764854848336</v>
      </c>
      <c r="Z129" s="1314"/>
      <c r="AA129" s="2155">
        <f>AA128/W128-1</f>
        <v>0.75742335368144253</v>
      </c>
      <c r="AB129" s="1314"/>
      <c r="AC129" s="1314">
        <f>AC128/Y128-1</f>
        <v>0.29767652919050369</v>
      </c>
      <c r="AD129" s="1314"/>
      <c r="AE129" s="399">
        <f>AE128/AA128-1</f>
        <v>0.37106826017983585</v>
      </c>
    </row>
    <row r="130" spans="2:31" ht="14.25" hidden="1" customHeight="1" outlineLevel="2">
      <c r="B130" s="1448"/>
    </row>
    <row r="131" spans="2:31" ht="14.25" hidden="1" customHeight="1" outlineLevel="2">
      <c r="B131" s="1348" t="s">
        <v>1131</v>
      </c>
      <c r="C131" s="1349"/>
      <c r="D131" s="1350"/>
      <c r="E131" s="1350"/>
      <c r="F131" s="1350"/>
      <c r="G131" s="1350"/>
      <c r="H131" s="1673"/>
      <c r="I131" s="1350"/>
      <c r="J131" s="1350"/>
      <c r="K131" s="1350"/>
      <c r="L131" s="1673"/>
      <c r="M131" s="1350" t="s">
        <v>1210</v>
      </c>
      <c r="N131" s="1350"/>
      <c r="O131" s="1350" t="s">
        <v>1239</v>
      </c>
      <c r="P131" s="1673"/>
      <c r="Q131" s="1350" t="s">
        <v>1240</v>
      </c>
      <c r="R131" s="1350"/>
      <c r="S131" s="1351" t="s">
        <v>1241</v>
      </c>
      <c r="T131" s="1350"/>
      <c r="U131" s="1350" t="s">
        <v>1476</v>
      </c>
      <c r="V131" s="1350"/>
      <c r="W131" s="1351" t="s">
        <v>1745</v>
      </c>
      <c r="X131" s="1350"/>
      <c r="Y131" s="1350" t="s">
        <v>1751</v>
      </c>
      <c r="Z131" s="1350"/>
      <c r="AA131" s="1351" t="str">
        <f>AA163</f>
        <v>2H25E</v>
      </c>
      <c r="AB131" s="1350"/>
      <c r="AC131" s="1350" t="s">
        <v>1782</v>
      </c>
      <c r="AD131" s="1350"/>
      <c r="AE131" s="1350" t="s">
        <v>1788</v>
      </c>
    </row>
    <row r="132" spans="2:31" ht="14.25" hidden="1" customHeight="1" outlineLevel="2">
      <c r="B132" s="144" t="s">
        <v>1116</v>
      </c>
      <c r="C132" s="144"/>
      <c r="M132" s="1308">
        <v>940.38337999999999</v>
      </c>
      <c r="O132" s="1308">
        <v>919.04762000000005</v>
      </c>
      <c r="Q132" s="1308">
        <v>1207.0437899999999</v>
      </c>
      <c r="S132" s="2156">
        <v>1177.5062100000002</v>
      </c>
      <c r="U132" s="1308">
        <v>1604.8386</v>
      </c>
      <c r="W132" s="2157">
        <f>Segment!M106-U132</f>
        <v>1478.5814</v>
      </c>
      <c r="X132" s="2163"/>
      <c r="Y132" s="1308">
        <f>1966076.93/1000</f>
        <v>1966.0769299999999</v>
      </c>
      <c r="Z132" s="1304"/>
      <c r="AA132" s="2157">
        <f>Segment!N106-Y132</f>
        <v>1764.8612700000001</v>
      </c>
      <c r="AB132" s="1304"/>
      <c r="AC132" s="1304"/>
      <c r="AD132" s="1304"/>
      <c r="AE132" s="1304"/>
    </row>
    <row r="133" spans="2:31" ht="14.25" hidden="1" customHeight="1" outlineLevel="2">
      <c r="B133" s="1448" t="s">
        <v>216</v>
      </c>
      <c r="C133" s="144"/>
      <c r="M133" s="1303"/>
      <c r="O133" s="1303"/>
      <c r="Q133" s="1314">
        <f>Q132/M132-1</f>
        <v>0.28356563468826934</v>
      </c>
      <c r="S133" s="2155">
        <f>S132/O132-1</f>
        <v>0.28122437224743613</v>
      </c>
      <c r="U133" s="1314">
        <f>U132/Q132-1</f>
        <v>0.32956120838002079</v>
      </c>
      <c r="W133" s="2155">
        <f>W132/S132-1</f>
        <v>0.25568883411663679</v>
      </c>
      <c r="X133" s="399"/>
      <c r="Y133" s="1314">
        <f>Y132/U132-1</f>
        <v>0.22509324613702586</v>
      </c>
      <c r="Z133" s="1314"/>
      <c r="AA133" s="1314">
        <f>AA132/W132-1</f>
        <v>0.19361792999695515</v>
      </c>
      <c r="AB133" s="1314"/>
      <c r="AC133" s="1314"/>
      <c r="AD133" s="1314"/>
      <c r="AE133" s="1314"/>
    </row>
    <row r="134" spans="2:31" ht="14.25" hidden="1" customHeight="1" outlineLevel="2">
      <c r="B134" s="144" t="s">
        <v>1478</v>
      </c>
      <c r="Q134" s="1308">
        <v>47.391530000000003</v>
      </c>
      <c r="S134" s="2152">
        <f>Segment!L203-Q134</f>
        <v>126.62079292379802</v>
      </c>
      <c r="U134" s="1308">
        <v>209.49681000000001</v>
      </c>
      <c r="W134" s="2157">
        <f>Segment!M203-U134</f>
        <v>451.36719000000005</v>
      </c>
      <c r="X134" s="2163"/>
      <c r="Y134" s="1308">
        <v>685.7</v>
      </c>
      <c r="Z134" s="1304"/>
      <c r="AA134" s="2157">
        <f>Segment!N203-Y134</f>
        <v>829.35128630705412</v>
      </c>
      <c r="AB134" s="1304"/>
      <c r="AC134" s="1304"/>
      <c r="AD134" s="1304"/>
      <c r="AE134" s="1304"/>
    </row>
    <row r="135" spans="2:31" ht="14.25" hidden="1" customHeight="1" outlineLevel="2">
      <c r="B135" s="1448" t="s">
        <v>216</v>
      </c>
      <c r="U135" s="1314">
        <f>U134/Q134-1</f>
        <v>3.420553841583085</v>
      </c>
      <c r="W135" s="2155">
        <f>W134/S134-1</f>
        <v>2.5647161858450729</v>
      </c>
      <c r="X135" s="399"/>
      <c r="Y135" s="1314">
        <f>Y134/U134-1</f>
        <v>2.273080864572592</v>
      </c>
      <c r="Z135" s="1314"/>
      <c r="AA135" s="1314">
        <f>AA134/W134-1</f>
        <v>0.83742040777721138</v>
      </c>
      <c r="AB135" s="1314"/>
      <c r="AC135" s="1314"/>
      <c r="AD135" s="1314"/>
      <c r="AE135" s="1314"/>
    </row>
    <row r="136" spans="2:31" ht="14.25" hidden="1" customHeight="1" outlineLevel="2">
      <c r="B136" s="144" t="s">
        <v>1337</v>
      </c>
      <c r="C136" s="144"/>
      <c r="M136" s="1308">
        <v>87.269739999999999</v>
      </c>
      <c r="N136" s="1308"/>
      <c r="O136" s="1308">
        <v>108.86126</v>
      </c>
      <c r="P136" s="1674"/>
      <c r="Q136" s="1308">
        <f>173.1579-Q134</f>
        <v>125.76637000000001</v>
      </c>
      <c r="R136" s="1308"/>
      <c r="S136" s="2262">
        <f>299.4431-S134</f>
        <v>172.82230707620198</v>
      </c>
      <c r="U136" s="1308">
        <v>238.47416000000001</v>
      </c>
      <c r="V136" s="1308"/>
      <c r="W136" s="2152">
        <f>Segment!M205-U136</f>
        <v>233.72984</v>
      </c>
      <c r="X136" s="1305"/>
      <c r="Y136" s="1308">
        <v>397.57684</v>
      </c>
      <c r="Z136" s="1305"/>
      <c r="AA136" s="2152">
        <f>Segment!N205-Y136</f>
        <v>421.49195369294597</v>
      </c>
      <c r="AB136" s="1305"/>
      <c r="AC136" s="1305"/>
      <c r="AD136" s="1305"/>
      <c r="AE136" s="1305"/>
    </row>
    <row r="137" spans="2:31" ht="14.25" hidden="1" customHeight="1" outlineLevel="2">
      <c r="B137" s="1448" t="s">
        <v>216</v>
      </c>
      <c r="Q137" s="1314"/>
      <c r="S137" s="2155"/>
      <c r="U137" s="1314">
        <f>U136/Q136-1</f>
        <v>0.89616795014438266</v>
      </c>
      <c r="W137" s="2155">
        <f>W136/S136-1</f>
        <v>0.35242865318851613</v>
      </c>
      <c r="X137" s="399"/>
      <c r="Y137" s="1314">
        <f>Y136/U136-1</f>
        <v>0.66716947446213881</v>
      </c>
      <c r="Z137" s="1314"/>
      <c r="AA137" s="1314">
        <f>AA136/W136-1</f>
        <v>0.80332966339662049</v>
      </c>
      <c r="AB137" s="1314"/>
      <c r="AC137" s="1314"/>
      <c r="AD137" s="1314"/>
      <c r="AE137" s="1314"/>
    </row>
    <row r="138" spans="2:31" ht="14.25" hidden="1" customHeight="1" outlineLevel="2">
      <c r="B138" s="1448"/>
      <c r="Q138" s="1314"/>
      <c r="S138" s="2155"/>
      <c r="U138" s="1314"/>
      <c r="Y138" s="1314"/>
    </row>
    <row r="139" spans="2:31" ht="14.25" hidden="1" customHeight="1" outlineLevel="2">
      <c r="B139" s="144" t="s">
        <v>1500</v>
      </c>
      <c r="M139" s="1308">
        <v>87.269739999999999</v>
      </c>
      <c r="N139" s="1308"/>
      <c r="O139" s="1308">
        <v>108.86126</v>
      </c>
      <c r="Q139" s="1308">
        <f>173.1579</f>
        <v>173.15790000000001</v>
      </c>
      <c r="S139" s="2156">
        <v>299.44309999999996</v>
      </c>
      <c r="U139" s="1455">
        <f>U136+U134</f>
        <v>447.97097000000002</v>
      </c>
      <c r="W139" s="2152">
        <f>Segment!M201-U139</f>
        <v>685.0970299999999</v>
      </c>
      <c r="X139" s="1305"/>
      <c r="Y139" s="1455">
        <f>Y136+Y134</f>
        <v>1083.27684</v>
      </c>
      <c r="Z139" s="1305"/>
      <c r="AA139" s="1455">
        <f>AA136+AA134</f>
        <v>1250.8432400000002</v>
      </c>
      <c r="AB139" s="1305"/>
      <c r="AC139" s="1305"/>
      <c r="AD139" s="1305"/>
      <c r="AE139" s="1305"/>
    </row>
    <row r="140" spans="2:31" ht="14.25" hidden="1" customHeight="1" outlineLevel="2">
      <c r="B140" s="1448"/>
      <c r="Q140" s="1314">
        <f>Q139/M139-1</f>
        <v>0.98416885394639664</v>
      </c>
      <c r="S140" s="2155">
        <f>S139/O139-1</f>
        <v>1.750685597429241</v>
      </c>
      <c r="U140" s="1314">
        <f>U139/Q139-1</f>
        <v>1.5870663134630298</v>
      </c>
      <c r="W140" s="2155">
        <f>W139/S139-1</f>
        <v>1.2879038789005324</v>
      </c>
      <c r="X140" s="399"/>
      <c r="Y140" s="1314">
        <f>Y139/U139-1</f>
        <v>1.418185356966323</v>
      </c>
      <c r="Z140" s="1314"/>
      <c r="AA140" s="1314">
        <f>AA139/W139-1</f>
        <v>0.82578990307402189</v>
      </c>
      <c r="AB140" s="1314"/>
      <c r="AC140" s="1314"/>
      <c r="AD140" s="1314"/>
      <c r="AE140" s="1314"/>
    </row>
    <row r="141" spans="2:31" ht="14.25" hidden="1" customHeight="1" outlineLevel="2"/>
    <row r="142" spans="2:31" ht="14.25" hidden="1" customHeight="1" outlineLevel="2">
      <c r="B142" s="1348" t="s">
        <v>1499</v>
      </c>
      <c r="C142" s="1349"/>
      <c r="D142" s="1350"/>
      <c r="E142" s="1350"/>
      <c r="F142" s="1350"/>
      <c r="G142" s="1350"/>
      <c r="H142" s="1673"/>
      <c r="I142" s="1350"/>
      <c r="J142" s="1350"/>
      <c r="K142" s="1350"/>
      <c r="L142" s="1673"/>
      <c r="M142" s="1350" t="s">
        <v>1210</v>
      </c>
      <c r="N142" s="1350"/>
      <c r="O142" s="1350" t="s">
        <v>1239</v>
      </c>
      <c r="P142" s="1673"/>
      <c r="Q142" s="1350" t="s">
        <v>1240</v>
      </c>
      <c r="R142" s="1350"/>
      <c r="S142" s="1351" t="s">
        <v>1241</v>
      </c>
      <c r="T142" s="1350"/>
      <c r="U142" s="1350" t="s">
        <v>1476</v>
      </c>
      <c r="V142" s="1350"/>
      <c r="W142" s="1351" t="s">
        <v>1745</v>
      </c>
      <c r="X142" s="1350"/>
      <c r="Y142" s="1350" t="str">
        <f>Y131</f>
        <v>1H25</v>
      </c>
      <c r="Z142" s="1350"/>
      <c r="AA142" s="1351" t="str">
        <f>AA131</f>
        <v>2H25E</v>
      </c>
      <c r="AB142" s="2130"/>
      <c r="AC142" s="2130"/>
      <c r="AD142" s="2130"/>
      <c r="AE142" s="2130"/>
    </row>
    <row r="143" spans="2:31" ht="14.25" hidden="1" customHeight="1" outlineLevel="2">
      <c r="B143" s="144" t="s">
        <v>1116</v>
      </c>
      <c r="C143" s="144"/>
      <c r="M143" s="1308"/>
      <c r="O143" s="1308"/>
      <c r="Q143" s="2176">
        <f>Q121/Q132</f>
        <v>4.254185757419787</v>
      </c>
      <c r="R143" s="2177"/>
      <c r="S143" s="2263">
        <f>S121/S132</f>
        <v>4.4169792531285239</v>
      </c>
      <c r="T143" s="1242"/>
      <c r="U143" s="2176">
        <f>U121/U132</f>
        <v>4.2733620689332872</v>
      </c>
      <c r="V143" s="1242"/>
      <c r="W143" s="2158">
        <f>W121/W132</f>
        <v>4.3592648251492951</v>
      </c>
      <c r="X143" s="2236"/>
      <c r="Y143" s="2176">
        <f>Y121/Y132</f>
        <v>4.2523824313782068</v>
      </c>
      <c r="Z143" s="1303"/>
      <c r="AA143" s="1303">
        <f>AA121/AA132</f>
        <v>4.2926051762090669</v>
      </c>
      <c r="AB143" s="1303"/>
      <c r="AC143" s="1303"/>
      <c r="AD143" s="1303"/>
      <c r="AE143" s="1303"/>
    </row>
    <row r="144" spans="2:31" ht="14.25" hidden="1" customHeight="1" outlineLevel="2">
      <c r="B144" s="1448" t="s">
        <v>216</v>
      </c>
      <c r="C144" s="144"/>
      <c r="M144" s="1303"/>
      <c r="O144" s="1303"/>
      <c r="Q144" s="2178"/>
      <c r="R144" s="2177"/>
      <c r="S144" s="2264"/>
      <c r="T144" s="1242"/>
      <c r="U144" s="1743">
        <f>U143/Q143-1</f>
        <v>4.5076338004410577E-3</v>
      </c>
      <c r="V144" s="1242"/>
      <c r="W144" s="2155">
        <f>W143/S143-1</f>
        <v>-1.3066492883875291E-2</v>
      </c>
      <c r="X144" s="399"/>
      <c r="Y144" s="1743">
        <f>Y143/U143-1</f>
        <v>-4.9093985523949168E-3</v>
      </c>
      <c r="Z144" s="1314"/>
      <c r="AA144" s="1314">
        <f>AA143/W143-1</f>
        <v>-1.5291488728938485E-2</v>
      </c>
      <c r="AB144" s="1314"/>
      <c r="AC144" s="1314"/>
      <c r="AD144" s="1314"/>
      <c r="AE144" s="1314"/>
    </row>
    <row r="145" spans="2:48" ht="14.25" hidden="1" customHeight="1" outlineLevel="2">
      <c r="B145" s="144" t="s">
        <v>1478</v>
      </c>
      <c r="Q145" s="2176">
        <f>Q123/Q134</f>
        <v>2.6345108503565928</v>
      </c>
      <c r="R145" s="2177"/>
      <c r="S145" s="2263">
        <f>S123/S134</f>
        <v>2.118045149136675</v>
      </c>
      <c r="T145" s="1242"/>
      <c r="U145" s="2176">
        <f>U123/U134</f>
        <v>2.2713367330032375</v>
      </c>
      <c r="V145" s="1242"/>
      <c r="W145" s="2158">
        <f>W123/W134</f>
        <v>2.2579759713815259</v>
      </c>
      <c r="X145" s="2236"/>
      <c r="Y145" s="2176">
        <f>Y123/Y134</f>
        <v>2.1769555827913076</v>
      </c>
      <c r="Z145" s="1303"/>
      <c r="AA145" s="1303">
        <f>AA123/AA134</f>
        <v>2.1839269799363596</v>
      </c>
      <c r="AB145" s="1303"/>
      <c r="AC145" s="1303"/>
      <c r="AD145" s="1303"/>
      <c r="AE145" s="1303"/>
    </row>
    <row r="146" spans="2:48" ht="14.25" hidden="1" customHeight="1" outlineLevel="2">
      <c r="B146" s="1448" t="s">
        <v>216</v>
      </c>
      <c r="Q146" s="2177"/>
      <c r="R146" s="2177"/>
      <c r="S146" s="2265"/>
      <c r="T146" s="1242"/>
      <c r="U146" s="1743">
        <f>U145/Q145-1</f>
        <v>-0.13785257984577981</v>
      </c>
      <c r="V146" s="1242"/>
      <c r="W146" s="2155">
        <f>W145/S145-1</f>
        <v>6.6066024278041313E-2</v>
      </c>
      <c r="X146" s="399"/>
      <c r="Y146" s="1743">
        <f>Y145/U145-1</f>
        <v>-4.1553129855446791E-2</v>
      </c>
      <c r="Z146" s="1314"/>
      <c r="AA146" s="1314">
        <f>AA145/W145-1</f>
        <v>-3.2794410739393265E-2</v>
      </c>
      <c r="AB146" s="1314"/>
      <c r="AC146" s="1314"/>
      <c r="AD146" s="1314"/>
      <c r="AE146" s="1314"/>
    </row>
    <row r="147" spans="2:48" ht="14.25" hidden="1" customHeight="1" outlineLevel="2">
      <c r="B147" s="144" t="s">
        <v>1337</v>
      </c>
      <c r="C147" s="144"/>
      <c r="M147" s="1308"/>
      <c r="N147" s="1308"/>
      <c r="O147" s="1308"/>
      <c r="P147" s="1674"/>
      <c r="Q147" s="2176">
        <f>Q125/Q136</f>
        <v>1.5515379826896489</v>
      </c>
      <c r="R147" s="2176"/>
      <c r="S147" s="2263">
        <f>S125/S136</f>
        <v>1.8880771652008723</v>
      </c>
      <c r="T147" s="1242"/>
      <c r="U147" s="2176">
        <f>U125/U136</f>
        <v>2.2130154478791324</v>
      </c>
      <c r="V147" s="1456"/>
      <c r="W147" s="2158">
        <f>W125/W136</f>
        <v>2.1196214578335399</v>
      </c>
      <c r="X147" s="2236"/>
      <c r="Y147" s="2176">
        <f>Y125/Y136</f>
        <v>2.206627080566363</v>
      </c>
      <c r="Z147" s="1303"/>
      <c r="AA147" s="1303">
        <f>AA125/AA136</f>
        <v>2.0179319223313894</v>
      </c>
      <c r="AB147" s="1303"/>
      <c r="AC147" s="1303"/>
      <c r="AD147" s="1303"/>
      <c r="AE147" s="1303"/>
    </row>
    <row r="148" spans="2:48" ht="14.25" hidden="1" customHeight="1" outlineLevel="2">
      <c r="B148" s="1448" t="s">
        <v>216</v>
      </c>
      <c r="Q148" s="2178"/>
      <c r="R148" s="2177"/>
      <c r="S148" s="2264"/>
      <c r="T148" s="1242"/>
      <c r="U148" s="1743">
        <f>U147/Q147-1</f>
        <v>0.4263366237691375</v>
      </c>
      <c r="V148" s="1242"/>
      <c r="W148" s="2155">
        <f>W147/S147-1</f>
        <v>0.1226349732416967</v>
      </c>
      <c r="X148" s="399"/>
      <c r="Y148" s="1743">
        <f>Y147/U147-1</f>
        <v>-2.8867251328461574E-3</v>
      </c>
      <c r="Z148" s="1314"/>
      <c r="AA148" s="1314">
        <f>AA147/W147-1</f>
        <v>-4.7975328390045258E-2</v>
      </c>
      <c r="AB148" s="1314"/>
      <c r="AC148" s="1314"/>
      <c r="AD148" s="1314"/>
      <c r="AE148" s="1314"/>
    </row>
    <row r="149" spans="2:48" ht="14.25" hidden="1" customHeight="1" outlineLevel="2">
      <c r="Q149" s="2177"/>
      <c r="R149" s="2177"/>
      <c r="S149" s="2265"/>
      <c r="T149" s="1242"/>
      <c r="U149" s="1994"/>
      <c r="V149" s="1242"/>
      <c r="Y149" s="1994"/>
      <c r="AA149" s="129"/>
    </row>
    <row r="150" spans="2:48" ht="14.25" hidden="1" customHeight="1" outlineLevel="2">
      <c r="B150" s="144" t="s">
        <v>1500</v>
      </c>
      <c r="Q150" s="2176">
        <f>Q128/Q139</f>
        <v>1.8479364787861252</v>
      </c>
      <c r="R150" s="2176"/>
      <c r="S150" s="2263">
        <f>S128/S139</f>
        <v>1.9853201087618986</v>
      </c>
      <c r="T150" s="1242"/>
      <c r="U150" s="2176">
        <f>U128/U139</f>
        <v>2.2402898116366781</v>
      </c>
      <c r="V150" s="1456"/>
      <c r="W150" s="2158">
        <f>W128/W139</f>
        <v>2.2107745139254216</v>
      </c>
      <c r="X150" s="2236"/>
      <c r="Y150" s="2176">
        <f>Y128/Y139</f>
        <v>2.1878454125078495</v>
      </c>
      <c r="Z150" s="1303"/>
      <c r="AA150" s="1303">
        <f>AA128/AA139</f>
        <v>2.1279922481523097</v>
      </c>
      <c r="AB150" s="1303"/>
      <c r="AC150" s="1303"/>
      <c r="AD150" s="1303"/>
      <c r="AE150" s="1303"/>
    </row>
    <row r="151" spans="2:48" ht="14.25" hidden="1" customHeight="1" outlineLevel="2">
      <c r="Q151" s="1994"/>
      <c r="R151" s="1994"/>
      <c r="S151" s="2247"/>
      <c r="U151" s="1743">
        <f>U150/Q150-1</f>
        <v>0.21231970760611985</v>
      </c>
      <c r="V151" s="1314"/>
      <c r="W151" s="2155">
        <f>W150/S150-1</f>
        <v>0.11356073218042551</v>
      </c>
      <c r="X151" s="399"/>
      <c r="Y151" s="1743">
        <f>Y150/U150-1</f>
        <v>-2.3409649437504898E-2</v>
      </c>
      <c r="Z151" s="1314"/>
      <c r="AA151" s="1314">
        <f>AA150/W150-1</f>
        <v>-3.7444915911448939E-2</v>
      </c>
      <c r="AB151" s="1314"/>
      <c r="AC151" s="1314"/>
      <c r="AD151" s="1314"/>
      <c r="AE151" s="1314"/>
    </row>
    <row r="152" spans="2:48" ht="14.25" hidden="1" customHeight="1" outlineLevel="4">
      <c r="B152" s="1348" t="s">
        <v>1789</v>
      </c>
      <c r="C152" s="1349"/>
      <c r="D152" s="1350"/>
      <c r="E152" s="1350"/>
      <c r="F152" s="1350"/>
      <c r="G152" s="1350"/>
      <c r="H152" s="1673"/>
      <c r="I152" s="1350" t="s">
        <v>1094</v>
      </c>
      <c r="J152" s="1350"/>
      <c r="K152" s="1350" t="s">
        <v>1211</v>
      </c>
      <c r="L152" s="1673"/>
      <c r="M152" s="1350" t="s">
        <v>1210</v>
      </c>
      <c r="N152" s="1350"/>
      <c r="O152" s="1350" t="s">
        <v>1239</v>
      </c>
      <c r="P152" s="1673"/>
      <c r="Q152" s="1350" t="s">
        <v>1240</v>
      </c>
      <c r="R152" s="1350"/>
      <c r="S152" s="1351" t="s">
        <v>1241</v>
      </c>
      <c r="T152" s="1350"/>
      <c r="U152" s="1350" t="s">
        <v>1476</v>
      </c>
      <c r="V152" s="1350"/>
      <c r="W152" s="1351" t="s">
        <v>1745</v>
      </c>
      <c r="X152" s="1350"/>
      <c r="Y152" s="1350" t="s">
        <v>1751</v>
      </c>
      <c r="Z152" s="1350"/>
      <c r="AA152" s="1351" t="str">
        <f>AA120</f>
        <v>2H25E</v>
      </c>
      <c r="AB152" s="1350"/>
      <c r="AC152" s="1350" t="s">
        <v>1782</v>
      </c>
      <c r="AD152" s="1350"/>
      <c r="AE152" s="1350" t="s">
        <v>1788</v>
      </c>
    </row>
    <row r="153" spans="2:48" ht="14.25" hidden="1" customHeight="1" outlineLevel="4">
      <c r="B153" s="1448" t="s">
        <v>1480</v>
      </c>
      <c r="I153" s="1305">
        <f>H101+I101</f>
        <v>1654.635</v>
      </c>
      <c r="K153" s="1305">
        <f>J101+K101</f>
        <v>1544.4340237399999</v>
      </c>
      <c r="M153" s="1305">
        <f>L101+M101</f>
        <v>1647.8796</v>
      </c>
      <c r="O153" s="1305">
        <f>N101+O101</f>
        <v>1706.1204</v>
      </c>
      <c r="Q153" s="1308"/>
      <c r="S153" s="2152"/>
      <c r="U153" s="1308">
        <f>3605512625.14/1000000</f>
        <v>3605.5126251399997</v>
      </c>
      <c r="V153" s="1308"/>
      <c r="W153" s="2152">
        <f>6884.42558565-Quarterly!U153</f>
        <v>3278.9129605100006</v>
      </c>
      <c r="X153" s="1305"/>
      <c r="Y153" s="1308">
        <f>4128992854.6/1000000</f>
        <v>4128.9928546000001</v>
      </c>
      <c r="Z153" s="1305"/>
      <c r="AA153" s="2152">
        <f>Segment!N80-Quarterly!Y153</f>
        <v>3701.3528065183109</v>
      </c>
      <c r="AB153" s="1305"/>
      <c r="AC153" s="1305"/>
      <c r="AD153" s="1305"/>
      <c r="AE153" s="2073"/>
    </row>
    <row r="154" spans="2:48" ht="14.25" hidden="1" customHeight="1" outlineLevel="4">
      <c r="B154" s="1448" t="s">
        <v>216</v>
      </c>
      <c r="M154" s="1314">
        <f>M153/I153-1</f>
        <v>-4.0827131059115729E-3</v>
      </c>
      <c r="O154" s="1314">
        <f>O153/K153-1</f>
        <v>0.10468972696448398</v>
      </c>
      <c r="Q154" s="1314"/>
      <c r="S154" s="2155"/>
      <c r="U154" s="1314"/>
      <c r="V154" s="1314"/>
      <c r="W154" s="2155"/>
      <c r="X154" s="399"/>
      <c r="Y154" s="1314">
        <f>Y153/U153-1</f>
        <v>0.14518884937746512</v>
      </c>
      <c r="Z154" s="1314"/>
      <c r="AA154" s="1314">
        <f>AA153/W153-1</f>
        <v>0.12883533387315182</v>
      </c>
      <c r="AB154" s="1314"/>
      <c r="AC154" s="1314"/>
      <c r="AD154" s="1314"/>
      <c r="AE154" s="399"/>
    </row>
    <row r="155" spans="2:48" ht="14.25" hidden="1" customHeight="1" outlineLevel="4">
      <c r="B155" s="1448" t="s">
        <v>1478</v>
      </c>
      <c r="Q155" s="1996"/>
      <c r="S155" s="2266"/>
      <c r="U155" s="1742">
        <f>U123-U123*U166</f>
        <v>335.07016580335414</v>
      </c>
      <c r="V155" s="1308"/>
      <c r="W155" s="2152">
        <f>1050.77015023-U155</f>
        <v>715.69998442664576</v>
      </c>
      <c r="X155" s="1305"/>
      <c r="Y155" s="1308">
        <f>1013672207.38/1000000</f>
        <v>1013.67220738</v>
      </c>
      <c r="Z155" s="1305"/>
      <c r="AA155" s="2152">
        <f>Segment!N231-Quarterly!Y155</f>
        <v>1226.4269737627501</v>
      </c>
      <c r="AB155" s="1305"/>
      <c r="AC155" s="1305"/>
      <c r="AD155" s="1305"/>
      <c r="AE155" s="1305"/>
      <c r="AI155" s="129" t="s">
        <v>1210</v>
      </c>
      <c r="AJ155" s="129" t="s">
        <v>1239</v>
      </c>
      <c r="AK155" s="129" t="s">
        <v>1240</v>
      </c>
      <c r="AL155" s="129" t="s">
        <v>1241</v>
      </c>
      <c r="AM155" s="129" t="s">
        <v>1476</v>
      </c>
      <c r="AN155" s="129" t="s">
        <v>1489</v>
      </c>
      <c r="AP155" s="129" t="s">
        <v>1278</v>
      </c>
      <c r="AQ155" s="129" t="s">
        <v>1549</v>
      </c>
      <c r="AS155" s="129" t="s">
        <v>1071</v>
      </c>
      <c r="AT155" s="129" t="s">
        <v>1096</v>
      </c>
      <c r="AU155" s="129" t="s">
        <v>1401</v>
      </c>
      <c r="AV155" s="129" t="s">
        <v>1551</v>
      </c>
    </row>
    <row r="156" spans="2:48" ht="14.25" hidden="1" customHeight="1" outlineLevel="4">
      <c r="B156" s="1448" t="s">
        <v>216</v>
      </c>
      <c r="U156" s="1314"/>
      <c r="V156" s="1314"/>
      <c r="W156" s="2155"/>
      <c r="X156" s="399"/>
      <c r="Y156" s="1314">
        <f>Y155/U155-1</f>
        <v>2.0252535463718475</v>
      </c>
      <c r="Z156" s="1314"/>
      <c r="AA156" s="1314">
        <f>AA155/W155-1</f>
        <v>0.71360486300031534</v>
      </c>
      <c r="AB156" s="1314"/>
      <c r="AC156" s="1314"/>
      <c r="AD156" s="1314"/>
      <c r="AE156" s="399"/>
      <c r="AI156" s="1304">
        <f>M153</f>
        <v>1647.8796</v>
      </c>
      <c r="AJ156" s="1304">
        <f>O153</f>
        <v>1706.1204</v>
      </c>
      <c r="AK156" s="1304">
        <f>Q153</f>
        <v>0</v>
      </c>
      <c r="AL156" s="1304">
        <f>S153</f>
        <v>0</v>
      </c>
      <c r="AM156" s="1304">
        <f>U153</f>
        <v>3605.5126251399997</v>
      </c>
      <c r="AN156" s="1304">
        <f>W153</f>
        <v>3278.9129605100006</v>
      </c>
      <c r="AP156" s="1305">
        <f>R101</f>
        <v>1060.0693000000001</v>
      </c>
      <c r="AQ156" s="1305">
        <f>V101</f>
        <v>1311.9308000000001</v>
      </c>
      <c r="AS156" s="1304">
        <f>Segment!N22</f>
        <v>0.38812831512136881</v>
      </c>
      <c r="AT156" s="1304">
        <f>Segment!O22</f>
        <v>0.38812831512136903</v>
      </c>
      <c r="AU156" s="1304">
        <f>Segment!P22</f>
        <v>0.38812831512136881</v>
      </c>
      <c r="AV156" s="1304" t="e">
        <f>Segment!#REF!</f>
        <v>#REF!</v>
      </c>
    </row>
    <row r="157" spans="2:48" ht="14.25" hidden="1" customHeight="1" outlineLevel="4">
      <c r="B157" s="1448" t="s">
        <v>1337</v>
      </c>
      <c r="M157" s="1691">
        <f>Segment!Z188</f>
        <v>0</v>
      </c>
      <c r="O157" s="1691">
        <f>Segment!AA188</f>
        <v>0</v>
      </c>
      <c r="Q157" s="1996"/>
      <c r="S157" s="2266"/>
      <c r="U157" s="1742">
        <f>U160-U155</f>
        <v>412.4543452966459</v>
      </c>
      <c r="V157" s="1308"/>
      <c r="W157" s="2152">
        <f>795.34508149-U157</f>
        <v>382.89073619335409</v>
      </c>
      <c r="X157" s="1305"/>
      <c r="Y157" s="1308">
        <f>742016416.54/1000000</f>
        <v>742.01641653999991</v>
      </c>
      <c r="Z157" s="1305"/>
      <c r="AA157" s="2152">
        <f>Segment!N237-Quarterly!Y157</f>
        <v>744.82183211358688</v>
      </c>
      <c r="AB157" s="1305"/>
      <c r="AC157" s="1305"/>
      <c r="AD157" s="1305"/>
      <c r="AE157" s="1305"/>
      <c r="AI157" s="1304"/>
      <c r="AJ157" s="1304"/>
      <c r="AK157" s="1304">
        <f>Q155</f>
        <v>0</v>
      </c>
      <c r="AL157" s="1304">
        <f>S155</f>
        <v>0</v>
      </c>
      <c r="AM157" s="1304">
        <f>U155</f>
        <v>335.07016580335414</v>
      </c>
      <c r="AN157" s="1304">
        <f>W155</f>
        <v>715.69998442664576</v>
      </c>
      <c r="AP157" s="1305">
        <f>R188</f>
        <v>4.2702338543174116E-2</v>
      </c>
      <c r="AQ157" s="1305">
        <f>V188</f>
        <v>5.9685523797977889E-2</v>
      </c>
      <c r="AS157" s="1304">
        <f>Segment!N199</f>
        <v>-0.93183753109783518</v>
      </c>
      <c r="AT157" s="1304">
        <f>Segment!O199</f>
        <v>-12.816587585133547</v>
      </c>
      <c r="AU157" s="1304">
        <f>Segment!P199</f>
        <v>0.36422864966937274</v>
      </c>
      <c r="AV157" s="1304" t="e">
        <f>Segment!#REF!</f>
        <v>#REF!</v>
      </c>
    </row>
    <row r="158" spans="2:48" ht="14.25" hidden="1" customHeight="1" outlineLevel="4">
      <c r="B158" s="1448" t="s">
        <v>216</v>
      </c>
      <c r="U158" s="1314"/>
      <c r="V158" s="1314"/>
      <c r="W158" s="2155"/>
      <c r="X158" s="399"/>
      <c r="Y158" s="1314">
        <f>Y157/U157-1</f>
        <v>0.79902678927124882</v>
      </c>
      <c r="Z158" s="1314"/>
      <c r="AA158" s="1314">
        <f>AA157/W157-1</f>
        <v>0.94525947406955035</v>
      </c>
      <c r="AB158" s="1314"/>
      <c r="AC158" s="1314"/>
      <c r="AD158" s="1314"/>
      <c r="AE158" s="399"/>
      <c r="AI158" s="1304">
        <f>M157</f>
        <v>0</v>
      </c>
      <c r="AJ158" s="1304">
        <f>O157</f>
        <v>0</v>
      </c>
      <c r="AK158" s="1304">
        <f>Q157</f>
        <v>0</v>
      </c>
      <c r="AL158" s="1304">
        <f>S157</f>
        <v>0</v>
      </c>
      <c r="AM158" s="1304">
        <f>U157</f>
        <v>412.4543452966459</v>
      </c>
      <c r="AN158" s="1304">
        <f>W157</f>
        <v>382.89073619335409</v>
      </c>
      <c r="AP158" s="1305">
        <f>R190</f>
        <v>0</v>
      </c>
      <c r="AQ158" s="1305">
        <f>V190</f>
        <v>0</v>
      </c>
      <c r="AS158" s="1304">
        <f>Segment!N23-Quarterly!AS157</f>
        <v>11565.330898945216</v>
      </c>
      <c r="AT158" s="1304">
        <f>Segment!O23-Quarterly!AT157</f>
        <v>13760.115362010658</v>
      </c>
      <c r="AU158" s="1304">
        <f>Segment!P23-Quarterly!AU157</f>
        <v>16022.366526850466</v>
      </c>
      <c r="AV158" s="1304" t="e">
        <f>Segment!#REF!-Quarterly!AV157</f>
        <v>#REF!</v>
      </c>
    </row>
    <row r="159" spans="2:48" ht="14.25" hidden="1" customHeight="1" outlineLevel="4">
      <c r="B159" s="1448"/>
      <c r="U159" s="1314"/>
      <c r="V159" s="1314"/>
      <c r="Y159" s="1314"/>
      <c r="AP159" s="1305">
        <f>SUM(AP156:AP158)</f>
        <v>1060.1120023385433</v>
      </c>
      <c r="AQ159" s="1305">
        <f>SUM(AQ156:AQ158)</f>
        <v>1311.990485523798</v>
      </c>
    </row>
    <row r="160" spans="2:48" ht="14.25" hidden="1" customHeight="1" outlineLevel="4">
      <c r="B160" s="1448" t="s">
        <v>1500</v>
      </c>
      <c r="Q160" s="1305"/>
      <c r="S160" s="2152"/>
      <c r="U160" s="1308">
        <f>747524511.1/1000000</f>
        <v>747.52451110000004</v>
      </c>
      <c r="V160" s="1305"/>
      <c r="W160" s="2152">
        <f>1050.77015023+795.34508149-U160</f>
        <v>1098.59072062</v>
      </c>
      <c r="X160" s="1305"/>
      <c r="Y160" s="1305">
        <f>Y157+Y155</f>
        <v>1755.6886239199998</v>
      </c>
      <c r="Z160" s="1305"/>
      <c r="AA160" s="1305">
        <f>AA157+AA155</f>
        <v>1971.248805876337</v>
      </c>
      <c r="AB160" s="1305"/>
      <c r="AC160" s="1305"/>
      <c r="AD160" s="1305"/>
      <c r="AE160" s="1305"/>
    </row>
    <row r="161" spans="2:48" ht="14.25" hidden="1" customHeight="1" outlineLevel="4">
      <c r="B161" s="1448"/>
      <c r="U161" s="1314"/>
      <c r="V161" s="1314"/>
      <c r="W161" s="2155"/>
      <c r="X161" s="399"/>
      <c r="Y161" s="1314">
        <f>Y160/U160-1</f>
        <v>1.3486703082638218</v>
      </c>
      <c r="Z161" s="1314"/>
      <c r="AA161" s="1314">
        <f>AA160/W160-1</f>
        <v>0.79434321524565976</v>
      </c>
      <c r="AB161" s="1314"/>
      <c r="AC161" s="1314"/>
      <c r="AD161" s="1314"/>
      <c r="AE161" s="399"/>
    </row>
    <row r="162" spans="2:48" ht="14.25" hidden="1" customHeight="1" outlineLevel="4"/>
    <row r="163" spans="2:48" ht="14.25" hidden="1" customHeight="1" outlineLevel="2" collapsed="1">
      <c r="B163" s="1348" t="s">
        <v>1790</v>
      </c>
      <c r="C163" s="1349"/>
      <c r="D163" s="1350"/>
      <c r="E163" s="1350"/>
      <c r="F163" s="1350"/>
      <c r="G163" s="1350"/>
      <c r="H163" s="1673"/>
      <c r="I163" s="1350" t="s">
        <v>1094</v>
      </c>
      <c r="J163" s="1350"/>
      <c r="K163" s="1350" t="s">
        <v>1211</v>
      </c>
      <c r="L163" s="1673"/>
      <c r="M163" s="1350" t="s">
        <v>1210</v>
      </c>
      <c r="N163" s="1350"/>
      <c r="O163" s="1350" t="s">
        <v>1239</v>
      </c>
      <c r="P163" s="1673"/>
      <c r="Q163" s="1350" t="s">
        <v>1240</v>
      </c>
      <c r="R163" s="1350"/>
      <c r="S163" s="1351" t="s">
        <v>1241</v>
      </c>
      <c r="T163" s="1350"/>
      <c r="U163" s="1350" t="s">
        <v>1476</v>
      </c>
      <c r="V163" s="1350"/>
      <c r="W163" s="1351" t="s">
        <v>1745</v>
      </c>
      <c r="X163" s="1350"/>
      <c r="Y163" s="1350" t="s">
        <v>1751</v>
      </c>
      <c r="Z163" s="1350"/>
      <c r="AA163" s="1351" t="str">
        <f>AA120</f>
        <v>2H25E</v>
      </c>
      <c r="AB163" s="1350"/>
      <c r="AC163" s="1350" t="s">
        <v>1782</v>
      </c>
      <c r="AD163" s="1350"/>
      <c r="AE163" s="1350" t="s">
        <v>1788</v>
      </c>
    </row>
    <row r="164" spans="2:48" ht="14.25" hidden="1" customHeight="1" outlineLevel="2">
      <c r="B164" s="1448" t="s">
        <v>1480</v>
      </c>
      <c r="I164" s="1305">
        <f>H112+I112</f>
        <v>0</v>
      </c>
      <c r="K164" s="1305">
        <f>J112+K112</f>
        <v>0</v>
      </c>
      <c r="M164" s="1305">
        <f>L112+M112</f>
        <v>0</v>
      </c>
      <c r="O164" s="1305">
        <f>N112+O112</f>
        <v>0</v>
      </c>
      <c r="Q164" s="1308"/>
      <c r="S164" s="2152"/>
      <c r="U164" s="2231">
        <f>1-U153/U121</f>
        <v>0.47426611639705973</v>
      </c>
      <c r="V164" s="2232"/>
      <c r="W164" s="2250">
        <f>1-W153/W121</f>
        <v>0.49128868613797838</v>
      </c>
      <c r="X164" s="1305"/>
      <c r="Y164" s="2231">
        <f>1-Y153/Y121</f>
        <v>0.50613152035328013</v>
      </c>
      <c r="Z164" s="1592"/>
      <c r="AA164" s="2231">
        <f>1-AA153/AA121</f>
        <v>0.5114275592778208</v>
      </c>
      <c r="AB164" s="1305"/>
      <c r="AC164" s="1305"/>
      <c r="AD164" s="1305"/>
      <c r="AE164" s="2073"/>
    </row>
    <row r="165" spans="2:48" ht="14.25" hidden="1" customHeight="1" outlineLevel="2">
      <c r="B165" s="1448" t="s">
        <v>216</v>
      </c>
      <c r="M165" s="1314" t="e">
        <f>M164/I164-1</f>
        <v>#DIV/0!</v>
      </c>
      <c r="O165" s="1314" t="e">
        <f>O164/K164-1</f>
        <v>#DIV/0!</v>
      </c>
      <c r="Q165" s="1314"/>
      <c r="S165" s="2155"/>
      <c r="U165" s="1319"/>
      <c r="V165" s="1319"/>
      <c r="W165" s="2153"/>
      <c r="X165" s="399"/>
      <c r="Y165" s="1975">
        <f>(Y164-U164)*100</f>
        <v>3.1865403956220395</v>
      </c>
      <c r="Z165" s="1314"/>
      <c r="AA165" s="1975">
        <f>(AA164-W164)*100</f>
        <v>2.0138873139842417</v>
      </c>
      <c r="AB165" s="1314"/>
      <c r="AC165" s="1314"/>
      <c r="AD165" s="1314"/>
      <c r="AE165" s="399"/>
    </row>
    <row r="166" spans="2:48" ht="14.25" hidden="1" customHeight="1" outlineLevel="2">
      <c r="B166" s="1448" t="s">
        <v>1478</v>
      </c>
      <c r="Q166" s="1996"/>
      <c r="S166" s="2266"/>
      <c r="U166" s="2231">
        <f>Y166-Y167/100</f>
        <v>0.29583113026465291</v>
      </c>
      <c r="V166" s="2232"/>
      <c r="W166" s="2250">
        <f>1-W155/W123</f>
        <v>0.2977662392735736</v>
      </c>
      <c r="X166" s="1305"/>
      <c r="Y166" s="2231">
        <f>1-Y155/Y123</f>
        <v>0.32093113026465292</v>
      </c>
      <c r="Z166" s="1592"/>
      <c r="AA166" s="2231">
        <f>1-AA155/AA123</f>
        <v>0.32288091065249069</v>
      </c>
      <c r="AB166" s="1305"/>
      <c r="AC166" s="1305"/>
      <c r="AD166" s="1305"/>
      <c r="AE166" s="1305"/>
      <c r="AI166" s="129" t="s">
        <v>1210</v>
      </c>
      <c r="AJ166" s="129" t="s">
        <v>1239</v>
      </c>
      <c r="AK166" s="129" t="s">
        <v>1240</v>
      </c>
      <c r="AL166" s="129" t="s">
        <v>1241</v>
      </c>
      <c r="AM166" s="129" t="s">
        <v>1476</v>
      </c>
      <c r="AN166" s="129" t="s">
        <v>1489</v>
      </c>
      <c r="AP166" s="129" t="s">
        <v>1278</v>
      </c>
      <c r="AQ166" s="129" t="s">
        <v>1549</v>
      </c>
      <c r="AS166" s="129" t="s">
        <v>1071</v>
      </c>
      <c r="AT166" s="129" t="s">
        <v>1096</v>
      </c>
      <c r="AU166" s="129" t="s">
        <v>1401</v>
      </c>
      <c r="AV166" s="129" t="s">
        <v>1551</v>
      </c>
    </row>
    <row r="167" spans="2:48" ht="14.25" hidden="1" customHeight="1" outlineLevel="2">
      <c r="B167" s="1448" t="s">
        <v>216</v>
      </c>
      <c r="U167" s="1319"/>
      <c r="V167" s="1319"/>
      <c r="W167" s="2153"/>
      <c r="X167" s="399"/>
      <c r="Y167" s="2173">
        <v>2.5099999999999998</v>
      </c>
      <c r="Z167" s="1314"/>
      <c r="AA167" s="1975">
        <f>(AA166-W166)*100</f>
        <v>2.5114671378917097</v>
      </c>
      <c r="AB167" s="1314"/>
      <c r="AC167" s="1314"/>
      <c r="AD167" s="1314"/>
      <c r="AE167" s="399"/>
      <c r="AI167" s="1304">
        <f>M164</f>
        <v>0</v>
      </c>
      <c r="AJ167" s="1304">
        <f>O164</f>
        <v>0</v>
      </c>
      <c r="AK167" s="1304">
        <f>Q164</f>
        <v>0</v>
      </c>
      <c r="AL167" s="1304">
        <f>S164</f>
        <v>0</v>
      </c>
      <c r="AM167" s="1304">
        <f>U164</f>
        <v>0.47426611639705973</v>
      </c>
      <c r="AN167" s="1304">
        <f>W164</f>
        <v>0.49128868613797838</v>
      </c>
      <c r="AP167" s="1305">
        <f>R112</f>
        <v>0.80334591611479012</v>
      </c>
      <c r="AQ167" s="1305">
        <f>V112</f>
        <v>1.1781679487179486</v>
      </c>
      <c r="AS167" s="1304">
        <f>Segment!N33</f>
        <v>16.603931165433931</v>
      </c>
      <c r="AT167" s="1304">
        <f>Segment!O33</f>
        <v>23.048386993064991</v>
      </c>
      <c r="AU167" s="1304">
        <f>Segment!P33</f>
        <v>31.994118602948578</v>
      </c>
      <c r="AV167" s="1304" t="e">
        <f>Segment!#REF!</f>
        <v>#REF!</v>
      </c>
    </row>
    <row r="168" spans="2:48" ht="14.25" hidden="1" customHeight="1" outlineLevel="2">
      <c r="B168" s="1448" t="s">
        <v>1337</v>
      </c>
      <c r="M168" s="1691">
        <f>Segment!Z199</f>
        <v>0</v>
      </c>
      <c r="O168" s="1691">
        <f>Segment!AA199</f>
        <v>0</v>
      </c>
      <c r="Q168" s="1996"/>
      <c r="S168" s="2266"/>
      <c r="U168" s="2231">
        <f>1-U157/U125</f>
        <v>0.21846198027341523</v>
      </c>
      <c r="V168" s="2232"/>
      <c r="W168" s="2250">
        <f>1-W157/W125</f>
        <v>0.22713722530395308</v>
      </c>
      <c r="X168" s="1305"/>
      <c r="Y168" s="2231">
        <f>1-Y157/Y125</f>
        <v>0.15420815669095778</v>
      </c>
      <c r="Z168" s="1592"/>
      <c r="AA168" s="2231">
        <f>1-AA157/AA125</f>
        <v>0.12429748060872525</v>
      </c>
      <c r="AB168" s="1305"/>
      <c r="AC168" s="1305"/>
      <c r="AD168" s="1305"/>
      <c r="AE168" s="1305"/>
      <c r="AI168" s="1304"/>
      <c r="AJ168" s="1304"/>
      <c r="AK168" s="1304">
        <f>Q166</f>
        <v>0</v>
      </c>
      <c r="AL168" s="1304">
        <f>S166</f>
        <v>0</v>
      </c>
      <c r="AM168" s="1304">
        <f>U166</f>
        <v>0.29583113026465291</v>
      </c>
      <c r="AN168" s="1304">
        <f>W166</f>
        <v>0.2977662392735736</v>
      </c>
      <c r="AP168" s="1305">
        <f>R210</f>
        <v>446</v>
      </c>
      <c r="AQ168" s="1305">
        <f>V210</f>
        <v>446</v>
      </c>
      <c r="AS168" s="1304">
        <f>Segment!N210</f>
        <v>0</v>
      </c>
      <c r="AT168" s="1304">
        <f>Segment!O210</f>
        <v>0</v>
      </c>
      <c r="AU168" s="1304">
        <f>Segment!P210</f>
        <v>0</v>
      </c>
      <c r="AV168" s="1304" t="e">
        <f>Segment!#REF!</f>
        <v>#REF!</v>
      </c>
    </row>
    <row r="169" spans="2:48" ht="14.25" hidden="1" customHeight="1" outlineLevel="2">
      <c r="B169" s="1448" t="s">
        <v>216</v>
      </c>
      <c r="U169" s="1314"/>
      <c r="V169" s="1314"/>
      <c r="W169" s="2155"/>
      <c r="X169" s="399"/>
      <c r="Y169" s="1975">
        <f>(Y168-U168)*100</f>
        <v>-6.4253823582457459</v>
      </c>
      <c r="Z169" s="1314"/>
      <c r="AA169" s="1975">
        <f>(AA168-W168)*100</f>
        <v>-10.283974469522782</v>
      </c>
      <c r="AB169" s="1314"/>
      <c r="AC169" s="1314"/>
      <c r="AD169" s="1314"/>
      <c r="AE169" s="399"/>
      <c r="AI169" s="1304">
        <f>M168</f>
        <v>0</v>
      </c>
      <c r="AJ169" s="1304">
        <f>O168</f>
        <v>0</v>
      </c>
      <c r="AK169" s="1304">
        <f>Q168</f>
        <v>0</v>
      </c>
      <c r="AL169" s="1304">
        <f>S168</f>
        <v>0</v>
      </c>
      <c r="AM169" s="1304">
        <f>U168</f>
        <v>0.21846198027341523</v>
      </c>
      <c r="AN169" s="1304">
        <f>W168</f>
        <v>0.22713722530395308</v>
      </c>
      <c r="AP169" s="1305">
        <f>R212</f>
        <v>0</v>
      </c>
      <c r="AQ169" s="1305">
        <f>V212</f>
        <v>0</v>
      </c>
      <c r="AS169" s="1304">
        <f>Segment!N34-Quarterly!AS168</f>
        <v>0</v>
      </c>
      <c r="AT169" s="1304">
        <f>Segment!O34-Quarterly!AT168</f>
        <v>0</v>
      </c>
      <c r="AU169" s="1304">
        <f>Segment!P34-Quarterly!AU168</f>
        <v>0</v>
      </c>
      <c r="AV169" s="1304" t="e">
        <f>Segment!#REF!-Quarterly!AV168</f>
        <v>#REF!</v>
      </c>
    </row>
    <row r="170" spans="2:48" ht="14.25" hidden="1" customHeight="1" outlineLevel="2">
      <c r="B170" s="1448"/>
      <c r="U170" s="1314"/>
      <c r="V170" s="1314"/>
      <c r="Y170" s="1314"/>
      <c r="AP170" s="1305">
        <f>SUM(AP167:AP169)</f>
        <v>446.80334591611478</v>
      </c>
      <c r="AQ170" s="1305">
        <f>SUM(AQ167:AQ169)</f>
        <v>447.17816794871794</v>
      </c>
    </row>
    <row r="171" spans="2:48" ht="14.25" hidden="1" customHeight="1" outlineLevel="2">
      <c r="B171" s="1448" t="s">
        <v>1500</v>
      </c>
      <c r="Q171" s="1305"/>
      <c r="S171" s="2152"/>
      <c r="U171" s="2172">
        <f>1-U160/U128</f>
        <v>0.25514564279969165</v>
      </c>
      <c r="V171" s="1305"/>
      <c r="W171" s="2251">
        <f>1-W160/W128</f>
        <v>0.27466373398712973</v>
      </c>
      <c r="X171" s="1305"/>
      <c r="Y171" s="2172">
        <f>1-Y160/Y128</f>
        <v>0.25921632287165053</v>
      </c>
      <c r="Z171" s="1305"/>
      <c r="AA171" s="2172">
        <f>1-AA160/AA128</f>
        <v>0.25942590613386707</v>
      </c>
      <c r="AB171" s="1305"/>
      <c r="AC171" s="1305"/>
      <c r="AD171" s="1305"/>
      <c r="AE171" s="1305"/>
    </row>
    <row r="172" spans="2:48" ht="14.25" hidden="1" customHeight="1" outlineLevel="2">
      <c r="B172" s="1448"/>
      <c r="U172" s="1314"/>
      <c r="V172" s="1314"/>
      <c r="W172" s="2155"/>
      <c r="X172" s="399"/>
      <c r="Y172" s="1975">
        <f>(Y171-U171)*100</f>
        <v>0.40706800719588765</v>
      </c>
      <c r="Z172" s="1314"/>
      <c r="AA172" s="1975">
        <f>(AA171-W171)*100</f>
        <v>-1.5237827853262664</v>
      </c>
      <c r="AB172" s="1314"/>
      <c r="AC172" s="1314"/>
      <c r="AD172" s="1314"/>
      <c r="AE172" s="399"/>
    </row>
    <row r="173" spans="2:48" ht="14.25" customHeight="1" collapsed="1">
      <c r="B173" s="1348" t="s">
        <v>1550</v>
      </c>
      <c r="C173" s="1349"/>
      <c r="D173" s="1350"/>
      <c r="E173" s="1350"/>
      <c r="F173" s="1350"/>
      <c r="G173" s="1350"/>
      <c r="H173" s="1673" t="str">
        <f t="shared" ref="H173:AE173" si="95">H42</f>
        <v>1Q21</v>
      </c>
      <c r="I173" s="1350" t="str">
        <f t="shared" si="95"/>
        <v>2Q21</v>
      </c>
      <c r="J173" s="1350" t="str">
        <f t="shared" si="95"/>
        <v>3Q21</v>
      </c>
      <c r="K173" s="1350" t="str">
        <f t="shared" si="95"/>
        <v>4Q21</v>
      </c>
      <c r="L173" s="1673" t="str">
        <f t="shared" si="95"/>
        <v>1Q22</v>
      </c>
      <c r="M173" s="1350" t="str">
        <f t="shared" si="95"/>
        <v>2Q22</v>
      </c>
      <c r="N173" s="1350" t="str">
        <f t="shared" si="95"/>
        <v>3Q22</v>
      </c>
      <c r="O173" s="1350" t="str">
        <f t="shared" si="95"/>
        <v>4Q22</v>
      </c>
      <c r="P173" s="1673" t="str">
        <f t="shared" si="95"/>
        <v>1Q23</v>
      </c>
      <c r="Q173" s="1350" t="str">
        <f t="shared" si="95"/>
        <v>2Q23</v>
      </c>
      <c r="R173" s="1350" t="str">
        <f t="shared" si="95"/>
        <v>3Q23</v>
      </c>
      <c r="S173" s="1351" t="str">
        <f t="shared" si="95"/>
        <v>4Q23</v>
      </c>
      <c r="T173" s="1350" t="str">
        <f t="shared" si="95"/>
        <v>1Q24</v>
      </c>
      <c r="U173" s="1350" t="str">
        <f t="shared" si="95"/>
        <v>2Q24</v>
      </c>
      <c r="V173" s="1350" t="str">
        <f t="shared" si="95"/>
        <v>3Q24</v>
      </c>
      <c r="W173" s="1351" t="str">
        <f t="shared" si="95"/>
        <v>4Q24</v>
      </c>
      <c r="X173" s="1350" t="str">
        <f t="shared" si="95"/>
        <v>1Q25</v>
      </c>
      <c r="Y173" s="1350" t="str">
        <f t="shared" si="95"/>
        <v>2Q25</v>
      </c>
      <c r="Z173" s="1350" t="str">
        <f t="shared" si="95"/>
        <v>3Q25</v>
      </c>
      <c r="AA173" s="1351" t="str">
        <f t="shared" si="95"/>
        <v>4Q25E</v>
      </c>
      <c r="AB173" s="1350" t="str">
        <f t="shared" si="95"/>
        <v>1Q26E</v>
      </c>
      <c r="AC173" s="1350" t="str">
        <f t="shared" si="95"/>
        <v>2Q26E</v>
      </c>
      <c r="AD173" s="1350" t="str">
        <f t="shared" si="95"/>
        <v>3Q26E</v>
      </c>
      <c r="AE173" s="1350" t="str">
        <f t="shared" si="95"/>
        <v>4Q26E</v>
      </c>
    </row>
    <row r="174" spans="2:48" ht="14.25" customHeight="1">
      <c r="B174" s="144" t="s">
        <v>1480</v>
      </c>
      <c r="D174" s="1305">
        <f t="shared" ref="D174:S174" si="96">D90</f>
        <v>0</v>
      </c>
      <c r="E174" s="1305">
        <f t="shared" si="96"/>
        <v>0</v>
      </c>
      <c r="F174" s="1305">
        <f t="shared" si="96"/>
        <v>1493.9187999999999</v>
      </c>
      <c r="G174" s="1305">
        <f t="shared" si="96"/>
        <v>888.9077000000002</v>
      </c>
      <c r="H174" s="1677">
        <f t="shared" si="96"/>
        <v>1645.0963999999999</v>
      </c>
      <c r="I174" s="1305">
        <f t="shared" si="96"/>
        <v>1902.1291999999999</v>
      </c>
      <c r="J174" s="1305">
        <f t="shared" si="96"/>
        <v>1791.1180000000004</v>
      </c>
      <c r="K174" s="1305">
        <f t="shared" si="96"/>
        <v>1253.5542791799999</v>
      </c>
      <c r="L174" s="1677">
        <f t="shared" si="96"/>
        <v>1906.5174999999999</v>
      </c>
      <c r="M174" s="1305">
        <f t="shared" si="96"/>
        <v>2211.8160217599998</v>
      </c>
      <c r="N174" s="1305">
        <f t="shared" si="96"/>
        <v>2273.5560782400007</v>
      </c>
      <c r="O174" s="1305">
        <f t="shared" si="96"/>
        <v>1780.4172279999993</v>
      </c>
      <c r="P174" s="1677">
        <f t="shared" si="96"/>
        <v>2383.1745999999998</v>
      </c>
      <c r="Q174" s="1305">
        <f t="shared" si="96"/>
        <v>2751.8139000000006</v>
      </c>
      <c r="R174" s="1305">
        <f t="shared" si="96"/>
        <v>2858.9588999999996</v>
      </c>
      <c r="S174" s="2152">
        <f t="shared" si="96"/>
        <v>2342.0616</v>
      </c>
      <c r="T174" s="1790">
        <f>310280.78/10^2</f>
        <v>3102.8078000000005</v>
      </c>
      <c r="U174" s="1305">
        <f t="shared" ref="U174:AE174" si="97">U90</f>
        <v>3755.2485999999999</v>
      </c>
      <c r="V174" s="1790">
        <f>V90</f>
        <v>3667.4569999999994</v>
      </c>
      <c r="W174" s="2152">
        <f t="shared" si="97"/>
        <v>2778.0708881400005</v>
      </c>
      <c r="X174" s="1790">
        <f t="shared" si="97"/>
        <v>3900.5288999999998</v>
      </c>
      <c r="Y174" s="1305">
        <f t="shared" si="97"/>
        <v>4459.9820958700002</v>
      </c>
      <c r="Z174" s="1790">
        <f>Z90</f>
        <v>4202.6446041300005</v>
      </c>
      <c r="AA174" s="2152">
        <f t="shared" si="97"/>
        <v>3373.2080187629072</v>
      </c>
      <c r="AB174" s="1305">
        <f t="shared" si="97"/>
        <v>4719.6399689999998</v>
      </c>
      <c r="AC174" s="1305">
        <f t="shared" si="97"/>
        <v>5351.9785150440002</v>
      </c>
      <c r="AD174" s="1305">
        <f t="shared" si="97"/>
        <v>5001.1470789147006</v>
      </c>
      <c r="AE174" s="1305">
        <f t="shared" si="97"/>
        <v>3572.7798709938997</v>
      </c>
    </row>
    <row r="175" spans="2:48" ht="14.25" customHeight="1">
      <c r="B175" s="1447" t="s">
        <v>216</v>
      </c>
      <c r="L175" s="1675">
        <f t="shared" ref="L175:Z175" si="98">L174/H174-1</f>
        <v>0.1589092894495423</v>
      </c>
      <c r="M175" s="1314">
        <f t="shared" si="98"/>
        <v>0.16281061336948088</v>
      </c>
      <c r="N175" s="1314">
        <f t="shared" si="98"/>
        <v>0.26935024841467747</v>
      </c>
      <c r="O175" s="1314">
        <f t="shared" si="98"/>
        <v>0.42029528164080898</v>
      </c>
      <c r="P175" s="1675">
        <f t="shared" si="98"/>
        <v>0.25001454222161601</v>
      </c>
      <c r="Q175" s="1314">
        <f t="shared" si="98"/>
        <v>0.24414231243804374</v>
      </c>
      <c r="R175" s="1314">
        <f t="shared" si="98"/>
        <v>0.25748334398383066</v>
      </c>
      <c r="S175" s="2155">
        <f t="shared" si="98"/>
        <v>0.3154566037483888</v>
      </c>
      <c r="T175" s="399">
        <f t="shared" si="98"/>
        <v>0.30196411123213585</v>
      </c>
      <c r="U175" s="1314">
        <f t="shared" si="98"/>
        <v>0.36464482572749524</v>
      </c>
      <c r="V175" s="1314">
        <f t="shared" si="98"/>
        <v>0.28279458651888967</v>
      </c>
      <c r="W175" s="2155">
        <f>W174/S174-1</f>
        <v>0.18616473970624869</v>
      </c>
      <c r="X175" s="399">
        <f t="shared" si="98"/>
        <v>0.25709652399352589</v>
      </c>
      <c r="Y175" s="1314">
        <f>Y174/U174-1</f>
        <v>0.18766626951675058</v>
      </c>
      <c r="Z175" s="1314">
        <f t="shared" si="98"/>
        <v>0.14592880138199327</v>
      </c>
      <c r="AA175" s="2155">
        <f>AA174/W174-1</f>
        <v>0.21422676187408896</v>
      </c>
      <c r="AB175" s="1675">
        <f t="shared" ref="AB175" si="99">AB174/X174-1</f>
        <v>0.20999999999999996</v>
      </c>
      <c r="AC175" s="399">
        <f>AC174/Y174-1</f>
        <v>0.19999999999999996</v>
      </c>
      <c r="AD175" s="399">
        <f>AD174/Z174-1</f>
        <v>0.18999999999999995</v>
      </c>
      <c r="AE175" s="399">
        <f>AE174/AA174-1</f>
        <v>5.9163814126169445E-2</v>
      </c>
    </row>
    <row r="176" spans="2:48" ht="14.25" hidden="1" customHeight="1" outlineLevel="1">
      <c r="B176" s="1447" t="s">
        <v>1661</v>
      </c>
      <c r="H176" s="1791">
        <f t="shared" ref="H176:Z176" si="100">H174/G174-1</f>
        <v>0.85069428468219987</v>
      </c>
      <c r="I176" s="1792">
        <f t="shared" si="100"/>
        <v>0.15624178619562956</v>
      </c>
      <c r="J176" s="1792">
        <f t="shared" si="100"/>
        <v>-5.8361545577450546E-2</v>
      </c>
      <c r="K176" s="1792">
        <f t="shared" si="100"/>
        <v>-0.3001274739129417</v>
      </c>
      <c r="L176" s="1791">
        <f t="shared" si="100"/>
        <v>0.52088946738479436</v>
      </c>
      <c r="M176" s="1792">
        <f t="shared" si="100"/>
        <v>0.16013413029778101</v>
      </c>
      <c r="N176" s="1792">
        <f t="shared" si="100"/>
        <v>2.7913739602479559E-2</v>
      </c>
      <c r="O176" s="1792">
        <f t="shared" si="100"/>
        <v>-0.2169019954949819</v>
      </c>
      <c r="P176" s="1791">
        <f t="shared" si="100"/>
        <v>0.338548382098671</v>
      </c>
      <c r="Q176" s="1792">
        <f t="shared" si="100"/>
        <v>0.15468413434752137</v>
      </c>
      <c r="R176" s="1792">
        <f t="shared" si="100"/>
        <v>3.8936135906573854E-2</v>
      </c>
      <c r="S176" s="2252">
        <f t="shared" si="100"/>
        <v>-0.18079913635694433</v>
      </c>
      <c r="T176" s="2237">
        <f t="shared" si="100"/>
        <v>0.32481903977248106</v>
      </c>
      <c r="U176" s="1792">
        <f t="shared" si="100"/>
        <v>0.21027431992403756</v>
      </c>
      <c r="V176" s="1792">
        <f t="shared" si="100"/>
        <v>-2.3378372339983189E-2</v>
      </c>
      <c r="W176" s="2252">
        <f t="shared" si="100"/>
        <v>-0.24250757728311445</v>
      </c>
      <c r="X176" s="2237">
        <f t="shared" si="100"/>
        <v>0.40404224984032622</v>
      </c>
      <c r="Y176" s="1792">
        <f t="shared" si="100"/>
        <v>0.14343008607627561</v>
      </c>
      <c r="Z176" s="1792">
        <f t="shared" si="100"/>
        <v>-5.7699220805908058E-2</v>
      </c>
      <c r="AA176" s="2155"/>
      <c r="AB176" s="1314"/>
      <c r="AC176" s="399"/>
      <c r="AD176" s="399"/>
      <c r="AE176" s="399"/>
    </row>
    <row r="177" spans="2:31" ht="14.25" customHeight="1" collapsed="1">
      <c r="B177" s="144" t="s">
        <v>1478</v>
      </c>
      <c r="P177" s="1683"/>
      <c r="Q177" s="1308"/>
      <c r="R177" s="1308">
        <f>308.8401-Q123</f>
        <v>183.98660000000001</v>
      </c>
      <c r="S177" s="2157">
        <f>S123-R177</f>
        <v>84.201956232089799</v>
      </c>
      <c r="T177" s="1345">
        <f>15765/100</f>
        <v>157.65</v>
      </c>
      <c r="U177" s="1308">
        <f>U123-T177</f>
        <v>318.18780000000004</v>
      </c>
      <c r="V177" s="1308">
        <f>1212.5045-U123</f>
        <v>736.66669999999999</v>
      </c>
      <c r="W177" s="2157">
        <f>W123-V177</f>
        <v>282.50956928999994</v>
      </c>
      <c r="X177" s="1345">
        <f>56984.15/100</f>
        <v>569.8415</v>
      </c>
      <c r="Y177" s="1304">
        <f>Y123-X177</f>
        <v>922.89694311999983</v>
      </c>
      <c r="Z177" s="1308">
        <f>2846.7703-Y123</f>
        <v>1354.0318568800003</v>
      </c>
      <c r="AA177" s="2157">
        <f>Segment!N188-Quarterly!Z177-Quarterly!Y177-Quarterly!X177</f>
        <v>457.21079313089967</v>
      </c>
      <c r="AB177" s="1308">
        <f>X177*1.35</f>
        <v>769.286025</v>
      </c>
      <c r="AC177" s="1345">
        <f>Y177*1.34</f>
        <v>1236.6819037807998</v>
      </c>
      <c r="AD177" s="1345">
        <f>Z177*1.32</f>
        <v>1787.3220510816004</v>
      </c>
      <c r="AE177" s="2163">
        <f>Segment!O188-Quarterly!AD177-Quarterly!AC177-Quarterly!AB177</f>
        <v>700.12430679562306</v>
      </c>
    </row>
    <row r="178" spans="2:31" ht="14.25" customHeight="1">
      <c r="B178" s="144" t="s">
        <v>216</v>
      </c>
      <c r="T178" s="399"/>
      <c r="U178" s="1314"/>
      <c r="V178" s="1314">
        <f t="shared" ref="V178:AA178" si="101">V177/R177-1</f>
        <v>3.0039149590241898</v>
      </c>
      <c r="W178" s="2155">
        <f t="shared" si="101"/>
        <v>2.3551425873207217</v>
      </c>
      <c r="X178" s="399">
        <f t="shared" si="101"/>
        <v>2.6145987947986042</v>
      </c>
      <c r="Y178" s="1314">
        <f t="shared" si="101"/>
        <v>1.9004787208057623</v>
      </c>
      <c r="Z178" s="1314">
        <f t="shared" si="101"/>
        <v>0.83805221123745688</v>
      </c>
      <c r="AA178" s="2155">
        <f t="shared" si="101"/>
        <v>0.61839046471932613</v>
      </c>
      <c r="AB178" s="1675">
        <f t="shared" ref="AB178" si="102">AB177/X177-1</f>
        <v>0.35000000000000009</v>
      </c>
      <c r="AC178" s="399">
        <f t="shared" ref="AC178" si="103">AC177/Y177-1</f>
        <v>0.34000000000000008</v>
      </c>
      <c r="AD178" s="399">
        <f t="shared" ref="AD178" si="104">AD177/Z177-1</f>
        <v>0.32000000000000006</v>
      </c>
      <c r="AE178" s="399">
        <f t="shared" ref="AE178" si="105">AE177/AA177-1</f>
        <v>0.53129435550130832</v>
      </c>
    </row>
    <row r="179" spans="2:31" ht="14.25" customHeight="1">
      <c r="B179" s="144" t="s">
        <v>1337</v>
      </c>
      <c r="Q179" s="1308"/>
      <c r="R179" s="1790">
        <f>330.9558-Q125</f>
        <v>135.8245</v>
      </c>
      <c r="S179" s="2152">
        <f>S125-R179</f>
        <v>190.47735162791008</v>
      </c>
      <c r="T179" s="2257">
        <f>21712.84/100</f>
        <v>217.1284</v>
      </c>
      <c r="U179" s="1308">
        <f>U125-T179</f>
        <v>310.61859999999996</v>
      </c>
      <c r="V179" s="1790">
        <f>807.3733-U125</f>
        <v>279.62630000000001</v>
      </c>
      <c r="W179" s="2152">
        <f>W125-V179</f>
        <v>215.79248419999999</v>
      </c>
      <c r="X179" s="1790">
        <f>37479.69/100</f>
        <v>374.79690000000005</v>
      </c>
      <c r="Y179" s="1305">
        <f>Y125-X179</f>
        <v>502.50692174999995</v>
      </c>
      <c r="Z179" s="1790">
        <f>1424.3239-Y125</f>
        <v>547.0200782500001</v>
      </c>
      <c r="AA179" s="2152">
        <f>AA182-AA177</f>
        <v>303.52199011281914</v>
      </c>
      <c r="AB179" s="1305">
        <f>AB182-AB177</f>
        <v>474.20220269490108</v>
      </c>
      <c r="AC179" s="1305">
        <f t="shared" ref="AC179:AE179" si="106">AC182-AC177</f>
        <v>595.37808883560069</v>
      </c>
      <c r="AD179" s="1305">
        <f t="shared" si="106"/>
        <v>723.55911539069757</v>
      </c>
      <c r="AE179" s="1305">
        <f t="shared" si="106"/>
        <v>438.48306952600876</v>
      </c>
    </row>
    <row r="180" spans="2:31" ht="14.25" customHeight="1">
      <c r="B180" s="144" t="s">
        <v>216</v>
      </c>
      <c r="U180" s="1314"/>
      <c r="V180" s="1314">
        <f t="shared" ref="V180:AA180" si="107">V179/R179-1</f>
        <v>1.0587324083652065</v>
      </c>
      <c r="W180" s="2155">
        <f t="shared" si="107"/>
        <v>0.13290363581672437</v>
      </c>
      <c r="X180" s="399">
        <f t="shared" si="107"/>
        <v>0.7261532807315858</v>
      </c>
      <c r="Y180" s="1314">
        <f>Y179/U179-1</f>
        <v>0.61776185247760451</v>
      </c>
      <c r="Z180" s="1314">
        <f t="shared" si="107"/>
        <v>0.95625403708449475</v>
      </c>
      <c r="AA180" s="2155">
        <f t="shared" si="107"/>
        <v>0.40654569707585364</v>
      </c>
      <c r="AB180" s="399">
        <f t="shared" ref="AB180" si="108">AB179/X179-1</f>
        <v>0.26522445275001205</v>
      </c>
      <c r="AC180" s="399">
        <f t="shared" ref="AC180" si="109">AC179/Y179-1</f>
        <v>0.1848156971891517</v>
      </c>
      <c r="AD180" s="399">
        <f t="shared" ref="AD180" si="110">AD179/Z179-1</f>
        <v>0.32272862397569124</v>
      </c>
      <c r="AE180" s="399">
        <f t="shared" ref="AE180" si="111">AE179/AA179-1</f>
        <v>0.44465008733971656</v>
      </c>
    </row>
    <row r="181" spans="2:31" ht="14.25" customHeight="1">
      <c r="B181" s="144"/>
      <c r="U181" s="1314"/>
      <c r="X181" s="1305"/>
      <c r="Y181" s="1305"/>
      <c r="Z181" s="1305"/>
      <c r="AA181" s="2152"/>
    </row>
    <row r="182" spans="2:31" ht="14.25" customHeight="1">
      <c r="B182" s="144" t="s">
        <v>1500</v>
      </c>
      <c r="Q182" s="1305"/>
      <c r="R182" s="1790">
        <f t="shared" ref="R182:X182" si="112">R179+R177</f>
        <v>319.81110000000001</v>
      </c>
      <c r="S182" s="2152">
        <f t="shared" si="112"/>
        <v>274.67930785999988</v>
      </c>
      <c r="T182" s="1790">
        <f t="shared" si="112"/>
        <v>374.77840000000003</v>
      </c>
      <c r="U182" s="1790">
        <f t="shared" si="112"/>
        <v>628.80639999999994</v>
      </c>
      <c r="V182" s="1790">
        <f t="shared" si="112"/>
        <v>1016.293</v>
      </c>
      <c r="W182" s="2152">
        <f t="shared" si="112"/>
        <v>498.30205348999993</v>
      </c>
      <c r="X182" s="1790">
        <f t="shared" si="112"/>
        <v>944.63840000000005</v>
      </c>
      <c r="Y182" s="1305">
        <f>Y179+Y177</f>
        <v>1425.4038648699998</v>
      </c>
      <c r="Z182" s="1790">
        <f>Z179+Z177</f>
        <v>1901.0519351300004</v>
      </c>
      <c r="AA182" s="2152">
        <f t="shared" ref="AA182:AE182" si="113">AA92</f>
        <v>760.73278324371881</v>
      </c>
      <c r="AB182" s="1305">
        <f t="shared" si="113"/>
        <v>1243.4882276949011</v>
      </c>
      <c r="AC182" s="1305">
        <f t="shared" si="113"/>
        <v>1832.0599926164005</v>
      </c>
      <c r="AD182" s="1305">
        <f t="shared" si="113"/>
        <v>2510.881166472298</v>
      </c>
      <c r="AE182" s="1305">
        <f t="shared" si="113"/>
        <v>1138.6073763216318</v>
      </c>
    </row>
    <row r="183" spans="2:31" ht="14.25" customHeight="1">
      <c r="B183" s="144"/>
      <c r="U183" s="1314"/>
      <c r="V183" s="1314">
        <f t="shared" ref="V183:Z183" si="114">V182/R182-1</f>
        <v>2.1777915150537299</v>
      </c>
      <c r="W183" s="2155">
        <f t="shared" si="114"/>
        <v>0.81412301265873799</v>
      </c>
      <c r="X183" s="399">
        <f t="shared" si="114"/>
        <v>1.5205251956889723</v>
      </c>
      <c r="Y183" s="1314">
        <f t="shared" si="114"/>
        <v>1.2668405806143195</v>
      </c>
      <c r="Z183" s="1314">
        <f t="shared" si="114"/>
        <v>0.8705746621594368</v>
      </c>
      <c r="AA183" s="2155">
        <f t="shared" ref="AA183" si="115">AA182/W182-1</f>
        <v>0.52664990624804919</v>
      </c>
      <c r="AB183" s="1314">
        <f t="shared" ref="AB183" si="116">AB182/X182-1</f>
        <v>0.31636425927095591</v>
      </c>
      <c r="AC183" s="1314">
        <f t="shared" ref="AC183" si="117">AC182/Y182-1</f>
        <v>0.28529186553278274</v>
      </c>
      <c r="AD183" s="1314">
        <f t="shared" ref="AD183" si="118">AD182/Z182-1</f>
        <v>0.32078515061746349</v>
      </c>
      <c r="AE183" s="1314">
        <f t="shared" ref="AE183" si="119">AE182/AA182-1</f>
        <v>0.49672447592790525</v>
      </c>
    </row>
    <row r="184" spans="2:31" ht="14.25" customHeight="1">
      <c r="B184" s="1460" t="s">
        <v>1660</v>
      </c>
      <c r="U184" s="1314"/>
      <c r="V184" s="1314"/>
      <c r="W184" s="2155"/>
      <c r="X184" s="399"/>
      <c r="Y184" s="1314"/>
      <c r="Z184" s="1314"/>
      <c r="AA184" s="2155"/>
      <c r="AB184" s="1314"/>
      <c r="AC184" s="1314"/>
      <c r="AD184" s="1314"/>
      <c r="AE184" s="1314"/>
    </row>
    <row r="185" spans="2:31" ht="14.25" customHeight="1">
      <c r="B185" s="144" t="s">
        <v>1480</v>
      </c>
      <c r="R185" s="125">
        <f t="shared" ref="R185:Y185" si="120">R174/R$43</f>
        <v>0.89883806550968837</v>
      </c>
      <c r="S185" s="2196">
        <f t="shared" si="120"/>
        <v>0.8932750810446225</v>
      </c>
      <c r="T185" s="399">
        <f t="shared" si="120"/>
        <v>0.89105637963690565</v>
      </c>
      <c r="U185" s="399">
        <f t="shared" si="120"/>
        <v>0.85519150549810663</v>
      </c>
      <c r="V185" s="1314">
        <f t="shared" si="120"/>
        <v>0.78280938542462053</v>
      </c>
      <c r="W185" s="2155">
        <f t="shared" si="120"/>
        <v>0.84682558581782785</v>
      </c>
      <c r="X185" s="399">
        <f t="shared" si="120"/>
        <v>0.80455264229588863</v>
      </c>
      <c r="Y185" s="1314">
        <f t="shared" si="120"/>
        <v>0.75739824489518337</v>
      </c>
      <c r="Z185" s="1314">
        <f t="shared" ref="Z185" si="121">Z174/Z$43</f>
        <v>0.68813011535922342</v>
      </c>
      <c r="AA185" s="2155">
        <f t="shared" ref="AA185" si="122">AA174/AA$43</f>
        <v>0.81322437104014811</v>
      </c>
      <c r="AB185" s="1314"/>
      <c r="AC185" s="1314"/>
      <c r="AD185" s="1314"/>
      <c r="AE185" s="1314"/>
    </row>
    <row r="186" spans="2:31" ht="14.25" customHeight="1">
      <c r="B186" s="144" t="s">
        <v>1500</v>
      </c>
      <c r="R186" s="125">
        <f t="shared" ref="R186:Y186" si="123">R182/R$43</f>
        <v>0.10054652777713088</v>
      </c>
      <c r="S186" s="2196">
        <f t="shared" si="123"/>
        <v>0.10476418766693507</v>
      </c>
      <c r="T186" s="399">
        <f t="shared" si="123"/>
        <v>0.1076278989211359</v>
      </c>
      <c r="U186" s="399">
        <f t="shared" si="123"/>
        <v>0.14319954526654896</v>
      </c>
      <c r="V186" s="1314">
        <f t="shared" si="123"/>
        <v>0.21692516060620315</v>
      </c>
      <c r="W186" s="2155">
        <f t="shared" si="123"/>
        <v>0.15189494629614014</v>
      </c>
      <c r="X186" s="399">
        <f t="shared" si="123"/>
        <v>0.194848273200632</v>
      </c>
      <c r="Y186" s="1314">
        <f t="shared" si="123"/>
        <v>0.24206339001205202</v>
      </c>
      <c r="Z186" s="1314">
        <f t="shared" ref="Z186" si="124">Z182/Z$43</f>
        <v>0.31127330779750523</v>
      </c>
      <c r="AA186" s="2155">
        <f t="shared" ref="AA186" si="125">AA182/AA$43</f>
        <v>0.18340002624856722</v>
      </c>
      <c r="AB186" s="1314"/>
      <c r="AC186" s="1314"/>
      <c r="AD186" s="1314"/>
      <c r="AE186" s="1314"/>
    </row>
    <row r="187" spans="2:31" ht="14.25" customHeight="1">
      <c r="B187" s="1447" t="s">
        <v>1478</v>
      </c>
      <c r="R187" s="125">
        <f t="shared" ref="R187:Y187" si="126">R177/R$43</f>
        <v>5.7844189233956761E-2</v>
      </c>
      <c r="S187" s="2196">
        <f t="shared" si="126"/>
        <v>3.2115085818979212E-2</v>
      </c>
      <c r="T187" s="399">
        <f t="shared" si="126"/>
        <v>4.5273522339913594E-2</v>
      </c>
      <c r="U187" s="399">
        <f t="shared" si="126"/>
        <v>7.2461648401421552E-2</v>
      </c>
      <c r="V187" s="1314">
        <f t="shared" si="126"/>
        <v>0.15723963680822525</v>
      </c>
      <c r="W187" s="2155">
        <f t="shared" si="126"/>
        <v>8.6115992408430625E-2</v>
      </c>
      <c r="X187" s="399">
        <f t="shared" si="126"/>
        <v>0.11753982505163663</v>
      </c>
      <c r="Y187" s="1314">
        <f t="shared" si="126"/>
        <v>0.15672720426064066</v>
      </c>
      <c r="Z187" s="1314">
        <f t="shared" ref="Z187" si="127">Z177/Z$43</f>
        <v>0.22170566051653612</v>
      </c>
      <c r="AA187" s="2155">
        <f t="shared" ref="AA187" si="128">AA177/AA$43</f>
        <v>0.11022592072842363</v>
      </c>
      <c r="AB187" s="1314"/>
      <c r="AC187" s="1314"/>
      <c r="AD187" s="1314"/>
      <c r="AE187" s="1314"/>
    </row>
    <row r="188" spans="2:31" ht="14.25" customHeight="1">
      <c r="B188" s="1447" t="s">
        <v>1337</v>
      </c>
      <c r="R188" s="125">
        <f t="shared" ref="R188:Y188" si="129">R179/R$43</f>
        <v>4.2702338543174116E-2</v>
      </c>
      <c r="S188" s="2196">
        <f t="shared" si="129"/>
        <v>7.2649101847955852E-2</v>
      </c>
      <c r="T188" s="399">
        <f t="shared" si="129"/>
        <v>6.2354376581222296E-2</v>
      </c>
      <c r="U188" s="399">
        <f t="shared" si="129"/>
        <v>7.0737896865127436E-2</v>
      </c>
      <c r="V188" s="1314">
        <f t="shared" si="129"/>
        <v>5.9685523797977889E-2</v>
      </c>
      <c r="W188" s="2155">
        <f t="shared" si="129"/>
        <v>6.5778953887709532E-2</v>
      </c>
      <c r="X188" s="399">
        <f t="shared" si="129"/>
        <v>7.7308448148995387E-2</v>
      </c>
      <c r="Y188" s="1314">
        <f t="shared" si="129"/>
        <v>8.5336185751411345E-2</v>
      </c>
      <c r="Z188" s="1314">
        <f t="shared" ref="Z188" si="130">Z179/Z$43</f>
        <v>8.9567647280969123E-2</v>
      </c>
      <c r="AA188" s="2155">
        <f t="shared" ref="AA188" si="131">AA179/AA$43</f>
        <v>7.317410552014357E-2</v>
      </c>
      <c r="AB188" s="1314"/>
      <c r="AC188" s="1314"/>
      <c r="AD188" s="1314"/>
      <c r="AE188" s="1314"/>
    </row>
    <row r="189" spans="2:31" ht="14.25" customHeight="1">
      <c r="U189" s="1314"/>
      <c r="V189" s="1314"/>
      <c r="W189" s="2155"/>
      <c r="X189" s="414"/>
      <c r="Y189" s="1314"/>
      <c r="Z189" s="1314"/>
      <c r="AA189" s="2155"/>
      <c r="AB189" s="1314"/>
      <c r="AC189" s="1314"/>
      <c r="AD189" s="1314"/>
      <c r="AE189" s="1314"/>
    </row>
    <row r="190" spans="2:31" ht="14.25" hidden="1" customHeight="1" outlineLevel="1">
      <c r="B190" s="1448"/>
      <c r="U190" s="1314"/>
      <c r="V190" s="1314"/>
      <c r="W190" s="2155"/>
      <c r="X190" s="414"/>
      <c r="Y190" s="1314"/>
      <c r="Z190" s="1314"/>
      <c r="AA190" s="2155"/>
      <c r="AB190" s="1314"/>
      <c r="AC190" s="1314"/>
      <c r="AD190" s="1314"/>
      <c r="AE190" s="1314"/>
    </row>
    <row r="191" spans="2:31" ht="14.25" hidden="1" customHeight="1" outlineLevel="1"/>
    <row r="192" spans="2:31" ht="14.25" hidden="1" customHeight="1" outlineLevel="2">
      <c r="B192" s="2225" t="s">
        <v>1801</v>
      </c>
      <c r="C192" s="2226"/>
      <c r="D192" s="2226"/>
      <c r="E192" s="2226"/>
      <c r="F192" s="2226"/>
      <c r="G192" s="2226"/>
      <c r="H192" s="2227"/>
      <c r="I192" s="2226"/>
      <c r="J192" s="2226"/>
      <c r="K192" s="2226"/>
      <c r="L192" s="2227"/>
      <c r="M192" s="2226"/>
      <c r="N192" s="2226"/>
      <c r="O192" s="2226"/>
      <c r="P192" s="2227"/>
      <c r="Q192" s="2226"/>
      <c r="R192" s="2226"/>
      <c r="S192" s="2228"/>
      <c r="T192" s="2226"/>
      <c r="U192" s="2226"/>
      <c r="V192" s="2226"/>
      <c r="W192" s="2228"/>
      <c r="X192" s="2226"/>
      <c r="Y192" s="2226"/>
      <c r="Z192" s="2226"/>
      <c r="AA192" s="2228"/>
    </row>
    <row r="193" spans="2:31" ht="14.25" hidden="1" customHeight="1" outlineLevel="2">
      <c r="B193" s="1448" t="s">
        <v>1480</v>
      </c>
      <c r="T193" s="1305">
        <f>U164*U121-U193</f>
        <v>1397.4509664600007</v>
      </c>
      <c r="U193" s="1305">
        <f>U194*U174</f>
        <v>1855.0928084</v>
      </c>
      <c r="V193" s="1305">
        <f>W164*W121-W193</f>
        <v>1844.2531848753588</v>
      </c>
      <c r="W193" s="2152">
        <f>W194*W174</f>
        <v>1322.3617427546401</v>
      </c>
      <c r="X193" s="1305">
        <f>Y164*Y121-Y193</f>
        <v>1912.3274514175991</v>
      </c>
      <c r="Y193" s="1305">
        <f>Y194*Y174</f>
        <v>2319.1906898524003</v>
      </c>
      <c r="Z193" s="1305">
        <f>AA164*AA121-AA193</f>
        <v>2221.6278871807726</v>
      </c>
      <c r="AA193" s="1305">
        <f>AA194*AA174</f>
        <v>1652.8719291938244</v>
      </c>
    </row>
    <row r="194" spans="2:31" ht="14.25" hidden="1" customHeight="1" outlineLevel="2">
      <c r="B194" s="1448" t="s">
        <v>1802</v>
      </c>
      <c r="T194" s="2229">
        <f>T193/T174</f>
        <v>0.45038270384005108</v>
      </c>
      <c r="U194" s="2229">
        <v>0.49399999999999999</v>
      </c>
      <c r="V194" s="2229">
        <f>V193/V174</f>
        <v>0.50286975004079371</v>
      </c>
      <c r="W194" s="2230">
        <v>0.47599999999999998</v>
      </c>
      <c r="X194" s="2229">
        <f>X193/X174</f>
        <v>0.49027388347708417</v>
      </c>
      <c r="Y194" s="2229">
        <v>0.52</v>
      </c>
      <c r="Z194" s="2229">
        <f>Z193/Z174</f>
        <v>0.52862616196419421</v>
      </c>
      <c r="AA194" s="2229">
        <v>0.49</v>
      </c>
    </row>
    <row r="195" spans="2:31" ht="14.25" hidden="1" customHeight="1" outlineLevel="2">
      <c r="B195" s="1448" t="s">
        <v>1478</v>
      </c>
      <c r="T195" s="1305">
        <f>U166*U123-U195</f>
        <v>45.947669796645869</v>
      </c>
      <c r="U195" s="1305">
        <f>U196*U177</f>
        <v>94.819964400000003</v>
      </c>
      <c r="V195" s="1305">
        <f>W166*W123-W195</f>
        <v>227.19870115505421</v>
      </c>
      <c r="W195" s="2152">
        <f>W196*W177</f>
        <v>76.277583708299986</v>
      </c>
      <c r="X195" s="1305">
        <f>Y166*Y123-Y195</f>
        <v>179.12472922599989</v>
      </c>
      <c r="Y195" s="1305">
        <f>Y196*Y177</f>
        <v>299.94150651399997</v>
      </c>
      <c r="Z195" s="1305">
        <f>AA166*AA123-AA195</f>
        <v>454.5106002058435</v>
      </c>
      <c r="AA195" s="1305">
        <f>AA196*AA177</f>
        <v>130.30507604230638</v>
      </c>
    </row>
    <row r="196" spans="2:31" ht="14.25" hidden="1" customHeight="1" outlineLevel="2">
      <c r="B196" s="1448" t="s">
        <v>1802</v>
      </c>
      <c r="T196" s="2229">
        <f>T195/T177</f>
        <v>0.29145366188801691</v>
      </c>
      <c r="U196" s="2229">
        <v>0.29799999999999999</v>
      </c>
      <c r="V196" s="2229">
        <f>V195/V177</f>
        <v>0.30841451249941693</v>
      </c>
      <c r="W196" s="2230">
        <v>0.27</v>
      </c>
      <c r="X196" s="2229">
        <f>X195/X177</f>
        <v>0.31434131986877034</v>
      </c>
      <c r="Y196" s="2229">
        <v>0.32500000000000001</v>
      </c>
      <c r="Z196" s="2229">
        <f>Z195/Z177</f>
        <v>0.33567201384252515</v>
      </c>
      <c r="AA196" s="2229">
        <v>0.28499999999999998</v>
      </c>
    </row>
    <row r="197" spans="2:31" ht="14.25" hidden="1" customHeight="1" outlineLevel="2">
      <c r="B197" s="1448" t="s">
        <v>1337</v>
      </c>
      <c r="T197" s="1305">
        <f t="shared" ref="T197:AA197" si="132">T199-T195-T193</f>
        <v>45.949048873353149</v>
      </c>
      <c r="U197" s="1305">
        <f t="shared" si="132"/>
        <v>72.283419210000602</v>
      </c>
      <c r="V197" s="1305">
        <f t="shared" si="132"/>
        <v>74.519383579587611</v>
      </c>
      <c r="W197" s="2152">
        <f t="shared" si="132"/>
        <v>41.136352407059803</v>
      </c>
      <c r="X197" s="1305">
        <f t="shared" si="132"/>
        <v>64.427829736401236</v>
      </c>
      <c r="Y197" s="1305">
        <f t="shared" si="132"/>
        <v>72.201417923601184</v>
      </c>
      <c r="Z197" s="1305">
        <f t="shared" si="132"/>
        <v>84.866447893382428</v>
      </c>
      <c r="AA197" s="1305">
        <f t="shared" si="132"/>
        <v>36.115877071280011</v>
      </c>
    </row>
    <row r="198" spans="2:31" ht="14.25" hidden="1" customHeight="1" outlineLevel="2">
      <c r="B198" s="1448" t="s">
        <v>1802</v>
      </c>
      <c r="T198" s="1592">
        <f t="shared" ref="T198:AA198" si="133">T197/T179</f>
        <v>0.2116215514568944</v>
      </c>
      <c r="U198" s="1592">
        <f t="shared" si="133"/>
        <v>0.23270795506128936</v>
      </c>
      <c r="V198" s="1592">
        <f t="shared" si="133"/>
        <v>0.2664963330687693</v>
      </c>
      <c r="W198" s="2151">
        <f t="shared" si="133"/>
        <v>0.19062921750756603</v>
      </c>
      <c r="X198" s="1592">
        <f t="shared" si="133"/>
        <v>0.17190064735434371</v>
      </c>
      <c r="Y198" s="1592">
        <f t="shared" si="133"/>
        <v>0.14368243460638697</v>
      </c>
      <c r="Z198" s="1592">
        <f t="shared" si="133"/>
        <v>0.15514320455088781</v>
      </c>
      <c r="AA198" s="1592">
        <f t="shared" si="133"/>
        <v>0.11898932613698184</v>
      </c>
    </row>
    <row r="199" spans="2:31" ht="14.25" hidden="1" customHeight="1" outlineLevel="2">
      <c r="B199" s="133" t="s">
        <v>1803</v>
      </c>
      <c r="T199" s="1458">
        <f t="shared" ref="T199:AA199" si="134">T47</f>
        <v>1489.3476851299997</v>
      </c>
      <c r="U199" s="1458">
        <f t="shared" si="134"/>
        <v>2022.1961920100007</v>
      </c>
      <c r="V199" s="1458">
        <f t="shared" si="134"/>
        <v>2145.9712696100005</v>
      </c>
      <c r="W199" s="2253">
        <f t="shared" si="134"/>
        <v>1439.7756788699999</v>
      </c>
      <c r="X199" s="1458">
        <f t="shared" si="134"/>
        <v>2155.8800103800004</v>
      </c>
      <c r="Y199" s="1458">
        <f t="shared" si="134"/>
        <v>2691.3336142900016</v>
      </c>
      <c r="Z199" s="1458">
        <f t="shared" si="134"/>
        <v>2761.0049352799988</v>
      </c>
      <c r="AA199" s="1458">
        <f t="shared" si="134"/>
        <v>1819.2928823074108</v>
      </c>
    </row>
    <row r="200" spans="2:31" ht="14.25" hidden="1" customHeight="1" outlineLevel="2">
      <c r="B200" s="133"/>
      <c r="T200" s="1592">
        <f t="shared" ref="T200:AA200" si="135">T49</f>
        <v>0.42770704531957904</v>
      </c>
      <c r="U200" s="1592">
        <f t="shared" si="135"/>
        <v>0.46051944626450853</v>
      </c>
      <c r="V200" s="1592">
        <f t="shared" si="135"/>
        <v>0.45805211913931027</v>
      </c>
      <c r="W200" s="2151">
        <f t="shared" si="135"/>
        <v>0.4388796873076426</v>
      </c>
      <c r="X200" s="1592">
        <f t="shared" si="135"/>
        <v>0.44468814442680255</v>
      </c>
      <c r="Y200" s="1592">
        <f t="shared" si="135"/>
        <v>0.45704473965898929</v>
      </c>
      <c r="Z200" s="1592">
        <f t="shared" si="135"/>
        <v>0.4520797791834506</v>
      </c>
      <c r="AA200" s="1592">
        <f t="shared" si="135"/>
        <v>0.43860126672379157</v>
      </c>
    </row>
    <row r="201" spans="2:31" ht="14.25" hidden="1" customHeight="1" outlineLevel="2">
      <c r="B201" s="133"/>
      <c r="T201" s="1458"/>
      <c r="U201" s="1458"/>
      <c r="V201" s="1458"/>
      <c r="W201" s="2253"/>
      <c r="X201" s="2233">
        <f>X200-T200</f>
        <v>1.6981099107223507E-2</v>
      </c>
      <c r="Y201" s="2233">
        <f>Y200-U200</f>
        <v>-3.4747066055192399E-3</v>
      </c>
      <c r="Z201" s="2233">
        <f>Z200-V200</f>
        <v>-5.9723399558596624E-3</v>
      </c>
      <c r="AA201" s="2233">
        <f>AA200-W200</f>
        <v>-2.7842058385102453E-4</v>
      </c>
    </row>
    <row r="202" spans="2:31" ht="14.25" hidden="1" customHeight="1" outlineLevel="2">
      <c r="B202" s="133"/>
      <c r="T202" s="1458"/>
      <c r="U202" s="1458"/>
      <c r="V202" s="1458"/>
      <c r="W202" s="2253"/>
      <c r="X202" s="2233">
        <f>X194-T194</f>
        <v>3.9891179637033092E-2</v>
      </c>
      <c r="Y202" s="2233">
        <f>Y194-U194</f>
        <v>2.6000000000000023E-2</v>
      </c>
      <c r="Z202" s="2233">
        <f>Z194-V194</f>
        <v>2.5756411923400502E-2</v>
      </c>
      <c r="AA202" s="2233">
        <f>AA194-W194</f>
        <v>1.4000000000000012E-2</v>
      </c>
    </row>
    <row r="203" spans="2:31" ht="14.25" hidden="1" customHeight="1" outlineLevel="1">
      <c r="B203" s="1348" t="s">
        <v>1355</v>
      </c>
      <c r="C203" s="1349"/>
      <c r="D203" s="1350" t="s">
        <v>1059</v>
      </c>
      <c r="E203" s="1350" t="s">
        <v>1060</v>
      </c>
      <c r="F203" s="1350" t="s">
        <v>1068</v>
      </c>
      <c r="G203" s="1350" t="s">
        <v>1073</v>
      </c>
      <c r="H203" s="1673" t="s">
        <v>1076</v>
      </c>
      <c r="I203" s="1350" t="s">
        <v>1093</v>
      </c>
      <c r="J203" s="1350" t="s">
        <v>1100</v>
      </c>
      <c r="K203" s="1350" t="s">
        <v>1231</v>
      </c>
      <c r="L203" s="1673" t="s">
        <v>1209</v>
      </c>
      <c r="M203" s="1350" t="s">
        <v>1232</v>
      </c>
      <c r="N203" s="1350" t="s">
        <v>1229</v>
      </c>
      <c r="O203" s="1350" t="s">
        <v>1276</v>
      </c>
      <c r="P203" s="1673" t="s">
        <v>1273</v>
      </c>
      <c r="Q203" s="1350" t="s">
        <v>1277</v>
      </c>
      <c r="R203" s="1350" t="s">
        <v>1278</v>
      </c>
      <c r="S203" s="1351" t="s">
        <v>1279</v>
      </c>
      <c r="T203" s="1350" t="s">
        <v>1275</v>
      </c>
      <c r="U203" s="1350" t="s">
        <v>1475</v>
      </c>
      <c r="V203" s="1350" t="s">
        <v>1549</v>
      </c>
      <c r="W203" s="1351" t="s">
        <v>1644</v>
      </c>
      <c r="X203" s="1350" t="str">
        <f>X173</f>
        <v>1Q25</v>
      </c>
      <c r="Y203" s="1350" t="str">
        <f>Y173</f>
        <v>2Q25</v>
      </c>
      <c r="Z203" s="1350" t="str">
        <f>Z173</f>
        <v>3Q25</v>
      </c>
      <c r="AA203" s="1351" t="str">
        <f t="shared" ref="AA203:AE203" si="136">AA173</f>
        <v>4Q25E</v>
      </c>
      <c r="AB203" s="1350" t="str">
        <f t="shared" si="136"/>
        <v>1Q26E</v>
      </c>
      <c r="AC203" s="1350" t="str">
        <f t="shared" si="136"/>
        <v>2Q26E</v>
      </c>
      <c r="AD203" s="1350" t="str">
        <f t="shared" si="136"/>
        <v>3Q26E</v>
      </c>
      <c r="AE203" s="1350" t="str">
        <f t="shared" si="136"/>
        <v>4Q26E</v>
      </c>
    </row>
    <row r="204" spans="2:31" ht="14.25" hidden="1" customHeight="1" outlineLevel="1"/>
    <row r="205" spans="2:31" ht="14.25" hidden="1" customHeight="1" outlineLevel="1">
      <c r="B205" s="129" t="s">
        <v>1160</v>
      </c>
      <c r="J205" s="1352">
        <v>2148</v>
      </c>
      <c r="K205" s="1352">
        <f>Segment!J478</f>
        <v>2312</v>
      </c>
      <c r="L205" s="1678">
        <v>2438</v>
      </c>
      <c r="M205" s="1352">
        <v>2590</v>
      </c>
      <c r="N205" s="1352">
        <v>2600</v>
      </c>
      <c r="O205" s="1352">
        <f>Segment!K478</f>
        <v>2779</v>
      </c>
      <c r="P205" s="1678">
        <v>2793</v>
      </c>
      <c r="Q205" s="1352">
        <v>2796</v>
      </c>
      <c r="R205" s="1352">
        <v>2780</v>
      </c>
      <c r="S205" s="2267">
        <f>Segment!L478</f>
        <v>2981</v>
      </c>
      <c r="T205" s="1352">
        <v>2912</v>
      </c>
      <c r="U205" s="1352">
        <v>2982</v>
      </c>
      <c r="V205" s="1352">
        <v>2993</v>
      </c>
      <c r="W205" s="2146">
        <f>Segment!M478</f>
        <v>3193</v>
      </c>
      <c r="X205" s="1352">
        <v>3244</v>
      </c>
      <c r="Y205" s="1352">
        <v>3279</v>
      </c>
      <c r="Z205" s="129">
        <f>SUM(Z206:Z213)</f>
        <v>3271</v>
      </c>
    </row>
    <row r="206" spans="2:31" ht="14.25" hidden="1" customHeight="1" outlineLevel="1">
      <c r="B206" s="129" t="s">
        <v>1144</v>
      </c>
      <c r="J206" s="1352">
        <v>253</v>
      </c>
      <c r="K206" s="1352">
        <f>Segment!J479</f>
        <v>249</v>
      </c>
      <c r="L206" s="1678">
        <v>243</v>
      </c>
      <c r="M206" s="1352">
        <v>243</v>
      </c>
      <c r="N206" s="1352">
        <v>242</v>
      </c>
      <c r="O206" s="1352">
        <f>Segment!K479</f>
        <v>265</v>
      </c>
      <c r="P206" s="1678">
        <v>252</v>
      </c>
      <c r="Q206" s="1352">
        <v>253</v>
      </c>
      <c r="R206" s="1352">
        <v>267</v>
      </c>
      <c r="S206" s="2267">
        <f>Segment!L479</f>
        <v>288</v>
      </c>
      <c r="T206" s="1352">
        <v>271</v>
      </c>
      <c r="U206" s="1352">
        <v>256</v>
      </c>
      <c r="V206" s="1352">
        <v>251</v>
      </c>
      <c r="W206" s="2146">
        <f>Segment!M479</f>
        <v>264</v>
      </c>
      <c r="X206" s="1352">
        <v>262</v>
      </c>
      <c r="Y206" s="1352">
        <v>260</v>
      </c>
      <c r="Z206" s="1352">
        <v>256</v>
      </c>
    </row>
    <row r="207" spans="2:31" ht="14.25" hidden="1" customHeight="1" outlineLevel="1">
      <c r="B207" s="129" t="s">
        <v>1157</v>
      </c>
      <c r="J207" s="1352">
        <v>314</v>
      </c>
      <c r="K207" s="1352">
        <f>Segment!J480</f>
        <v>357</v>
      </c>
      <c r="L207" s="1678">
        <v>374</v>
      </c>
      <c r="M207" s="1352">
        <v>427</v>
      </c>
      <c r="N207" s="1352">
        <v>428</v>
      </c>
      <c r="O207" s="1352">
        <f>Segment!K480</f>
        <v>454</v>
      </c>
      <c r="P207" s="1678">
        <v>440</v>
      </c>
      <c r="Q207" s="1352">
        <v>418</v>
      </c>
      <c r="R207" s="1352">
        <v>398</v>
      </c>
      <c r="S207" s="2267">
        <f>Segment!L480</f>
        <v>409</v>
      </c>
      <c r="T207" s="1352">
        <v>390</v>
      </c>
      <c r="U207" s="1352">
        <v>387</v>
      </c>
      <c r="V207" s="1352">
        <v>386</v>
      </c>
      <c r="W207" s="2146">
        <f>Segment!M480</f>
        <v>429</v>
      </c>
      <c r="X207" s="1352">
        <v>433</v>
      </c>
      <c r="Y207" s="1352">
        <v>426</v>
      </c>
      <c r="Z207" s="1352">
        <v>411</v>
      </c>
    </row>
    <row r="208" spans="2:31" ht="14.25" hidden="1" customHeight="1" outlineLevel="1">
      <c r="B208" s="129" t="s">
        <v>1152</v>
      </c>
      <c r="J208" s="1352">
        <v>89</v>
      </c>
      <c r="K208" s="1352">
        <f>Segment!J481</f>
        <v>101</v>
      </c>
      <c r="L208" s="1678">
        <v>129</v>
      </c>
      <c r="M208" s="1352">
        <v>136</v>
      </c>
      <c r="N208" s="1352">
        <v>140</v>
      </c>
      <c r="O208" s="1352">
        <f>Segment!K481</f>
        <v>154</v>
      </c>
      <c r="P208" s="1678">
        <v>139</v>
      </c>
      <c r="Q208" s="1352">
        <v>128</v>
      </c>
      <c r="R208" s="1352">
        <v>127</v>
      </c>
      <c r="S208" s="2267">
        <f>Segment!L481</f>
        <v>132</v>
      </c>
      <c r="T208" s="1352">
        <v>118</v>
      </c>
      <c r="U208" s="1352">
        <v>119</v>
      </c>
      <c r="V208" s="1352">
        <v>122</v>
      </c>
      <c r="W208" s="2146">
        <f>Segment!M481</f>
        <v>126</v>
      </c>
      <c r="X208" s="1352">
        <v>122</v>
      </c>
      <c r="Y208" s="1352">
        <v>120</v>
      </c>
      <c r="Z208" s="1352">
        <v>119</v>
      </c>
    </row>
    <row r="209" spans="2:31" ht="14.25" hidden="1" customHeight="1" outlineLevel="1">
      <c r="B209" s="129" t="s">
        <v>1156</v>
      </c>
      <c r="J209" s="1352">
        <v>221</v>
      </c>
      <c r="K209" s="1352">
        <f>Segment!J482</f>
        <v>264</v>
      </c>
      <c r="L209" s="1678">
        <v>267</v>
      </c>
      <c r="M209" s="1352">
        <v>301</v>
      </c>
      <c r="N209" s="1352">
        <v>302</v>
      </c>
      <c r="O209" s="1352">
        <f>Segment!K482</f>
        <v>313</v>
      </c>
      <c r="P209" s="1678">
        <v>290</v>
      </c>
      <c r="Q209" s="1352">
        <v>281</v>
      </c>
      <c r="R209" s="1352">
        <v>280</v>
      </c>
      <c r="S209" s="2267">
        <f>Segment!L482</f>
        <v>299</v>
      </c>
      <c r="T209" s="1352">
        <v>295</v>
      </c>
      <c r="U209" s="1352">
        <v>287</v>
      </c>
      <c r="V209" s="1352">
        <v>289</v>
      </c>
      <c r="W209" s="2146">
        <f>Segment!M482</f>
        <v>303</v>
      </c>
      <c r="X209" s="1352">
        <v>304</v>
      </c>
      <c r="Y209" s="1352">
        <v>299</v>
      </c>
      <c r="Z209" s="1352">
        <v>296</v>
      </c>
    </row>
    <row r="210" spans="2:31" ht="14.25" hidden="1" customHeight="1" outlineLevel="1">
      <c r="B210" s="129" t="s">
        <v>1153</v>
      </c>
      <c r="J210" s="1352">
        <v>335</v>
      </c>
      <c r="K210" s="1352">
        <f>Segment!J483</f>
        <v>376</v>
      </c>
      <c r="L210" s="1678">
        <v>400</v>
      </c>
      <c r="M210" s="1352">
        <v>420</v>
      </c>
      <c r="N210" s="1352">
        <v>434</v>
      </c>
      <c r="O210" s="1352">
        <f>Segment!K483</f>
        <v>463</v>
      </c>
      <c r="P210" s="1678">
        <v>468</v>
      </c>
      <c r="Q210" s="1352">
        <v>460</v>
      </c>
      <c r="R210" s="1352">
        <v>446</v>
      </c>
      <c r="S210" s="2267">
        <f>Segment!L483</f>
        <v>458</v>
      </c>
      <c r="T210" s="1352">
        <v>445</v>
      </c>
      <c r="U210" s="1352">
        <v>444</v>
      </c>
      <c r="V210" s="1352">
        <v>446</v>
      </c>
      <c r="W210" s="2146">
        <f>Segment!M483</f>
        <v>487</v>
      </c>
      <c r="X210" s="1352">
        <v>491</v>
      </c>
      <c r="Y210" s="1352">
        <v>502</v>
      </c>
      <c r="Z210" s="1352">
        <v>494</v>
      </c>
    </row>
    <row r="211" spans="2:31" ht="14.25" hidden="1" customHeight="1" outlineLevel="1">
      <c r="B211" s="129" t="s">
        <v>1154</v>
      </c>
      <c r="J211" s="1352">
        <f>325+176</f>
        <v>501</v>
      </c>
      <c r="K211" s="1352">
        <f>Segment!J484</f>
        <v>617</v>
      </c>
      <c r="L211" s="1678">
        <v>688</v>
      </c>
      <c r="M211" s="1352">
        <v>704</v>
      </c>
      <c r="N211" s="1352">
        <v>687</v>
      </c>
      <c r="O211" s="1352">
        <f>Segment!K484</f>
        <v>744</v>
      </c>
      <c r="P211" s="1678">
        <v>786</v>
      </c>
      <c r="Q211" s="1352">
        <v>788</v>
      </c>
      <c r="R211" s="1352">
        <v>809</v>
      </c>
      <c r="S211" s="2267">
        <f>Segment!L484</f>
        <v>899</v>
      </c>
      <c r="T211" s="1352">
        <v>891</v>
      </c>
      <c r="U211" s="1352">
        <v>873</v>
      </c>
      <c r="V211" s="1352">
        <v>875</v>
      </c>
      <c r="W211" s="2146">
        <f>Segment!M484</f>
        <v>927</v>
      </c>
      <c r="X211" s="1352">
        <v>951</v>
      </c>
      <c r="Y211" s="1352">
        <v>951</v>
      </c>
      <c r="Z211" s="1352">
        <v>946</v>
      </c>
    </row>
    <row r="212" spans="2:31" ht="14.25" hidden="1" customHeight="1" outlineLevel="2">
      <c r="J212" s="1352"/>
      <c r="K212" s="1352">
        <f>Segment!J485</f>
        <v>0</v>
      </c>
      <c r="L212" s="1678"/>
      <c r="M212" s="1352"/>
      <c r="N212" s="1352"/>
      <c r="O212" s="1352">
        <f>Segment!K485</f>
        <v>0</v>
      </c>
      <c r="P212" s="1678"/>
      <c r="Q212" s="1352"/>
      <c r="R212" s="1352"/>
      <c r="S212" s="2267"/>
      <c r="T212" s="1352"/>
      <c r="U212" s="1352"/>
      <c r="V212" s="1352"/>
      <c r="W212" s="2146">
        <f>Segment!M485</f>
        <v>0</v>
      </c>
      <c r="X212" s="1352"/>
      <c r="Y212" s="1352"/>
      <c r="Z212" s="1352"/>
    </row>
    <row r="213" spans="2:31" ht="14.25" hidden="1" customHeight="1" outlineLevel="1" collapsed="1">
      <c r="B213" s="129" t="s">
        <v>1244</v>
      </c>
      <c r="J213" s="1352">
        <v>435</v>
      </c>
      <c r="K213" s="1352">
        <f>Segment!J486</f>
        <v>348</v>
      </c>
      <c r="L213" s="1678">
        <v>337</v>
      </c>
      <c r="M213" s="1352">
        <v>359</v>
      </c>
      <c r="N213" s="1352">
        <v>367</v>
      </c>
      <c r="O213" s="1352">
        <f>Segment!K486</f>
        <v>386</v>
      </c>
      <c r="P213" s="1678">
        <v>418</v>
      </c>
      <c r="Q213" s="1352">
        <v>468</v>
      </c>
      <c r="R213" s="1352">
        <v>453</v>
      </c>
      <c r="S213" s="2267">
        <f>Segment!L486</f>
        <v>496</v>
      </c>
      <c r="T213" s="1352">
        <v>502</v>
      </c>
      <c r="U213" s="1352">
        <v>616</v>
      </c>
      <c r="V213" s="1352">
        <v>624</v>
      </c>
      <c r="W213" s="2146">
        <f>Segment!M486</f>
        <v>657</v>
      </c>
      <c r="X213" s="1352">
        <v>681</v>
      </c>
      <c r="Y213" s="1352">
        <v>721</v>
      </c>
      <c r="Z213" s="1352">
        <v>749</v>
      </c>
    </row>
    <row r="214" spans="2:31" ht="14.25" hidden="1" customHeight="1" outlineLevel="1"/>
    <row r="215" spans="2:31" ht="14.25" customHeight="1" collapsed="1">
      <c r="B215" s="1348" t="s">
        <v>1481</v>
      </c>
      <c r="C215" s="1349"/>
      <c r="D215" s="1350" t="s">
        <v>1059</v>
      </c>
      <c r="E215" s="1350" t="s">
        <v>1060</v>
      </c>
      <c r="F215" s="1350" t="s">
        <v>1068</v>
      </c>
      <c r="G215" s="1350" t="s">
        <v>1073</v>
      </c>
      <c r="H215" s="1673" t="s">
        <v>1076</v>
      </c>
      <c r="I215" s="1350" t="s">
        <v>1093</v>
      </c>
      <c r="J215" s="1350" t="s">
        <v>1100</v>
      </c>
      <c r="K215" s="1350" t="s">
        <v>1231</v>
      </c>
      <c r="L215" s="1673" t="s">
        <v>1209</v>
      </c>
      <c r="M215" s="1350" t="s">
        <v>1232</v>
      </c>
      <c r="N215" s="1350" t="s">
        <v>1229</v>
      </c>
      <c r="O215" s="1350" t="s">
        <v>1276</v>
      </c>
      <c r="P215" s="1673" t="s">
        <v>1273</v>
      </c>
      <c r="Q215" s="1350" t="s">
        <v>1277</v>
      </c>
      <c r="R215" s="1350" t="s">
        <v>1278</v>
      </c>
      <c r="S215" s="1351" t="s">
        <v>1279</v>
      </c>
      <c r="T215" s="1350" t="s">
        <v>1275</v>
      </c>
      <c r="U215" s="1350" t="s">
        <v>1475</v>
      </c>
      <c r="V215" s="1350" t="s">
        <v>1549</v>
      </c>
      <c r="W215" s="1351" t="s">
        <v>1644</v>
      </c>
      <c r="X215" s="1350" t="str">
        <f>X203</f>
        <v>1Q25</v>
      </c>
      <c r="Y215" s="1350" t="str">
        <f>Y203</f>
        <v>2Q25</v>
      </c>
      <c r="Z215" s="1350" t="str">
        <f>Z203</f>
        <v>3Q25</v>
      </c>
      <c r="AA215" s="1351" t="str">
        <f t="shared" ref="AA215:AE215" si="137">AA203</f>
        <v>4Q25E</v>
      </c>
      <c r="AB215" s="1350" t="str">
        <f t="shared" si="137"/>
        <v>1Q26E</v>
      </c>
      <c r="AC215" s="1350" t="str">
        <f t="shared" si="137"/>
        <v>2Q26E</v>
      </c>
      <c r="AD215" s="1350" t="str">
        <f t="shared" si="137"/>
        <v>3Q26E</v>
      </c>
      <c r="AE215" s="1350" t="str">
        <f t="shared" si="137"/>
        <v>4Q26E</v>
      </c>
    </row>
    <row r="216" spans="2:31" s="133" customFormat="1" ht="14.25" customHeight="1">
      <c r="B216" s="133" t="s">
        <v>827</v>
      </c>
      <c r="H216" s="1679">
        <f>SUM(H217:H224)</f>
        <v>1706.6867000000002</v>
      </c>
      <c r="I216" s="1458">
        <f>SUM(I217:I224)</f>
        <v>1965.7981999999997</v>
      </c>
      <c r="J216" s="1458">
        <f>SUM(J217:J224)</f>
        <v>1876.7334000000001</v>
      </c>
      <c r="K216" s="1628">
        <f>Segment!J381-H216-I216-J216</f>
        <v>1414.6291401100002</v>
      </c>
      <c r="L216" s="1679">
        <f t="shared" ref="L216:R216" si="138">SUM(L217:L224)</f>
        <v>1999.2263</v>
      </c>
      <c r="M216" s="1458">
        <f t="shared" si="138"/>
        <v>2275.0351999999998</v>
      </c>
      <c r="N216" s="1458">
        <f t="shared" si="138"/>
        <v>2358.7460999999994</v>
      </c>
      <c r="O216" s="1628">
        <f>Segment!K381-L216-M216-N216</f>
        <v>1859.3348623100001</v>
      </c>
      <c r="P216" s="1679">
        <f t="shared" si="138"/>
        <v>2488.7453999999998</v>
      </c>
      <c r="Q216" s="1458">
        <f t="shared" si="138"/>
        <v>2966.2279000000003</v>
      </c>
      <c r="R216" s="1458">
        <f t="shared" si="138"/>
        <v>3178.77</v>
      </c>
      <c r="S216" s="2254">
        <f>Segment!L381-P216-Q216-R216</f>
        <v>2616.7409207099995</v>
      </c>
      <c r="T216" s="1458">
        <f>SUM(T217:T224)</f>
        <v>3478.3206999999998</v>
      </c>
      <c r="U216" s="1458">
        <f>SUM(U217:U224)</f>
        <v>4383.3204999999998</v>
      </c>
      <c r="V216" s="1458">
        <f>SUM(V217:V224)</f>
        <v>4683.75</v>
      </c>
      <c r="W216" s="2254">
        <f>Segment!M381-SUM(T216:V216)</f>
        <v>3276.3729416799997</v>
      </c>
      <c r="X216" s="1458">
        <f>SUM(X217:X224)</f>
        <v>4845.1673000000001</v>
      </c>
      <c r="Y216" s="1458">
        <f t="shared" ref="Y216" si="139">SUM(Y217:Y224)</f>
        <v>5885.3859000000002</v>
      </c>
      <c r="Z216" s="1458">
        <f>SUM(Z217:Z224)</f>
        <v>6103.6965999999993</v>
      </c>
      <c r="AA216" s="2254">
        <f>Segment!N381-SUM(X216:Z216)</f>
        <v>4133.9408020066294</v>
      </c>
    </row>
    <row r="217" spans="2:31" s="133" customFormat="1" ht="14.25" customHeight="1">
      <c r="B217" s="133" t="s">
        <v>1144</v>
      </c>
      <c r="F217" s="1459"/>
      <c r="G217" s="1459"/>
      <c r="H217" s="1680">
        <v>733.06989999999996</v>
      </c>
      <c r="I217" s="1459">
        <f>1654.635-H217</f>
        <v>921.56510000000003</v>
      </c>
      <c r="J217" s="1459">
        <f>2554.9987-I217-H217</f>
        <v>900.36370000000011</v>
      </c>
      <c r="K217" s="1304">
        <f>Segment!J382-SUM(H217:J217)</f>
        <v>644.07032373999982</v>
      </c>
      <c r="L217" s="1680">
        <v>784.86900000000003</v>
      </c>
      <c r="M217" s="1459">
        <f>1647.88-L217</f>
        <v>863.01100000000008</v>
      </c>
      <c r="N217" s="1459">
        <f>2672.1301-M217-L217</f>
        <v>1024.2500999999997</v>
      </c>
      <c r="O217" s="1304">
        <f>Segment!K382-SUM(L217:N217)</f>
        <v>681.86990000000014</v>
      </c>
      <c r="P217" s="1680">
        <v>841.77459999999996</v>
      </c>
      <c r="Q217" s="1459">
        <f>1858.1594-P217</f>
        <v>1016.3848</v>
      </c>
      <c r="R217" s="1459">
        <f>2939.4063-Q217-P217</f>
        <v>1081.2469000000001</v>
      </c>
      <c r="S217" s="2157">
        <f>Segment!L382-SUM(P217:R217)</f>
        <v>821.54783399999997</v>
      </c>
      <c r="T217" s="1345">
        <v>925.47059999999999</v>
      </c>
      <c r="U217" s="1459">
        <f>2110.7663-T217</f>
        <v>1185.2956999999997</v>
      </c>
      <c r="V217" s="1459">
        <f>3422.6971-U217-T217</f>
        <v>1311.9308000000001</v>
      </c>
      <c r="W217" s="2157">
        <f>Segment!M382-SUM(T217:V217)</f>
        <v>937.25434157999962</v>
      </c>
      <c r="X217" s="1345">
        <v>1125.1771000000001</v>
      </c>
      <c r="Y217" s="1459">
        <f>2545.8188-X217</f>
        <v>1420.6416999999999</v>
      </c>
      <c r="Z217" s="1459">
        <f>388492.02/100-Y217-X217</f>
        <v>1339.1014000000002</v>
      </c>
      <c r="AA217" s="2157">
        <f>Segment!N382-SUM(X217:Z217)</f>
        <v>962.49338096569227</v>
      </c>
    </row>
    <row r="218" spans="2:31" ht="14.25" customHeight="1">
      <c r="B218" s="129" t="s">
        <v>1157</v>
      </c>
      <c r="F218" s="1308"/>
      <c r="G218" s="1308"/>
      <c r="H218" s="1674">
        <v>201.71190000000001</v>
      </c>
      <c r="I218" s="1308">
        <f>432.553-H218</f>
        <v>230.84109999999998</v>
      </c>
      <c r="J218" s="1308">
        <f>612.3697-I218-H218</f>
        <v>179.81669999999997</v>
      </c>
      <c r="K218" s="1304">
        <f>Segment!J383-SUM(H218:J218)</f>
        <v>140.76410594000004</v>
      </c>
      <c r="L218" s="1674">
        <v>272.60599999999999</v>
      </c>
      <c r="M218" s="1308">
        <f>549.972-L218</f>
        <v>277.36599999999999</v>
      </c>
      <c r="N218" s="1308">
        <f>812.083-M218-L218</f>
        <v>262.11099999999999</v>
      </c>
      <c r="O218" s="1304">
        <f>Segment!K383-SUM(L218:N218)</f>
        <v>241.91700000000003</v>
      </c>
      <c r="P218" s="1674">
        <v>344.66699999999997</v>
      </c>
      <c r="Q218" s="1308">
        <f>703.8352-P218</f>
        <v>359.16820000000001</v>
      </c>
      <c r="R218" s="1308">
        <f>1118.2968-Q218-P218</f>
        <v>414.46160000000003</v>
      </c>
      <c r="S218" s="2157">
        <f>Segment!L383-SUM(P218:R218)</f>
        <v>281.80671184999983</v>
      </c>
      <c r="T218" s="1345">
        <v>532.12720000000002</v>
      </c>
      <c r="U218" s="1308">
        <f>1067.8308-T218</f>
        <v>535.70359999999994</v>
      </c>
      <c r="V218" s="1308">
        <f>1722.6719-U218-T218</f>
        <v>654.84109999999998</v>
      </c>
      <c r="W218" s="2157">
        <f>Segment!M383-SUM(T218:V218)</f>
        <v>351.88706425999999</v>
      </c>
      <c r="X218" s="1345">
        <v>684.1422</v>
      </c>
      <c r="Y218" s="1308">
        <f>1376.5681-X218</f>
        <v>692.42589999999996</v>
      </c>
      <c r="Z218" s="1308">
        <f>220760.33/100-Y218-X218</f>
        <v>831.0351999999998</v>
      </c>
      <c r="AA218" s="2157">
        <f>Segment!N383-SUM(X218:Z218)</f>
        <v>385.59540532499977</v>
      </c>
    </row>
    <row r="219" spans="2:31" ht="14.25" customHeight="1">
      <c r="B219" s="129" t="s">
        <v>1152</v>
      </c>
      <c r="F219" s="1308"/>
      <c r="G219" s="1308"/>
      <c r="H219" s="1674">
        <v>220.99549999999999</v>
      </c>
      <c r="I219" s="1308">
        <f>421.973-H219</f>
        <v>200.97750000000002</v>
      </c>
      <c r="J219" s="1308">
        <f>590.7675-I219-H219</f>
        <v>168.79450000000003</v>
      </c>
      <c r="K219" s="1304">
        <f>Segment!J384-SUM(H219:J219)</f>
        <v>114.88724259999992</v>
      </c>
      <c r="L219" s="1674">
        <v>261.05720000000002</v>
      </c>
      <c r="M219" s="1308">
        <f>479.845-L219</f>
        <v>218.7878</v>
      </c>
      <c r="N219" s="1308">
        <f>699.016-M219-L219</f>
        <v>219.17099999999994</v>
      </c>
      <c r="O219" s="1304">
        <f>Segment!K384-SUM(L219:N219)</f>
        <v>195.98400000000004</v>
      </c>
      <c r="P219" s="1674">
        <v>281.87130000000002</v>
      </c>
      <c r="Q219" s="1308">
        <f>513.3146-P219</f>
        <v>231.44330000000002</v>
      </c>
      <c r="R219" s="1308">
        <f>768.2889-Q219-P219</f>
        <v>254.97429999999997</v>
      </c>
      <c r="S219" s="2157">
        <f>Segment!L384-SUM(P219:R219)</f>
        <v>214.54389700000002</v>
      </c>
      <c r="T219" s="1345">
        <v>286.29880000000003</v>
      </c>
      <c r="U219" s="1308">
        <f>562.0888-T219</f>
        <v>275.78999999999996</v>
      </c>
      <c r="V219" s="1308">
        <f>936.2769-U219-T219</f>
        <v>374.18809999999996</v>
      </c>
      <c r="W219" s="2157">
        <f>Segment!M384-SUM(T219:V219)</f>
        <v>217.63273794000008</v>
      </c>
      <c r="X219" s="1345">
        <v>377.73199999999997</v>
      </c>
      <c r="Y219" s="1308">
        <f>739.5037-X219</f>
        <v>361.77170000000001</v>
      </c>
      <c r="Z219" s="1308">
        <f>114213.28/100-Y219-X219</f>
        <v>402.62910000000011</v>
      </c>
      <c r="AA219" s="2157">
        <f>Segment!N384-SUM(X219:Z219)</f>
        <v>242.55876552799987</v>
      </c>
    </row>
    <row r="220" spans="2:31" ht="14.25" customHeight="1">
      <c r="B220" s="129" t="s">
        <v>1156</v>
      </c>
      <c r="F220" s="1308"/>
      <c r="G220" s="1308"/>
      <c r="H220" s="1674">
        <v>178.10830000000001</v>
      </c>
      <c r="I220" s="1308">
        <f>385.774-H220</f>
        <v>207.66569999999999</v>
      </c>
      <c r="J220" s="1308">
        <f>613.071-I220-H220</f>
        <v>227.297</v>
      </c>
      <c r="K220" s="1304">
        <f>Segment!J385-SUM(H220:J220)</f>
        <v>158.59190556999999</v>
      </c>
      <c r="L220" s="1674">
        <v>240.131</v>
      </c>
      <c r="M220" s="1308">
        <f>564.715-L220</f>
        <v>324.58400000000006</v>
      </c>
      <c r="N220" s="1308">
        <f>831.7431-M220-L220</f>
        <v>267.02809999999999</v>
      </c>
      <c r="O220" s="1304">
        <f>Segment!K385-SUM(L220:N220)</f>
        <v>190.25689999999997</v>
      </c>
      <c r="P220" s="1674">
        <v>338.46440000000001</v>
      </c>
      <c r="Q220" s="1308">
        <f>754.0718-P220</f>
        <v>415.60740000000004</v>
      </c>
      <c r="R220" s="1308">
        <f>1202.2966-Q220-P220</f>
        <v>448.22479999999979</v>
      </c>
      <c r="S220" s="2157">
        <f>Segment!L385-SUM(P220:R220)</f>
        <v>314.02072200000021</v>
      </c>
      <c r="T220" s="1345">
        <v>501.10180000000003</v>
      </c>
      <c r="U220" s="1308">
        <f>1158.2482-T220</f>
        <v>657.14639999999997</v>
      </c>
      <c r="V220" s="1308">
        <f>1804.1517-U220-T220</f>
        <v>645.90349999999978</v>
      </c>
      <c r="W220" s="2157">
        <f>Segment!M385-SUM(T220:V220)</f>
        <v>396.43362462999994</v>
      </c>
      <c r="X220" s="1345">
        <v>655.56509999999992</v>
      </c>
      <c r="Y220" s="1308">
        <f>1536.0371-X220</f>
        <v>880.47200000000009</v>
      </c>
      <c r="Z220" s="1308">
        <f>239520.29/100-Y220-X220</f>
        <v>859.1658000000001</v>
      </c>
      <c r="AA220" s="2157">
        <f>Segment!N385-SUM(X220:Z220)</f>
        <v>575.58728825049957</v>
      </c>
    </row>
    <row r="221" spans="2:31" ht="14.25" customHeight="1">
      <c r="B221" s="129" t="s">
        <v>1153</v>
      </c>
      <c r="F221" s="1308"/>
      <c r="G221" s="1308"/>
      <c r="H221" s="1674">
        <v>131.11330000000001</v>
      </c>
      <c r="I221" s="1308">
        <f>226.5645-H221</f>
        <v>95.4512</v>
      </c>
      <c r="J221" s="1308">
        <f>333.814-I221-H221</f>
        <v>107.24950000000001</v>
      </c>
      <c r="K221" s="1304">
        <f>Segment!J386-SUM(H221:J221)</f>
        <v>97.923609999999996</v>
      </c>
      <c r="L221" s="1674">
        <v>154.79400000000001</v>
      </c>
      <c r="M221" s="1308">
        <f>328.663-L221</f>
        <v>173.869</v>
      </c>
      <c r="N221" s="1308">
        <f>498.3999-M221-L221</f>
        <v>169.73689999999996</v>
      </c>
      <c r="O221" s="1304">
        <f>Segment!K386-SUM(L221:N221)</f>
        <v>178.6001</v>
      </c>
      <c r="P221" s="1674">
        <v>229.70079999999999</v>
      </c>
      <c r="Q221" s="1308">
        <f>524.9099-P221</f>
        <v>295.20910000000003</v>
      </c>
      <c r="R221" s="1308">
        <f>817.6124-Q221-P221</f>
        <v>292.70249999999999</v>
      </c>
      <c r="S221" s="2157">
        <f>Segment!L386-SUM(P221:R221)</f>
        <v>297.60364550000008</v>
      </c>
      <c r="T221" s="1345">
        <v>385.34910000000002</v>
      </c>
      <c r="U221" s="1308">
        <f>917.4473-T221</f>
        <v>532.09820000000002</v>
      </c>
      <c r="V221" s="1308">
        <f>1361.3374-U221-T221</f>
        <v>443.89009999999985</v>
      </c>
      <c r="W221" s="2157">
        <f>Segment!M386-SUM(T221:V221)</f>
        <v>363.38754674999996</v>
      </c>
      <c r="X221" s="1345">
        <v>623.43129999999996</v>
      </c>
      <c r="Y221" s="1308">
        <f>1282.2172-X221</f>
        <v>658.78590000000008</v>
      </c>
      <c r="Z221" s="1308">
        <f>202712.06/100-Y221-X221</f>
        <v>744.90339999999992</v>
      </c>
      <c r="AA221" s="2157">
        <f>Segment!N386-SUM(X221:Z221)</f>
        <v>473.7305727874998</v>
      </c>
    </row>
    <row r="222" spans="2:31" ht="14.25" customHeight="1">
      <c r="B222" s="129" t="s">
        <v>1154</v>
      </c>
      <c r="F222" s="1308"/>
      <c r="G222" s="1308"/>
      <c r="H222" s="1674">
        <v>92.506</v>
      </c>
      <c r="I222" s="1308">
        <f>180.855-H222</f>
        <v>88.34899999999999</v>
      </c>
      <c r="J222" s="1308">
        <f>250.0323-I222-H222</f>
        <v>69.177300000000002</v>
      </c>
      <c r="K222" s="1304">
        <f>Segment!J387-SUM(H222:J222)</f>
        <v>89.429370190000014</v>
      </c>
      <c r="L222" s="1674">
        <v>106.9205</v>
      </c>
      <c r="M222" s="1308">
        <f>285.147-L222</f>
        <v>178.22649999999999</v>
      </c>
      <c r="N222" s="1308">
        <f>436.2131-M222-L222</f>
        <v>151.06610000000001</v>
      </c>
      <c r="O222" s="1304">
        <f>Segment!K387-SUM(L222:N222)</f>
        <v>176.7869</v>
      </c>
      <c r="P222" s="1674">
        <v>222.45079999999999</v>
      </c>
      <c r="Q222" s="1308">
        <f>495.5721-P222</f>
        <v>273.12130000000002</v>
      </c>
      <c r="R222" s="1308">
        <f>818.8163-Q222-P222</f>
        <v>323.24419999999998</v>
      </c>
      <c r="S222" s="2157">
        <f>Segment!L387-SUM(P222:R222)</f>
        <v>190.83523100000002</v>
      </c>
      <c r="T222" s="1345">
        <v>434.59280000000001</v>
      </c>
      <c r="U222" s="1308">
        <f>986.8143-T222</f>
        <v>552.22149999999999</v>
      </c>
      <c r="V222" s="1308">
        <f>1504.6339-U222-T222</f>
        <v>517.81960000000004</v>
      </c>
      <c r="W222" s="2157">
        <f>Segment!M387-SUM(T222:V222)</f>
        <v>351.60370167999986</v>
      </c>
      <c r="X222" s="1345">
        <v>746.07410000000004</v>
      </c>
      <c r="Y222" s="1308">
        <f>1707.5039-X222</f>
        <v>961.42979999999989</v>
      </c>
      <c r="Z222" s="1308">
        <f>260125.79/100-Y222-X222</f>
        <v>893.75400000000013</v>
      </c>
      <c r="AA222" s="2157">
        <f>Segment!N387-SUM(X222:Z222)</f>
        <v>554.34602285599976</v>
      </c>
    </row>
    <row r="223" spans="2:31" ht="14.25" hidden="1" customHeight="1" outlineLevel="1">
      <c r="F223" s="1308"/>
      <c r="G223" s="1308"/>
      <c r="H223" s="1674"/>
      <c r="I223" s="1308"/>
      <c r="J223" s="1308"/>
      <c r="K223" s="1304">
        <f>Segment!J388-Quarterly!J223</f>
        <v>0</v>
      </c>
      <c r="L223" s="1674"/>
      <c r="M223" s="1308"/>
      <c r="N223" s="1308"/>
      <c r="O223" s="1304">
        <f>Segment!K388-Quarterly!N223</f>
        <v>0</v>
      </c>
      <c r="P223" s="1674"/>
      <c r="Q223" s="1308"/>
      <c r="R223" s="1308"/>
      <c r="S223" s="2157">
        <f>Segment!L388-Quarterly!R223</f>
        <v>0</v>
      </c>
      <c r="T223" s="1345"/>
      <c r="U223" s="1308"/>
      <c r="V223" s="1308"/>
      <c r="W223" s="2157">
        <f>Segment!M388-Quarterly!V223</f>
        <v>0</v>
      </c>
      <c r="X223" s="1345">
        <v>0</v>
      </c>
      <c r="Y223" s="1308"/>
      <c r="Z223" s="1308"/>
      <c r="AA223" s="2157">
        <f>Segment!N388-Quarterly!Z223</f>
        <v>0</v>
      </c>
    </row>
    <row r="224" spans="2:31" ht="14.25" customHeight="1" collapsed="1">
      <c r="B224" s="129" t="s">
        <v>1244</v>
      </c>
      <c r="F224" s="1308"/>
      <c r="G224" s="1308"/>
      <c r="H224" s="1683">
        <f t="shared" ref="H224:O224" si="140">H225+H226</f>
        <v>149.18180000000001</v>
      </c>
      <c r="I224" s="1304">
        <f t="shared" si="140"/>
        <v>220.94859999999997</v>
      </c>
      <c r="J224" s="1304">
        <f t="shared" si="140"/>
        <v>224.03470000000004</v>
      </c>
      <c r="K224" s="1304">
        <f t="shared" si="140"/>
        <v>168.96258207</v>
      </c>
      <c r="L224" s="2074">
        <f t="shared" si="140"/>
        <v>178.8486</v>
      </c>
      <c r="M224" s="1628">
        <f t="shared" si="140"/>
        <v>239.1909</v>
      </c>
      <c r="N224" s="1628">
        <f t="shared" si="140"/>
        <v>265.38290000000001</v>
      </c>
      <c r="O224" s="1628">
        <f t="shared" si="140"/>
        <v>193.92006231000002</v>
      </c>
      <c r="P224" s="1680">
        <v>229.81649999999999</v>
      </c>
      <c r="Q224" s="1459">
        <f>605.1103-P224</f>
        <v>375.29380000000003</v>
      </c>
      <c r="R224" s="1459">
        <f>969.026-P224-Q224</f>
        <v>363.9156999999999</v>
      </c>
      <c r="S224" s="2254">
        <f>S225+S226</f>
        <v>496.38287936000017</v>
      </c>
      <c r="T224" s="2258">
        <v>413.38040000000001</v>
      </c>
      <c r="U224" s="1459">
        <f>869.7882+188.6573-T224</f>
        <v>645.06510000000003</v>
      </c>
      <c r="V224" s="1459">
        <f>327.7809+1465.8414-U224-T224</f>
        <v>735.17679999999996</v>
      </c>
      <c r="W224" s="2254">
        <f>W225+W226</f>
        <v>658.17392483999993</v>
      </c>
      <c r="X224" s="2238">
        <f>X225+X226</f>
        <v>633.04550000000006</v>
      </c>
      <c r="Y224" s="2169">
        <f>1252.7437+290.1607-X224</f>
        <v>909.85889999999984</v>
      </c>
      <c r="Z224" s="1459">
        <f>208798.67/100+48802.54/100-Y224-X224</f>
        <v>1033.1077</v>
      </c>
      <c r="AA224" s="2254">
        <f>AA225+AA226</f>
        <v>939.62936629394017</v>
      </c>
    </row>
    <row r="225" spans="2:31" ht="14.25" customHeight="1">
      <c r="B225" s="144" t="s">
        <v>1482</v>
      </c>
      <c r="F225" s="1308"/>
      <c r="G225" s="1308"/>
      <c r="H225" s="1674">
        <v>13.806800000000001</v>
      </c>
      <c r="I225" s="1308">
        <f>45.869-H225</f>
        <v>32.062199999999997</v>
      </c>
      <c r="J225" s="1308">
        <f>76.3881-I225-H225</f>
        <v>30.519099999999995</v>
      </c>
      <c r="K225" s="1304">
        <f>Segment!J389-SUM(H225:J225)</f>
        <v>30.447680680000005</v>
      </c>
      <c r="L225" s="1674">
        <v>27.9986</v>
      </c>
      <c r="M225" s="1308">
        <f>71.477-L225</f>
        <v>43.478400000000008</v>
      </c>
      <c r="N225" s="1308">
        <f>112.8118-M225-L225</f>
        <v>41.334800000000001</v>
      </c>
      <c r="O225" s="1304">
        <f>Segment!K389-SUM(L225:N225)</f>
        <v>29.286358509999985</v>
      </c>
      <c r="P225" s="1674">
        <v>33.588799999999999</v>
      </c>
      <c r="Q225" s="1308">
        <f>95.9817-P225</f>
        <v>62.392900000000004</v>
      </c>
      <c r="R225" s="1308">
        <f>153.7011-P225-Q225</f>
        <v>57.7194</v>
      </c>
      <c r="S225" s="2157">
        <f>Segment!L389-SUM(P225:R225)</f>
        <v>51.606819360000003</v>
      </c>
      <c r="T225" s="1345">
        <v>67.266400000000004</v>
      </c>
      <c r="U225" s="1308">
        <f>188.6573-T225</f>
        <v>121.39089999999999</v>
      </c>
      <c r="V225" s="1308">
        <f>327.7809-U225-T225</f>
        <v>139.12359999999998</v>
      </c>
      <c r="W225" s="2157">
        <f>Segment!M389-SUM(T225:V225)</f>
        <v>117.63679389999999</v>
      </c>
      <c r="X225" s="1345">
        <v>103.7105</v>
      </c>
      <c r="Y225" s="1308">
        <f>290.1607-X225</f>
        <v>186.45020000000002</v>
      </c>
      <c r="Z225" s="1308">
        <f>48802.54/100-Y225-X225</f>
        <v>197.8647</v>
      </c>
      <c r="AA225" s="2157">
        <f>Segment!N389-SUM(X225:Z225)</f>
        <v>135.55937145999997</v>
      </c>
    </row>
    <row r="226" spans="2:31" ht="14.25" customHeight="1">
      <c r="B226" s="144" t="s">
        <v>1483</v>
      </c>
      <c r="H226" s="1674">
        <v>135.375</v>
      </c>
      <c r="I226" s="1308">
        <f>324.2614-H226</f>
        <v>188.88639999999998</v>
      </c>
      <c r="J226" s="1308">
        <f>517.777-I226-H226</f>
        <v>193.51560000000006</v>
      </c>
      <c r="K226" s="1304">
        <f>Segment!J390-SUM(H226:J226)</f>
        <v>138.51490138999998</v>
      </c>
      <c r="L226" s="1674">
        <v>150.85</v>
      </c>
      <c r="M226" s="1308">
        <f>346.5625-L226</f>
        <v>195.71250000000001</v>
      </c>
      <c r="N226" s="1308">
        <f>570.6106-M226-L226</f>
        <v>224.04810000000001</v>
      </c>
      <c r="O226" s="1304">
        <f>Segment!K390-SUM(L226:N226)</f>
        <v>164.63370380000003</v>
      </c>
      <c r="P226" s="1677">
        <f t="shared" ref="P226:U226" si="141">P224-P225</f>
        <v>196.2277</v>
      </c>
      <c r="Q226" s="1305">
        <f t="shared" si="141"/>
        <v>312.90090000000004</v>
      </c>
      <c r="R226" s="1305">
        <f t="shared" si="141"/>
        <v>306.19629999999989</v>
      </c>
      <c r="S226" s="2157">
        <f>Segment!L390-SUM(P226:R226)</f>
        <v>444.77606000000014</v>
      </c>
      <c r="T226" s="1305">
        <f t="shared" si="141"/>
        <v>346.11400000000003</v>
      </c>
      <c r="U226" s="1305">
        <f t="shared" si="141"/>
        <v>523.67420000000004</v>
      </c>
      <c r="V226" s="1305">
        <f>V224-V225</f>
        <v>596.05319999999995</v>
      </c>
      <c r="W226" s="2157">
        <f>Segment!M390-SUM(T226:V226)</f>
        <v>540.53713094</v>
      </c>
      <c r="X226" s="1345">
        <v>529.33500000000004</v>
      </c>
      <c r="Y226" s="1305">
        <f t="shared" ref="Y226" si="142">Y224-Y225</f>
        <v>723.40869999999984</v>
      </c>
      <c r="Z226" s="1305">
        <f>Z224-Z225</f>
        <v>835.24300000000005</v>
      </c>
      <c r="AA226" s="2157">
        <f>Segment!N390-SUM(X226:Z226)</f>
        <v>804.0699948339402</v>
      </c>
    </row>
    <row r="227" spans="2:31" ht="14.25" customHeight="1">
      <c r="V227" s="2272"/>
      <c r="Z227" s="1305"/>
    </row>
    <row r="228" spans="2:31" ht="14.25" customHeight="1">
      <c r="B228" s="129" t="s">
        <v>1521</v>
      </c>
      <c r="H228" s="1685"/>
      <c r="I228" s="1456"/>
      <c r="J228" s="1456"/>
      <c r="K228" s="1456">
        <f>L228-0.07</f>
        <v>2.0900000000000003</v>
      </c>
      <c r="L228" s="1685">
        <v>2.16</v>
      </c>
      <c r="T228" s="1345"/>
      <c r="U228" s="1305"/>
      <c r="V228" s="2296"/>
      <c r="Z228" s="1305"/>
    </row>
    <row r="232" spans="2:31" ht="14.25" customHeight="1">
      <c r="B232" s="1348" t="s">
        <v>1501</v>
      </c>
      <c r="C232" s="1349"/>
      <c r="D232" s="1350" t="s">
        <v>1059</v>
      </c>
      <c r="E232" s="1350" t="s">
        <v>1060</v>
      </c>
      <c r="F232" s="1350" t="s">
        <v>1068</v>
      </c>
      <c r="G232" s="1350" t="s">
        <v>1073</v>
      </c>
      <c r="H232" s="1673" t="s">
        <v>1076</v>
      </c>
      <c r="I232" s="1350" t="s">
        <v>1093</v>
      </c>
      <c r="J232" s="1350" t="s">
        <v>1100</v>
      </c>
      <c r="K232" s="1350" t="s">
        <v>1231</v>
      </c>
      <c r="L232" s="1673" t="s">
        <v>1209</v>
      </c>
      <c r="M232" s="1350" t="s">
        <v>1232</v>
      </c>
      <c r="N232" s="1350" t="s">
        <v>1229</v>
      </c>
      <c r="O232" s="1350" t="s">
        <v>1276</v>
      </c>
      <c r="P232" s="1673" t="s">
        <v>1273</v>
      </c>
      <c r="Q232" s="1350" t="s">
        <v>1277</v>
      </c>
      <c r="R232" s="1350" t="s">
        <v>1278</v>
      </c>
      <c r="S232" s="1351" t="s">
        <v>1279</v>
      </c>
      <c r="T232" s="1350" t="s">
        <v>1275</v>
      </c>
      <c r="U232" s="1350" t="s">
        <v>1475</v>
      </c>
      <c r="V232" s="1350" t="s">
        <v>1549</v>
      </c>
      <c r="W232" s="1351" t="str">
        <f>W215</f>
        <v>4Q24</v>
      </c>
      <c r="X232" s="1350" t="s">
        <v>1758</v>
      </c>
      <c r="Y232" s="1351" t="s">
        <v>1761</v>
      </c>
      <c r="Z232" s="1350" t="s">
        <v>1804</v>
      </c>
      <c r="AA232" s="1351" t="s">
        <v>1647</v>
      </c>
      <c r="AB232" s="2130"/>
      <c r="AC232" s="2130"/>
      <c r="AD232" s="2130"/>
      <c r="AE232" s="2130"/>
    </row>
    <row r="233" spans="2:31" s="133" customFormat="1" ht="14.25" customHeight="1">
      <c r="B233" s="133" t="s">
        <v>827</v>
      </c>
      <c r="H233" s="1686"/>
      <c r="L233" s="1681">
        <f t="shared" ref="L233:AA243" si="143">L216/H216-1</f>
        <v>0.17140790984074572</v>
      </c>
      <c r="M233" s="1457">
        <f t="shared" si="143"/>
        <v>0.15730861896200743</v>
      </c>
      <c r="N233" s="1457">
        <f t="shared" si="143"/>
        <v>0.25683600025448428</v>
      </c>
      <c r="O233" s="1457">
        <f t="shared" si="143"/>
        <v>0.31436205404719719</v>
      </c>
      <c r="P233" s="1681">
        <f t="shared" si="143"/>
        <v>0.2448542718750748</v>
      </c>
      <c r="Q233" s="1457">
        <f t="shared" si="143"/>
        <v>0.30381626622744151</v>
      </c>
      <c r="R233" s="1457">
        <f t="shared" si="143"/>
        <v>0.34765246670678152</v>
      </c>
      <c r="S233" s="2255">
        <f t="shared" si="143"/>
        <v>0.40735322816408304</v>
      </c>
      <c r="T233" s="1457">
        <f>T216/P216-1</f>
        <v>0.39762014226123732</v>
      </c>
      <c r="U233" s="2170">
        <v>0.4777086076224959</v>
      </c>
      <c r="V233" s="1457">
        <f t="shared" si="143"/>
        <v>0.47344727677686649</v>
      </c>
      <c r="W233" s="2255">
        <f t="shared" si="143"/>
        <v>0.25208151703112525</v>
      </c>
      <c r="X233" s="1457">
        <f>X216/T216-1</f>
        <v>0.39296163806862339</v>
      </c>
      <c r="Y233" s="2166">
        <f>Y216/U216-1</f>
        <v>0.34267752038665678</v>
      </c>
      <c r="Z233" s="1457">
        <f t="shared" si="143"/>
        <v>0.30316447291166249</v>
      </c>
      <c r="AA233" s="1457">
        <f t="shared" si="143"/>
        <v>0.26174305416125843</v>
      </c>
      <c r="AB233" s="1457"/>
    </row>
    <row r="234" spans="2:31" s="133" customFormat="1" ht="14.25" customHeight="1">
      <c r="B234" s="133" t="s">
        <v>1144</v>
      </c>
      <c r="H234" s="1686"/>
      <c r="L234" s="1681">
        <f t="shared" si="143"/>
        <v>7.0660519549363698E-2</v>
      </c>
      <c r="M234" s="1457">
        <f t="shared" si="143"/>
        <v>-6.353767086014861E-2</v>
      </c>
      <c r="N234" s="1457">
        <f t="shared" si="143"/>
        <v>0.13759595150270898</v>
      </c>
      <c r="O234" s="1457">
        <f t="shared" si="143"/>
        <v>5.868858549561029E-2</v>
      </c>
      <c r="P234" s="1681">
        <f t="shared" si="143"/>
        <v>7.250330946947825E-2</v>
      </c>
      <c r="Q234" s="1457">
        <f t="shared" si="143"/>
        <v>0.17771940334480085</v>
      </c>
      <c r="R234" s="1457">
        <f t="shared" si="143"/>
        <v>5.5647346287786892E-2</v>
      </c>
      <c r="S234" s="2255">
        <f t="shared" si="143"/>
        <v>0.20484543165785696</v>
      </c>
      <c r="T234" s="1457">
        <f t="shared" si="143"/>
        <v>9.9428041663409683E-2</v>
      </c>
      <c r="U234" s="2170">
        <v>0.16970560756123088</v>
      </c>
      <c r="V234" s="1457">
        <f t="shared" si="143"/>
        <v>0.21334988336151528</v>
      </c>
      <c r="W234" s="2255">
        <f t="shared" si="143"/>
        <v>0.14083964778610758</v>
      </c>
      <c r="X234" s="1457">
        <f t="shared" si="143"/>
        <v>0.21578913473858607</v>
      </c>
      <c r="Y234" s="1457">
        <f t="shared" si="143"/>
        <v>0.19855467289723583</v>
      </c>
      <c r="Z234" s="1457">
        <f t="shared" si="143"/>
        <v>2.0710391127336969E-2</v>
      </c>
      <c r="AA234" s="1457">
        <f t="shared" si="143"/>
        <v>2.6928698290311859E-2</v>
      </c>
      <c r="AB234" s="1457"/>
    </row>
    <row r="235" spans="2:31" ht="14.25" customHeight="1">
      <c r="B235" s="129" t="s">
        <v>1157</v>
      </c>
      <c r="L235" s="1682">
        <f t="shared" si="143"/>
        <v>0.35146215964452265</v>
      </c>
      <c r="M235" s="125">
        <f t="shared" si="143"/>
        <v>0.20154513212768443</v>
      </c>
      <c r="N235" s="125">
        <f t="shared" si="143"/>
        <v>0.45765660252913132</v>
      </c>
      <c r="O235" s="125">
        <f t="shared" si="143"/>
        <v>0.71859863268776691</v>
      </c>
      <c r="P235" s="1682">
        <f t="shared" si="143"/>
        <v>0.26434121039155412</v>
      </c>
      <c r="Q235" s="125">
        <f t="shared" si="143"/>
        <v>0.29492511699343127</v>
      </c>
      <c r="R235" s="125">
        <f t="shared" si="143"/>
        <v>0.58124458721686634</v>
      </c>
      <c r="S235" s="2196">
        <f t="shared" si="143"/>
        <v>0.16489007324826188</v>
      </c>
      <c r="T235" s="125">
        <f t="shared" si="143"/>
        <v>0.54388786858039806</v>
      </c>
      <c r="U235" s="2171">
        <v>0.49441821408465469</v>
      </c>
      <c r="V235" s="125">
        <f t="shared" si="143"/>
        <v>0.57998014773865636</v>
      </c>
      <c r="W235" s="2196">
        <f t="shared" si="143"/>
        <v>0.24868233957217645</v>
      </c>
      <c r="X235" s="125">
        <f t="shared" si="143"/>
        <v>0.28567417715162846</v>
      </c>
      <c r="Y235" s="125">
        <f t="shared" si="143"/>
        <v>0.2925541288130229</v>
      </c>
      <c r="Z235" s="125">
        <f t="shared" si="143"/>
        <v>0.26906389962389321</v>
      </c>
      <c r="AA235" s="125">
        <f t="shared" si="143"/>
        <v>9.5793066834913843E-2</v>
      </c>
      <c r="AB235" s="125"/>
    </row>
    <row r="236" spans="2:31" ht="14.25" customHeight="1">
      <c r="B236" s="129" t="s">
        <v>1152</v>
      </c>
      <c r="L236" s="1682">
        <f t="shared" si="143"/>
        <v>0.18127835182164365</v>
      </c>
      <c r="M236" s="125">
        <f t="shared" si="143"/>
        <v>8.8618377679093419E-2</v>
      </c>
      <c r="N236" s="125">
        <f t="shared" si="143"/>
        <v>0.29844870537843304</v>
      </c>
      <c r="O236" s="125">
        <f t="shared" si="143"/>
        <v>0.70588131079403382</v>
      </c>
      <c r="P236" s="1682">
        <f t="shared" si="143"/>
        <v>7.9730036175979846E-2</v>
      </c>
      <c r="Q236" s="125">
        <f t="shared" si="143"/>
        <v>5.7843718891090079E-2</v>
      </c>
      <c r="R236" s="125">
        <f t="shared" si="143"/>
        <v>0.16335783475003551</v>
      </c>
      <c r="S236" s="2196">
        <f t="shared" si="143"/>
        <v>9.4701082741448062E-2</v>
      </c>
      <c r="T236" s="125">
        <f t="shared" si="143"/>
        <v>1.5707523256181188E-2</v>
      </c>
      <c r="U236" s="2171">
        <v>0.19160934881243019</v>
      </c>
      <c r="V236" s="125">
        <f t="shared" si="143"/>
        <v>0.467552219968836</v>
      </c>
      <c r="W236" s="2196">
        <f t="shared" si="143"/>
        <v>1.4397244494911199E-2</v>
      </c>
      <c r="X236" s="125">
        <f t="shared" si="143"/>
        <v>0.3193628474866117</v>
      </c>
      <c r="Y236" s="125">
        <f t="shared" si="143"/>
        <v>0.31176511113528438</v>
      </c>
      <c r="Z236" s="125">
        <f t="shared" si="143"/>
        <v>7.6007227381095666E-2</v>
      </c>
      <c r="AA236" s="125">
        <f t="shared" si="143"/>
        <v>0.11453252770670797</v>
      </c>
      <c r="AB236" s="125"/>
    </row>
    <row r="237" spans="2:31" ht="14.25" customHeight="1">
      <c r="B237" s="129" t="s">
        <v>1156</v>
      </c>
      <c r="L237" s="1682">
        <f t="shared" si="143"/>
        <v>0.34823026214948993</v>
      </c>
      <c r="M237" s="125">
        <f t="shared" si="143"/>
        <v>0.56301209106751893</v>
      </c>
      <c r="N237" s="125">
        <f t="shared" si="143"/>
        <v>0.17479817155527799</v>
      </c>
      <c r="O237" s="125">
        <f t="shared" si="143"/>
        <v>0.19966337068838325</v>
      </c>
      <c r="P237" s="1682">
        <f t="shared" si="143"/>
        <v>0.40949898180576438</v>
      </c>
      <c r="Q237" s="125">
        <f t="shared" si="143"/>
        <v>0.28043095161807097</v>
      </c>
      <c r="R237" s="125">
        <f t="shared" si="143"/>
        <v>0.67856791101760372</v>
      </c>
      <c r="S237" s="2196">
        <f t="shared" si="143"/>
        <v>0.65050898022621118</v>
      </c>
      <c r="T237" s="125">
        <f t="shared" si="143"/>
        <v>0.48051552836871481</v>
      </c>
      <c r="U237" s="2171">
        <v>0.58099591104489479</v>
      </c>
      <c r="V237" s="125">
        <f t="shared" si="143"/>
        <v>0.44102579776933371</v>
      </c>
      <c r="W237" s="2196">
        <f t="shared" si="143"/>
        <v>0.2624441537014226</v>
      </c>
      <c r="X237" s="125">
        <f t="shared" si="143"/>
        <v>0.30824734614802796</v>
      </c>
      <c r="Y237" s="125">
        <f t="shared" si="143"/>
        <v>0.33984147215901994</v>
      </c>
      <c r="Z237" s="125">
        <f t="shared" si="143"/>
        <v>0.33017672144523202</v>
      </c>
      <c r="AA237" s="125">
        <f t="shared" si="143"/>
        <v>0.45191339101900763</v>
      </c>
      <c r="AB237" s="125"/>
    </row>
    <row r="238" spans="2:31" ht="14.25" customHeight="1">
      <c r="B238" s="129" t="s">
        <v>1153</v>
      </c>
      <c r="L238" s="1682">
        <f t="shared" si="143"/>
        <v>0.18061249316430894</v>
      </c>
      <c r="M238" s="125">
        <f t="shared" si="143"/>
        <v>0.82154860284627107</v>
      </c>
      <c r="N238" s="125">
        <f t="shared" si="143"/>
        <v>0.58263581648399243</v>
      </c>
      <c r="O238" s="125">
        <f t="shared" si="143"/>
        <v>0.82387168937092903</v>
      </c>
      <c r="P238" s="1682">
        <f t="shared" si="143"/>
        <v>0.4839128131581325</v>
      </c>
      <c r="Q238" s="125">
        <f t="shared" si="143"/>
        <v>0.69788231369594378</v>
      </c>
      <c r="R238" s="125">
        <f t="shared" si="143"/>
        <v>0.72444824902540383</v>
      </c>
      <c r="S238" s="2196">
        <f t="shared" si="143"/>
        <v>0.66631287160533548</v>
      </c>
      <c r="T238" s="125">
        <f t="shared" si="143"/>
        <v>0.67761322555254511</v>
      </c>
      <c r="U238" s="2171">
        <v>0.81642537442104568</v>
      </c>
      <c r="V238" s="125">
        <f t="shared" si="143"/>
        <v>0.51652309085163228</v>
      </c>
      <c r="W238" s="2196">
        <f t="shared" si="143"/>
        <v>0.22104534754430571</v>
      </c>
      <c r="X238" s="125">
        <f t="shared" si="143"/>
        <v>0.61783510069181413</v>
      </c>
      <c r="Y238" s="125">
        <f t="shared" si="143"/>
        <v>0.23809082609187571</v>
      </c>
      <c r="Z238" s="125">
        <f t="shared" si="143"/>
        <v>0.67812573427521849</v>
      </c>
      <c r="AA238" s="125">
        <f t="shared" si="143"/>
        <v>0.30365109378228805</v>
      </c>
      <c r="AB238" s="125"/>
    </row>
    <row r="239" spans="2:31" ht="14.25" customHeight="1">
      <c r="B239" s="129" t="s">
        <v>1154</v>
      </c>
      <c r="L239" s="1682">
        <f t="shared" si="143"/>
        <v>0.1558223250383759</v>
      </c>
      <c r="M239" s="125">
        <f t="shared" si="143"/>
        <v>1.017300705157953</v>
      </c>
      <c r="N239" s="125">
        <f t="shared" si="143"/>
        <v>1.1837524737160892</v>
      </c>
      <c r="O239" s="125">
        <f t="shared" si="143"/>
        <v>0.97683266274157776</v>
      </c>
      <c r="P239" s="1682">
        <f t="shared" si="143"/>
        <v>1.0805252500689764</v>
      </c>
      <c r="Q239" s="125">
        <f t="shared" si="143"/>
        <v>0.53243933982881364</v>
      </c>
      <c r="R239" s="125">
        <f t="shared" si="143"/>
        <v>1.1397533927201402</v>
      </c>
      <c r="S239" s="2196">
        <f t="shared" si="143"/>
        <v>7.9464773690810953E-2</v>
      </c>
      <c r="T239" s="125">
        <f t="shared" si="143"/>
        <v>0.95365806731196301</v>
      </c>
      <c r="U239" s="2171">
        <v>1.0221352197723133</v>
      </c>
      <c r="V239" s="125">
        <f t="shared" si="143"/>
        <v>0.60194552601407869</v>
      </c>
      <c r="W239" s="2196">
        <f t="shared" si="143"/>
        <v>0.84244649081594281</v>
      </c>
      <c r="X239" s="125">
        <f t="shared" si="143"/>
        <v>0.71671988123135044</v>
      </c>
      <c r="Y239" s="125">
        <f t="shared" si="143"/>
        <v>0.74102203554189749</v>
      </c>
      <c r="Z239" s="125">
        <f t="shared" si="143"/>
        <v>0.72599492178357106</v>
      </c>
      <c r="AA239" s="125">
        <f t="shared" si="143"/>
        <v>0.57662169143065212</v>
      </c>
      <c r="AB239" s="125"/>
    </row>
    <row r="240" spans="2:31" ht="14.25" hidden="1" customHeight="1">
      <c r="L240" s="1682"/>
      <c r="M240" s="125"/>
      <c r="N240" s="125"/>
      <c r="O240" s="125"/>
      <c r="P240" s="1682"/>
      <c r="Q240" s="125"/>
      <c r="R240" s="125"/>
      <c r="S240" s="2196"/>
      <c r="T240" s="125"/>
      <c r="U240" s="2171"/>
      <c r="V240" s="125"/>
      <c r="W240" s="2196"/>
      <c r="X240" s="125"/>
      <c r="Y240" s="125"/>
      <c r="Z240" s="125"/>
      <c r="AA240" s="125"/>
      <c r="AB240" s="125"/>
    </row>
    <row r="241" spans="2:31" ht="14.25" customHeight="1">
      <c r="B241" s="129" t="s">
        <v>1244</v>
      </c>
      <c r="L241" s="1682">
        <f t="shared" ref="L241:S243" si="144">L224/H224-1</f>
        <v>0.19886340022710547</v>
      </c>
      <c r="M241" s="125">
        <f t="shared" si="144"/>
        <v>8.2563546453790826E-2</v>
      </c>
      <c r="N241" s="125">
        <f t="shared" si="144"/>
        <v>0.18456158800400102</v>
      </c>
      <c r="O241" s="125">
        <f t="shared" si="144"/>
        <v>0.14771010204886847</v>
      </c>
      <c r="P241" s="1682">
        <f t="shared" si="144"/>
        <v>0.28497790868924877</v>
      </c>
      <c r="Q241" s="125">
        <f t="shared" si="144"/>
        <v>0.56901370411667007</v>
      </c>
      <c r="R241" s="125">
        <f t="shared" si="144"/>
        <v>0.37128541439557661</v>
      </c>
      <c r="S241" s="2196">
        <f t="shared" si="144"/>
        <v>1.5597293722321726</v>
      </c>
      <c r="T241" s="125">
        <f t="shared" si="143"/>
        <v>0.79874116958529973</v>
      </c>
      <c r="U241" s="2171">
        <v>0.69527154458720042</v>
      </c>
      <c r="V241" s="125">
        <f t="shared" si="143"/>
        <v>1.0201843448908638</v>
      </c>
      <c r="W241" s="2196">
        <f t="shared" si="143"/>
        <v>0.32594001970535591</v>
      </c>
      <c r="X241" s="125">
        <f t="shared" si="143"/>
        <v>0.53138731299306907</v>
      </c>
      <c r="Y241" s="125">
        <f>Y224/U224-1</f>
        <v>0.41049159224394538</v>
      </c>
      <c r="Z241" s="125">
        <f t="shared" si="143"/>
        <v>0.40525068255690333</v>
      </c>
      <c r="AA241" s="125">
        <f t="shared" si="143"/>
        <v>0.4276307991422803</v>
      </c>
      <c r="AB241" s="125"/>
    </row>
    <row r="242" spans="2:31" ht="14.25" customHeight="1">
      <c r="B242" s="144" t="s">
        <v>1482</v>
      </c>
      <c r="L242" s="1682">
        <f t="shared" si="144"/>
        <v>1.0278848103832892</v>
      </c>
      <c r="M242" s="125">
        <f t="shared" si="144"/>
        <v>0.35606415030783944</v>
      </c>
      <c r="N242" s="125">
        <f t="shared" si="144"/>
        <v>0.35439118453689678</v>
      </c>
      <c r="O242" s="125">
        <f t="shared" si="144"/>
        <v>-3.81415642854811E-2</v>
      </c>
      <c r="P242" s="1682">
        <f t="shared" si="144"/>
        <v>0.19965998299914989</v>
      </c>
      <c r="Q242" s="125">
        <f t="shared" si="144"/>
        <v>0.43503210789725455</v>
      </c>
      <c r="R242" s="125">
        <f t="shared" si="144"/>
        <v>0.39638754753863559</v>
      </c>
      <c r="S242" s="2196">
        <f t="shared" si="144"/>
        <v>0.76214531220665682</v>
      </c>
      <c r="T242" s="125">
        <f t="shared" si="143"/>
        <v>1.0026437383889868</v>
      </c>
      <c r="U242" s="2171">
        <v>0.94558836021406245</v>
      </c>
      <c r="V242" s="125">
        <f t="shared" si="143"/>
        <v>1.4103438358680096</v>
      </c>
      <c r="W242" s="2196">
        <f t="shared" si="143"/>
        <v>1.2794815754752604</v>
      </c>
      <c r="X242" s="125">
        <f t="shared" si="143"/>
        <v>0.54178757893985696</v>
      </c>
      <c r="Y242" s="125">
        <f>Y225/U225-1</f>
        <v>0.53594874080347088</v>
      </c>
      <c r="Z242" s="125">
        <f t="shared" si="143"/>
        <v>0.42222239792529836</v>
      </c>
      <c r="AA242" s="125">
        <f t="shared" si="143"/>
        <v>0.15235520253327794</v>
      </c>
      <c r="AB242" s="125"/>
    </row>
    <row r="243" spans="2:31" ht="14.25" customHeight="1">
      <c r="B243" s="144" t="s">
        <v>1483</v>
      </c>
      <c r="L243" s="1682">
        <f t="shared" si="144"/>
        <v>0.11431209602954762</v>
      </c>
      <c r="M243" s="125">
        <f t="shared" si="144"/>
        <v>3.6138652650482106E-2</v>
      </c>
      <c r="N243" s="125">
        <f t="shared" si="144"/>
        <v>0.15777797758940326</v>
      </c>
      <c r="O243" s="125">
        <f t="shared" si="144"/>
        <v>0.1885631231578504</v>
      </c>
      <c r="P243" s="1682">
        <f t="shared" si="144"/>
        <v>0.30081339078554858</v>
      </c>
      <c r="Q243" s="125">
        <f t="shared" si="144"/>
        <v>0.59877831002107706</v>
      </c>
      <c r="R243" s="125">
        <f t="shared" si="144"/>
        <v>0.36665430325006043</v>
      </c>
      <c r="S243" s="2196">
        <f t="shared" si="144"/>
        <v>1.7016099968225342</v>
      </c>
      <c r="T243" s="125">
        <f t="shared" si="143"/>
        <v>0.76383864255658107</v>
      </c>
      <c r="U243" s="2171">
        <v>0.64535800312495062</v>
      </c>
      <c r="V243" s="125">
        <f t="shared" si="143"/>
        <v>0.94663750019187098</v>
      </c>
      <c r="W243" s="2196">
        <f t="shared" si="143"/>
        <v>0.21530176543224888</v>
      </c>
      <c r="X243" s="125">
        <f t="shared" si="143"/>
        <v>0.52936604702496859</v>
      </c>
      <c r="Y243" s="125">
        <f t="shared" si="143"/>
        <v>0.38140985368383573</v>
      </c>
      <c r="Z243" s="125">
        <f t="shared" si="143"/>
        <v>0.40128934799779636</v>
      </c>
      <c r="AA243" s="125">
        <f t="shared" si="143"/>
        <v>0.48753887348248148</v>
      </c>
      <c r="AB243" s="125"/>
    </row>
    <row r="245" spans="2:31" ht="14.25" customHeight="1">
      <c r="B245" s="1348" t="s">
        <v>1502</v>
      </c>
      <c r="C245" s="1349"/>
      <c r="D245" s="1350" t="s">
        <v>1059</v>
      </c>
      <c r="E245" s="1350" t="s">
        <v>1060</v>
      </c>
      <c r="F245" s="1350" t="s">
        <v>1068</v>
      </c>
      <c r="G245" s="1350" t="s">
        <v>1073</v>
      </c>
      <c r="H245" s="1673" t="s">
        <v>1076</v>
      </c>
      <c r="I245" s="1350" t="s">
        <v>1093</v>
      </c>
      <c r="J245" s="1350" t="s">
        <v>1100</v>
      </c>
      <c r="K245" s="1350" t="s">
        <v>1231</v>
      </c>
      <c r="L245" s="1673" t="s">
        <v>1209</v>
      </c>
      <c r="M245" s="1350" t="s">
        <v>1232</v>
      </c>
      <c r="N245" s="1350" t="s">
        <v>1229</v>
      </c>
      <c r="O245" s="1350" t="s">
        <v>1276</v>
      </c>
      <c r="P245" s="1673" t="s">
        <v>1273</v>
      </c>
      <c r="Q245" s="1350" t="s">
        <v>1277</v>
      </c>
      <c r="R245" s="1350" t="s">
        <v>1278</v>
      </c>
      <c r="S245" s="1351" t="s">
        <v>1279</v>
      </c>
      <c r="T245" s="1350" t="s">
        <v>1275</v>
      </c>
      <c r="U245" s="1350" t="s">
        <v>1475</v>
      </c>
      <c r="V245" s="1350" t="s">
        <v>1549</v>
      </c>
      <c r="W245" s="1351" t="str">
        <f>W232</f>
        <v>4Q24</v>
      </c>
      <c r="X245" s="1350" t="str">
        <f>X232</f>
        <v>1Q25</v>
      </c>
      <c r="Y245" s="1351" t="str">
        <f>Y232</f>
        <v>2Q25</v>
      </c>
      <c r="Z245" s="1350" t="s">
        <v>1804</v>
      </c>
      <c r="AA245" s="1351"/>
      <c r="AB245" s="2130"/>
      <c r="AC245" s="2130"/>
      <c r="AD245" s="2130"/>
      <c r="AE245" s="2130"/>
    </row>
    <row r="246" spans="2:31" ht="14.25" customHeight="1">
      <c r="B246" s="133" t="s">
        <v>827</v>
      </c>
      <c r="H246" s="1682">
        <f t="shared" ref="H246:U256" si="145">H216/H$216</f>
        <v>1</v>
      </c>
      <c r="I246" s="125">
        <f t="shared" si="145"/>
        <v>1</v>
      </c>
      <c r="J246" s="125">
        <f t="shared" si="145"/>
        <v>1</v>
      </c>
      <c r="K246" s="125">
        <f t="shared" si="145"/>
        <v>1</v>
      </c>
      <c r="L246" s="1682">
        <f t="shared" si="145"/>
        <v>1</v>
      </c>
      <c r="M246" s="125">
        <f t="shared" si="145"/>
        <v>1</v>
      </c>
      <c r="N246" s="125">
        <f t="shared" si="145"/>
        <v>1</v>
      </c>
      <c r="O246" s="125">
        <f t="shared" si="145"/>
        <v>1</v>
      </c>
      <c r="P246" s="1682">
        <f t="shared" si="145"/>
        <v>1</v>
      </c>
      <c r="Q246" s="125">
        <f t="shared" si="145"/>
        <v>1</v>
      </c>
      <c r="R246" s="125">
        <f t="shared" si="145"/>
        <v>1</v>
      </c>
      <c r="S246" s="2196">
        <f t="shared" si="145"/>
        <v>1</v>
      </c>
      <c r="T246" s="125">
        <f t="shared" si="145"/>
        <v>1</v>
      </c>
      <c r="U246" s="125">
        <f t="shared" ref="U246:Z246" si="146">U216/U$216</f>
        <v>1</v>
      </c>
      <c r="V246" s="125">
        <f t="shared" si="146"/>
        <v>1</v>
      </c>
      <c r="W246" s="2196">
        <f t="shared" si="146"/>
        <v>1</v>
      </c>
      <c r="X246" s="125">
        <f t="shared" si="146"/>
        <v>1</v>
      </c>
      <c r="Y246" s="2167">
        <f t="shared" si="146"/>
        <v>1</v>
      </c>
      <c r="Z246" s="125">
        <f t="shared" si="146"/>
        <v>1</v>
      </c>
    </row>
    <row r="247" spans="2:31" s="133" customFormat="1" ht="14.25" customHeight="1">
      <c r="B247" s="133" t="s">
        <v>1144</v>
      </c>
      <c r="H247" s="1681">
        <f t="shared" si="145"/>
        <v>0.42952810260957669</v>
      </c>
      <c r="I247" s="1457">
        <f t="shared" si="145"/>
        <v>0.46879944238426924</v>
      </c>
      <c r="J247" s="1457">
        <f t="shared" si="145"/>
        <v>0.47975045363395785</v>
      </c>
      <c r="K247" s="1457">
        <f t="shared" si="145"/>
        <v>0.45529270214942519</v>
      </c>
      <c r="L247" s="1681">
        <f t="shared" si="145"/>
        <v>0.39258637203802293</v>
      </c>
      <c r="M247" s="1457">
        <f t="shared" si="145"/>
        <v>0.37933962516272285</v>
      </c>
      <c r="N247" s="1457">
        <f t="shared" si="145"/>
        <v>0.43423499460158088</v>
      </c>
      <c r="O247" s="1457">
        <f t="shared" si="145"/>
        <v>0.36672786264699986</v>
      </c>
      <c r="P247" s="1681">
        <f t="shared" si="145"/>
        <v>0.33823250863668097</v>
      </c>
      <c r="Q247" s="1457">
        <f t="shared" si="145"/>
        <v>0.34265229586708423</v>
      </c>
      <c r="R247" s="1457">
        <f t="shared" si="145"/>
        <v>0.34014631445496218</v>
      </c>
      <c r="S247" s="2255">
        <f t="shared" si="145"/>
        <v>0.31395841579039074</v>
      </c>
      <c r="T247" s="1457">
        <f t="shared" si="145"/>
        <v>0.2660682207940171</v>
      </c>
      <c r="U247" s="1457">
        <f t="shared" si="145"/>
        <v>0.27041045709525457</v>
      </c>
      <c r="V247" s="1457">
        <f t="shared" ref="V247:Y256" si="147">V217/V$216</f>
        <v>0.28010265278889779</v>
      </c>
      <c r="W247" s="2255">
        <f t="shared" si="147"/>
        <v>0.28606460810881046</v>
      </c>
      <c r="X247" s="1457">
        <f t="shared" si="147"/>
        <v>0.23222667667223795</v>
      </c>
      <c r="Y247" s="1457">
        <f t="shared" si="147"/>
        <v>0.24138463036043226</v>
      </c>
      <c r="Z247" s="1457">
        <f t="shared" ref="Z247" si="148">Z217/Z$216</f>
        <v>0.219391868200002</v>
      </c>
      <c r="AA247" s="2159"/>
    </row>
    <row r="248" spans="2:31" ht="14.25" customHeight="1">
      <c r="B248" s="129" t="s">
        <v>1157</v>
      </c>
      <c r="H248" s="1682">
        <f t="shared" si="145"/>
        <v>0.11818917906842538</v>
      </c>
      <c r="I248" s="125">
        <f t="shared" si="145"/>
        <v>0.11742868622018274</v>
      </c>
      <c r="J248" s="125">
        <f t="shared" si="145"/>
        <v>9.5813662185582654E-2</v>
      </c>
      <c r="K248" s="125">
        <f t="shared" si="145"/>
        <v>9.9506013236129398E-2</v>
      </c>
      <c r="L248" s="1682">
        <f t="shared" si="145"/>
        <v>0.13635574922158636</v>
      </c>
      <c r="M248" s="125">
        <f t="shared" si="145"/>
        <v>0.12191723451136054</v>
      </c>
      <c r="N248" s="125">
        <f t="shared" si="145"/>
        <v>0.11112302422036864</v>
      </c>
      <c r="O248" s="125">
        <f t="shared" si="145"/>
        <v>0.13010943047636253</v>
      </c>
      <c r="P248" s="1682">
        <f t="shared" si="145"/>
        <v>0.13849026099656478</v>
      </c>
      <c r="Q248" s="125">
        <f t="shared" si="145"/>
        <v>0.12108584104410858</v>
      </c>
      <c r="R248" s="125">
        <f t="shared" si="145"/>
        <v>0.13038426812886747</v>
      </c>
      <c r="S248" s="2196">
        <f t="shared" si="145"/>
        <v>0.10769377649107781</v>
      </c>
      <c r="T248" s="125">
        <f t="shared" si="145"/>
        <v>0.15298393848502814</v>
      </c>
      <c r="U248" s="125">
        <f t="shared" si="145"/>
        <v>0.12221410686259422</v>
      </c>
      <c r="V248" s="125">
        <f t="shared" si="147"/>
        <v>0.13981128369362156</v>
      </c>
      <c r="W248" s="2196">
        <f t="shared" si="147"/>
        <v>0.10740140714248655</v>
      </c>
      <c r="X248" s="125">
        <f t="shared" si="147"/>
        <v>0.14120094470215713</v>
      </c>
      <c r="Y248" s="125">
        <f t="shared" si="147"/>
        <v>0.1176517414091742</v>
      </c>
      <c r="Z248" s="125">
        <f t="shared" ref="Z248" si="149">Z218/Z$216</f>
        <v>0.13615277010983801</v>
      </c>
    </row>
    <row r="249" spans="2:31" ht="14.25" customHeight="1">
      <c r="B249" s="129" t="s">
        <v>1152</v>
      </c>
      <c r="H249" s="1682">
        <f t="shared" si="145"/>
        <v>0.12948803081432578</v>
      </c>
      <c r="I249" s="125">
        <f t="shared" si="145"/>
        <v>0.10223709636116263</v>
      </c>
      <c r="J249" s="125">
        <f t="shared" si="145"/>
        <v>8.994058506125592E-2</v>
      </c>
      <c r="K249" s="125">
        <f t="shared" si="145"/>
        <v>8.1213683037143145E-2</v>
      </c>
      <c r="L249" s="1682">
        <f t="shared" si="145"/>
        <v>0.13057911453045612</v>
      </c>
      <c r="M249" s="125">
        <f t="shared" si="145"/>
        <v>9.6168973561376117E-2</v>
      </c>
      <c r="N249" s="125">
        <f t="shared" si="145"/>
        <v>9.2918436621898387E-2</v>
      </c>
      <c r="O249" s="125">
        <f t="shared" si="145"/>
        <v>0.10540543501481679</v>
      </c>
      <c r="P249" s="1682">
        <f t="shared" si="145"/>
        <v>0.11325839115564013</v>
      </c>
      <c r="Q249" s="125">
        <f t="shared" si="145"/>
        <v>7.8026135483386161E-2</v>
      </c>
      <c r="R249" s="125">
        <f t="shared" si="145"/>
        <v>8.0211622734579713E-2</v>
      </c>
      <c r="S249" s="2196">
        <f t="shared" si="145"/>
        <v>8.1988971587522649E-2</v>
      </c>
      <c r="T249" s="125">
        <f t="shared" si="145"/>
        <v>8.2309489173899367E-2</v>
      </c>
      <c r="U249" s="125">
        <f t="shared" si="145"/>
        <v>6.2918054931187434E-2</v>
      </c>
      <c r="V249" s="125">
        <f t="shared" si="147"/>
        <v>7.9890707232452618E-2</v>
      </c>
      <c r="W249" s="2196">
        <f t="shared" si="147"/>
        <v>6.6424897840966265E-2</v>
      </c>
      <c r="X249" s="125">
        <f t="shared" si="147"/>
        <v>7.7960569080865377E-2</v>
      </c>
      <c r="Y249" s="125">
        <f t="shared" si="147"/>
        <v>6.1469495143895318E-2</v>
      </c>
      <c r="Z249" s="125">
        <f t="shared" ref="Z249" si="150">Z219/Z$216</f>
        <v>6.5964795825533037E-2</v>
      </c>
    </row>
    <row r="250" spans="2:31" ht="14.25" customHeight="1">
      <c r="B250" s="129" t="s">
        <v>1156</v>
      </c>
      <c r="H250" s="1682">
        <f t="shared" si="145"/>
        <v>0.10435910703470062</v>
      </c>
      <c r="I250" s="125">
        <f t="shared" si="145"/>
        <v>0.1056393784468823</v>
      </c>
      <c r="J250" s="125">
        <f t="shared" si="145"/>
        <v>0.12111310002795282</v>
      </c>
      <c r="K250" s="125">
        <f t="shared" si="145"/>
        <v>0.11210846791807784</v>
      </c>
      <c r="L250" s="1682">
        <f t="shared" si="145"/>
        <v>0.12011196531378164</v>
      </c>
      <c r="M250" s="125">
        <f t="shared" si="145"/>
        <v>0.14267207821663599</v>
      </c>
      <c r="N250" s="125">
        <f t="shared" si="145"/>
        <v>0.11320764875880454</v>
      </c>
      <c r="O250" s="125">
        <f t="shared" si="145"/>
        <v>0.10232524751546294</v>
      </c>
      <c r="P250" s="1682">
        <f t="shared" si="145"/>
        <v>0.13599800124191089</v>
      </c>
      <c r="Q250" s="125">
        <f t="shared" si="145"/>
        <v>0.1401131045932108</v>
      </c>
      <c r="R250" s="125">
        <f t="shared" si="145"/>
        <v>0.14100573492262725</v>
      </c>
      <c r="S250" s="2196">
        <f t="shared" si="145"/>
        <v>0.12000451382661034</v>
      </c>
      <c r="T250" s="125">
        <f t="shared" si="145"/>
        <v>0.14406428941414173</v>
      </c>
      <c r="U250" s="125">
        <f t="shared" si="145"/>
        <v>0.14991976972708246</v>
      </c>
      <c r="V250" s="125">
        <f t="shared" si="147"/>
        <v>0.13790306912196418</v>
      </c>
      <c r="W250" s="2196">
        <f t="shared" si="147"/>
        <v>0.12099771048247146</v>
      </c>
      <c r="X250" s="125">
        <f t="shared" si="147"/>
        <v>0.13530288211100572</v>
      </c>
      <c r="Y250" s="125">
        <f t="shared" si="147"/>
        <v>0.14960310419066999</v>
      </c>
      <c r="Z250" s="125">
        <f t="shared" ref="Z250" si="151">Z220/Z$216</f>
        <v>0.1407615509591352</v>
      </c>
    </row>
    <row r="251" spans="2:31" ht="14.25" customHeight="1">
      <c r="B251" s="129" t="s">
        <v>1153</v>
      </c>
      <c r="H251" s="1682">
        <f t="shared" si="145"/>
        <v>7.6823297445278035E-2</v>
      </c>
      <c r="I251" s="125">
        <f t="shared" si="145"/>
        <v>4.8555950453103486E-2</v>
      </c>
      <c r="J251" s="125">
        <f t="shared" si="145"/>
        <v>5.7146902165219636E-2</v>
      </c>
      <c r="K251" s="125">
        <f t="shared" si="145"/>
        <v>6.922210721064713E-2</v>
      </c>
      <c r="L251" s="1682">
        <f t="shared" si="145"/>
        <v>7.7426952616619749E-2</v>
      </c>
      <c r="M251" s="125">
        <f t="shared" si="145"/>
        <v>7.6424751581865638E-2</v>
      </c>
      <c r="N251" s="125">
        <f t="shared" si="145"/>
        <v>7.1960648922747561E-2</v>
      </c>
      <c r="O251" s="125">
        <f t="shared" si="145"/>
        <v>9.6055908820055602E-2</v>
      </c>
      <c r="P251" s="1682">
        <f t="shared" si="145"/>
        <v>9.2295821018895705E-2</v>
      </c>
      <c r="Q251" s="125">
        <f t="shared" si="145"/>
        <v>9.9523404793003256E-2</v>
      </c>
      <c r="R251" s="125">
        <f t="shared" si="145"/>
        <v>9.2080427335101314E-2</v>
      </c>
      <c r="S251" s="2196">
        <f t="shared" si="145"/>
        <v>0.1137306498876669</v>
      </c>
      <c r="T251" s="125">
        <f t="shared" si="145"/>
        <v>0.11078596059299536</v>
      </c>
      <c r="U251" s="125">
        <f t="shared" si="145"/>
        <v>0.1213915797396061</v>
      </c>
      <c r="V251" s="125">
        <f t="shared" si="147"/>
        <v>9.4772372564718405E-2</v>
      </c>
      <c r="W251" s="2196">
        <f t="shared" si="147"/>
        <v>0.11091153333834719</v>
      </c>
      <c r="X251" s="125">
        <f t="shared" si="147"/>
        <v>0.12867074786045055</v>
      </c>
      <c r="Y251" s="125">
        <f t="shared" si="147"/>
        <v>0.1119358885200714</v>
      </c>
      <c r="Z251" s="125">
        <f t="shared" ref="Z251" si="152">Z221/Z$216</f>
        <v>0.12204135441463457</v>
      </c>
    </row>
    <row r="252" spans="2:31" ht="14.25" customHeight="1">
      <c r="B252" s="129" t="s">
        <v>1154</v>
      </c>
      <c r="H252" s="1682">
        <f t="shared" si="145"/>
        <v>5.4202098135527739E-2</v>
      </c>
      <c r="I252" s="125">
        <f t="shared" si="145"/>
        <v>4.4943066892624076E-2</v>
      </c>
      <c r="J252" s="125">
        <f t="shared" si="145"/>
        <v>3.6860483220472334E-2</v>
      </c>
      <c r="K252" s="125">
        <f t="shared" si="145"/>
        <v>6.3217537129940687E-2</v>
      </c>
      <c r="L252" s="1682">
        <f t="shared" si="145"/>
        <v>5.3480939101291335E-2</v>
      </c>
      <c r="M252" s="125">
        <f t="shared" si="145"/>
        <v>7.8340106561867698E-2</v>
      </c>
      <c r="N252" s="125">
        <f t="shared" si="145"/>
        <v>6.4045087345348459E-2</v>
      </c>
      <c r="O252" s="125">
        <f t="shared" si="145"/>
        <v>9.5080721382464442E-2</v>
      </c>
      <c r="P252" s="1682">
        <f t="shared" si="145"/>
        <v>8.9382706644078574E-2</v>
      </c>
      <c r="Q252" s="125">
        <f t="shared" si="145"/>
        <v>9.2076977632096296E-2</v>
      </c>
      <c r="R252" s="125">
        <f t="shared" si="145"/>
        <v>0.1016884518225603</v>
      </c>
      <c r="S252" s="2196">
        <f t="shared" si="145"/>
        <v>7.2928592009109089E-2</v>
      </c>
      <c r="T252" s="125">
        <f t="shared" si="145"/>
        <v>0.12494328081939082</v>
      </c>
      <c r="U252" s="125">
        <f t="shared" si="145"/>
        <v>0.12598246010073871</v>
      </c>
      <c r="V252" s="125">
        <f t="shared" si="147"/>
        <v>0.11055662663464105</v>
      </c>
      <c r="W252" s="2196">
        <f t="shared" si="147"/>
        <v>0.10731492047413589</v>
      </c>
      <c r="X252" s="125">
        <f t="shared" si="147"/>
        <v>0.15398314522596568</v>
      </c>
      <c r="Y252" s="125">
        <f t="shared" si="147"/>
        <v>0.16335883769320883</v>
      </c>
      <c r="Z252" s="125">
        <f t="shared" ref="Z252" si="153">Z222/Z$216</f>
        <v>0.14642831362227282</v>
      </c>
    </row>
    <row r="253" spans="2:31" ht="14.25" hidden="1" customHeight="1">
      <c r="H253" s="1682">
        <f t="shared" si="145"/>
        <v>0</v>
      </c>
      <c r="I253" s="125">
        <f t="shared" si="145"/>
        <v>0</v>
      </c>
      <c r="J253" s="125">
        <f t="shared" si="145"/>
        <v>0</v>
      </c>
      <c r="K253" s="125">
        <f t="shared" si="145"/>
        <v>0</v>
      </c>
      <c r="L253" s="1682">
        <f t="shared" si="145"/>
        <v>0</v>
      </c>
      <c r="M253" s="125">
        <f t="shared" si="145"/>
        <v>0</v>
      </c>
      <c r="N253" s="125">
        <f t="shared" si="145"/>
        <v>0</v>
      </c>
      <c r="O253" s="125">
        <f t="shared" si="145"/>
        <v>0</v>
      </c>
      <c r="P253" s="1682">
        <f t="shared" si="145"/>
        <v>0</v>
      </c>
      <c r="Q253" s="125">
        <f t="shared" si="145"/>
        <v>0</v>
      </c>
      <c r="R253" s="125">
        <f t="shared" si="145"/>
        <v>0</v>
      </c>
      <c r="S253" s="2196">
        <f t="shared" si="145"/>
        <v>0</v>
      </c>
      <c r="T253" s="125">
        <f t="shared" si="145"/>
        <v>0</v>
      </c>
      <c r="U253" s="125">
        <f t="shared" si="145"/>
        <v>0</v>
      </c>
      <c r="V253" s="125">
        <f t="shared" si="147"/>
        <v>0</v>
      </c>
      <c r="W253" s="2196">
        <f t="shared" si="147"/>
        <v>0</v>
      </c>
      <c r="X253" s="125">
        <f t="shared" si="147"/>
        <v>0</v>
      </c>
      <c r="Y253" s="125">
        <f t="shared" si="147"/>
        <v>0</v>
      </c>
      <c r="Z253" s="125">
        <f t="shared" ref="Z253" si="154">Z223/Z$216</f>
        <v>0</v>
      </c>
    </row>
    <row r="254" spans="2:31" ht="14.25" customHeight="1">
      <c r="B254" s="129" t="s">
        <v>1244</v>
      </c>
      <c r="H254" s="1682">
        <f t="shared" si="145"/>
        <v>8.7410184892165621E-2</v>
      </c>
      <c r="I254" s="125">
        <f t="shared" si="145"/>
        <v>0.11239637924177569</v>
      </c>
      <c r="J254" s="125">
        <f t="shared" si="145"/>
        <v>0.11937481370555883</v>
      </c>
      <c r="K254" s="125">
        <f t="shared" si="145"/>
        <v>0.11943948931863628</v>
      </c>
      <c r="L254" s="1682">
        <f t="shared" si="145"/>
        <v>8.9458907178241898E-2</v>
      </c>
      <c r="M254" s="125">
        <f t="shared" si="145"/>
        <v>0.10513723040417133</v>
      </c>
      <c r="N254" s="125">
        <f t="shared" si="145"/>
        <v>0.11251015952925161</v>
      </c>
      <c r="O254" s="125">
        <f t="shared" si="145"/>
        <v>0.1042953941438379</v>
      </c>
      <c r="P254" s="1682">
        <f t="shared" si="145"/>
        <v>9.2342310306228997E-2</v>
      </c>
      <c r="Q254" s="125">
        <f t="shared" si="145"/>
        <v>0.12652224058711065</v>
      </c>
      <c r="R254" s="125">
        <f t="shared" si="145"/>
        <v>0.11448318060130173</v>
      </c>
      <c r="S254" s="2196">
        <f t="shared" si="145"/>
        <v>0.18969508040762276</v>
      </c>
      <c r="T254" s="125">
        <f t="shared" si="145"/>
        <v>0.11884482072052759</v>
      </c>
      <c r="U254" s="125">
        <f t="shared" si="145"/>
        <v>0.14716357154353646</v>
      </c>
      <c r="V254" s="125">
        <f t="shared" si="147"/>
        <v>0.15696328796370429</v>
      </c>
      <c r="W254" s="2196">
        <f t="shared" si="147"/>
        <v>0.2008849226127821</v>
      </c>
      <c r="X254" s="125">
        <f t="shared" si="147"/>
        <v>0.13065503434731759</v>
      </c>
      <c r="Y254" s="125">
        <f t="shared" si="147"/>
        <v>0.15459630268254793</v>
      </c>
      <c r="Z254" s="125">
        <f t="shared" ref="Z254" si="155">Z224/Z$216</f>
        <v>0.16925934686858454</v>
      </c>
    </row>
    <row r="255" spans="2:31" ht="14.25" customHeight="1">
      <c r="B255" s="144" t="s">
        <v>1482</v>
      </c>
      <c r="H255" s="1682">
        <f t="shared" si="145"/>
        <v>8.0898269143364152E-3</v>
      </c>
      <c r="I255" s="125">
        <f t="shared" si="145"/>
        <v>1.6310015951789967E-2</v>
      </c>
      <c r="J255" s="125">
        <f t="shared" si="145"/>
        <v>1.6261819606343656E-2</v>
      </c>
      <c r="K255" s="125">
        <f t="shared" si="145"/>
        <v>2.1523436649716138E-2</v>
      </c>
      <c r="L255" s="1682">
        <f t="shared" si="145"/>
        <v>1.4004717725051937E-2</v>
      </c>
      <c r="M255" s="125">
        <f t="shared" si="145"/>
        <v>1.9111088918536297E-2</v>
      </c>
      <c r="N255" s="125">
        <f t="shared" si="145"/>
        <v>1.7524056531561413E-2</v>
      </c>
      <c r="O255" s="125">
        <f t="shared" si="145"/>
        <v>1.5750986604755639E-2</v>
      </c>
      <c r="P255" s="1682">
        <f t="shared" si="145"/>
        <v>1.3496278084532071E-2</v>
      </c>
      <c r="Q255" s="125">
        <f t="shared" si="145"/>
        <v>2.1034425574649875E-2</v>
      </c>
      <c r="R255" s="125">
        <f t="shared" si="145"/>
        <v>1.8157778008474977E-2</v>
      </c>
      <c r="S255" s="2196">
        <f t="shared" si="145"/>
        <v>1.972179169575471E-2</v>
      </c>
      <c r="T255" s="125">
        <f t="shared" si="145"/>
        <v>1.933875734920015E-2</v>
      </c>
      <c r="U255" s="125">
        <f t="shared" si="145"/>
        <v>2.7693822525640094E-2</v>
      </c>
      <c r="V255" s="125">
        <f t="shared" si="147"/>
        <v>2.9703464104617022E-2</v>
      </c>
      <c r="W255" s="2196">
        <f t="shared" si="147"/>
        <v>3.5904579849106034E-2</v>
      </c>
      <c r="X255" s="125">
        <f t="shared" si="147"/>
        <v>2.1404936832624955E-2</v>
      </c>
      <c r="Y255" s="125">
        <f t="shared" si="147"/>
        <v>3.1680199594048712E-2</v>
      </c>
      <c r="Z255" s="125">
        <f t="shared" ref="Z255" si="156">Z225/Z$216</f>
        <v>3.2417191247677682E-2</v>
      </c>
    </row>
    <row r="256" spans="2:31" ht="14.25" customHeight="1">
      <c r="B256" s="144" t="s">
        <v>1483</v>
      </c>
      <c r="H256" s="1682">
        <f t="shared" si="145"/>
        <v>7.9320357977829201E-2</v>
      </c>
      <c r="I256" s="125">
        <f t="shared" si="145"/>
        <v>9.6086363289985724E-2</v>
      </c>
      <c r="J256" s="125">
        <f t="shared" si="145"/>
        <v>0.10311299409921519</v>
      </c>
      <c r="K256" s="125">
        <f t="shared" si="145"/>
        <v>9.7916052668920131E-2</v>
      </c>
      <c r="L256" s="1682">
        <f t="shared" si="145"/>
        <v>7.5454189453189963E-2</v>
      </c>
      <c r="M256" s="125">
        <f t="shared" si="145"/>
        <v>8.6026141485635046E-2</v>
      </c>
      <c r="N256" s="125">
        <f t="shared" si="145"/>
        <v>9.4986102997690197E-2</v>
      </c>
      <c r="O256" s="125">
        <f t="shared" si="145"/>
        <v>8.8544407539082257E-2</v>
      </c>
      <c r="P256" s="1682">
        <f t="shared" si="145"/>
        <v>7.8846032221696935E-2</v>
      </c>
      <c r="Q256" s="125">
        <f t="shared" si="145"/>
        <v>0.10548781501246078</v>
      </c>
      <c r="R256" s="125">
        <f t="shared" si="145"/>
        <v>9.632540259282675E-2</v>
      </c>
      <c r="S256" s="2196">
        <f t="shared" si="145"/>
        <v>0.16997328871186804</v>
      </c>
      <c r="T256" s="125">
        <f t="shared" si="145"/>
        <v>9.9506063371327447E-2</v>
      </c>
      <c r="U256" s="125">
        <f t="shared" si="145"/>
        <v>0.11946974901789638</v>
      </c>
      <c r="V256" s="125">
        <f t="shared" si="147"/>
        <v>0.12725982385908727</v>
      </c>
      <c r="W256" s="2196">
        <f t="shared" si="147"/>
        <v>0.16498034276367607</v>
      </c>
      <c r="X256" s="125">
        <f t="shared" si="147"/>
        <v>0.10925009751469264</v>
      </c>
      <c r="Y256" s="125">
        <f t="shared" si="147"/>
        <v>0.12291610308849923</v>
      </c>
      <c r="Z256" s="125">
        <f t="shared" ref="Z256" si="157">Z226/Z$216</f>
        <v>0.13684215562090687</v>
      </c>
    </row>
    <row r="258" spans="2:31" ht="14.25" customHeight="1">
      <c r="B258" s="1348" t="s">
        <v>1484</v>
      </c>
      <c r="C258" s="1349"/>
      <c r="D258" s="1350" t="s">
        <v>1059</v>
      </c>
      <c r="E258" s="1350" t="s">
        <v>1060</v>
      </c>
      <c r="F258" s="1350" t="s">
        <v>1068</v>
      </c>
      <c r="G258" s="1350" t="s">
        <v>1073</v>
      </c>
      <c r="H258" s="1673" t="s">
        <v>1076</v>
      </c>
      <c r="I258" s="1350" t="s">
        <v>1093</v>
      </c>
      <c r="J258" s="1350" t="s">
        <v>1100</v>
      </c>
      <c r="K258" s="1350" t="s">
        <v>1231</v>
      </c>
      <c r="L258" s="1673" t="s">
        <v>1209</v>
      </c>
      <c r="M258" s="1350" t="s">
        <v>1232</v>
      </c>
      <c r="N258" s="1350" t="s">
        <v>1229</v>
      </c>
      <c r="O258" s="1350" t="s">
        <v>1276</v>
      </c>
      <c r="P258" s="1673" t="s">
        <v>1273</v>
      </c>
      <c r="Q258" s="1350" t="s">
        <v>1277</v>
      </c>
      <c r="R258" s="1350" t="s">
        <v>1278</v>
      </c>
      <c r="S258" s="1351" t="s">
        <v>1279</v>
      </c>
      <c r="T258" s="1350" t="s">
        <v>1275</v>
      </c>
      <c r="U258" s="1350" t="s">
        <v>1475</v>
      </c>
      <c r="V258" s="1350" t="s">
        <v>1549</v>
      </c>
      <c r="W258" s="1351" t="str">
        <f>W245</f>
        <v>4Q24</v>
      </c>
      <c r="X258" s="1350" t="str">
        <f>X245</f>
        <v>1Q25</v>
      </c>
      <c r="Y258" s="1351" t="str">
        <f>Y245</f>
        <v>2Q25</v>
      </c>
      <c r="Z258" s="1350" t="s">
        <v>1804</v>
      </c>
      <c r="AA258" s="1351"/>
      <c r="AB258" s="2130"/>
      <c r="AC258" s="2130"/>
      <c r="AD258" s="2130"/>
      <c r="AE258" s="2130"/>
    </row>
    <row r="259" spans="2:31" ht="14.25" customHeight="1">
      <c r="B259" s="129" t="s">
        <v>1484</v>
      </c>
      <c r="H259" s="1683">
        <f>Wind!CF118</f>
        <v>794.26119180000001</v>
      </c>
      <c r="I259" s="1304">
        <f>Wind!CG118</f>
        <v>810.72122394000007</v>
      </c>
      <c r="J259" s="1304">
        <f>Wind!CH118</f>
        <v>866.24222252999994</v>
      </c>
      <c r="K259" s="1304">
        <f>Wind!CI118</f>
        <v>1241.3694575100001</v>
      </c>
      <c r="L259" s="1683">
        <f>Wind!CJ118</f>
        <v>1202.0115372600001</v>
      </c>
      <c r="M259" s="1304">
        <f>Wind!CK118</f>
        <v>1268.94391535</v>
      </c>
      <c r="N259" s="1304">
        <f>Wind!CL118</f>
        <v>1343.99305914</v>
      </c>
      <c r="O259" s="1304">
        <f>Wind!CM118</f>
        <v>1627.1675837499999</v>
      </c>
      <c r="P259" s="1683">
        <f>Wind!CN118</f>
        <v>1685.82443126</v>
      </c>
      <c r="Q259" s="1304">
        <f>Wind!CO118</f>
        <v>1851.4305818099999</v>
      </c>
      <c r="R259" s="1304">
        <f>Wind!CP118</f>
        <v>1916.4812166400002</v>
      </c>
      <c r="S259" s="2157">
        <f>Wind!CQ118</f>
        <v>2607.2214336500001</v>
      </c>
      <c r="T259" s="2163">
        <f>Wind!CR118</f>
        <v>2687.5416308000003</v>
      </c>
      <c r="U259" s="1304">
        <f>Wind!CS118</f>
        <v>2501.12192456</v>
      </c>
      <c r="V259" s="1304">
        <f>Wind!CT118</f>
        <v>2379.8039257</v>
      </c>
      <c r="W259" s="2157">
        <f>Wind!CU118</f>
        <v>4760.5512853800001</v>
      </c>
      <c r="X259" s="2163">
        <f>Wind!CV118</f>
        <v>3869.6188125600002</v>
      </c>
      <c r="Y259" s="2168">
        <f>Wind!CW118</f>
        <v>3667.0879203600002</v>
      </c>
      <c r="Z259" s="1304">
        <f>Wind!CX118</f>
        <v>3562.99416681</v>
      </c>
    </row>
    <row r="260" spans="2:31" ht="14.25" customHeight="1">
      <c r="B260" s="129" t="s">
        <v>1485</v>
      </c>
      <c r="H260" s="1675">
        <f t="shared" ref="H260:Z260" si="158">H259/I43</f>
        <v>0.40297370921322362</v>
      </c>
      <c r="I260" s="1314">
        <f t="shared" si="158"/>
        <v>0.43170527459019453</v>
      </c>
      <c r="J260" s="1314">
        <f t="shared" si="158"/>
        <v>0.61105819805737904</v>
      </c>
      <c r="K260" s="1314">
        <f t="shared" si="158"/>
        <v>0.6186608206099099</v>
      </c>
      <c r="L260" s="1675">
        <f t="shared" si="158"/>
        <v>0.52610634229339504</v>
      </c>
      <c r="M260" s="1314">
        <f t="shared" si="158"/>
        <v>0.53927076382838457</v>
      </c>
      <c r="N260" s="1314">
        <f t="shared" si="158"/>
        <v>0.72217237463635509</v>
      </c>
      <c r="O260" s="1314">
        <f t="shared" si="158"/>
        <v>0.65325374911397927</v>
      </c>
      <c r="P260" s="1675">
        <f t="shared" si="158"/>
        <v>0.56774785677008766</v>
      </c>
      <c r="Q260" s="1314">
        <f t="shared" si="158"/>
        <v>0.58207772157185522</v>
      </c>
      <c r="R260" s="1314">
        <f t="shared" si="158"/>
        <v>0.73095639931699186</v>
      </c>
      <c r="S260" s="2155">
        <f t="shared" si="158"/>
        <v>0.74873515903238075</v>
      </c>
      <c r="T260" s="399">
        <f t="shared" si="158"/>
        <v>0.61204011189370766</v>
      </c>
      <c r="U260" s="1314">
        <f t="shared" si="158"/>
        <v>0.53385812475425287</v>
      </c>
      <c r="V260" s="1314">
        <f t="shared" si="158"/>
        <v>0.72542384073638844</v>
      </c>
      <c r="W260" s="2155">
        <f t="shared" si="158"/>
        <v>0.98194737524892284</v>
      </c>
      <c r="X260" s="399">
        <f t="shared" si="158"/>
        <v>0.6571422113466161</v>
      </c>
      <c r="Y260" s="399">
        <f t="shared" si="158"/>
        <v>0.60043945452583036</v>
      </c>
      <c r="Z260" s="1314">
        <f t="shared" si="158"/>
        <v>0.85897865598766576</v>
      </c>
    </row>
    <row r="262" spans="2:31" ht="14.25" customHeight="1">
      <c r="B262" s="1348" t="s">
        <v>1481</v>
      </c>
      <c r="C262" s="1349"/>
      <c r="D262" s="1350" t="s">
        <v>1059</v>
      </c>
      <c r="E262" s="1350" t="s">
        <v>1060</v>
      </c>
      <c r="F262" s="1350" t="s">
        <v>1068</v>
      </c>
      <c r="G262" s="1350" t="s">
        <v>1073</v>
      </c>
      <c r="H262" s="1673" t="s">
        <v>1076</v>
      </c>
      <c r="I262" s="1350" t="s">
        <v>1094</v>
      </c>
      <c r="J262" s="1350" t="s">
        <v>1208</v>
      </c>
      <c r="K262" s="1350">
        <v>2021</v>
      </c>
      <c r="L262" s="1673" t="s">
        <v>1209</v>
      </c>
      <c r="M262" s="1350" t="s">
        <v>1210</v>
      </c>
      <c r="N262" s="1350" t="s">
        <v>1230</v>
      </c>
      <c r="O262" s="1350">
        <v>2022</v>
      </c>
      <c r="P262" s="1673" t="s">
        <v>1273</v>
      </c>
      <c r="Q262" s="1350" t="s">
        <v>1240</v>
      </c>
      <c r="R262" s="1350" t="s">
        <v>1274</v>
      </c>
      <c r="S262" s="1351">
        <v>2023</v>
      </c>
      <c r="T262" s="1350" t="s">
        <v>1275</v>
      </c>
      <c r="U262" s="1350" t="s">
        <v>1476</v>
      </c>
      <c r="V262" s="1350" t="s">
        <v>1548</v>
      </c>
      <c r="W262" s="1351" t="s">
        <v>1070</v>
      </c>
      <c r="X262" s="1350" t="str">
        <f>X258</f>
        <v>1Q25</v>
      </c>
      <c r="Y262" s="1351" t="s">
        <v>1751</v>
      </c>
      <c r="Z262" s="1350" t="s">
        <v>1805</v>
      </c>
      <c r="AA262" s="1351"/>
      <c r="AB262" s="2130"/>
      <c r="AC262" s="2130"/>
      <c r="AD262" s="2130"/>
      <c r="AE262" s="2130"/>
    </row>
    <row r="263" spans="2:31" s="133" customFormat="1" ht="14.25" customHeight="1">
      <c r="B263" s="133" t="s">
        <v>827</v>
      </c>
      <c r="H263" s="1677">
        <f>H216</f>
        <v>1706.6867000000002</v>
      </c>
      <c r="I263" s="1305">
        <f>H263+I216</f>
        <v>3672.4848999999999</v>
      </c>
      <c r="J263" s="1305">
        <f>I263+J216</f>
        <v>5549.2183000000005</v>
      </c>
      <c r="K263" s="1305">
        <f>J263+K216</f>
        <v>6963.8474401100011</v>
      </c>
      <c r="L263" s="1677">
        <f>L216</f>
        <v>1999.2263</v>
      </c>
      <c r="M263" s="1305">
        <f t="shared" ref="M263:O273" si="159">L263+M216</f>
        <v>4274.2614999999996</v>
      </c>
      <c r="N263" s="1305">
        <f t="shared" si="159"/>
        <v>6633.007599999999</v>
      </c>
      <c r="O263" s="1305">
        <f t="shared" si="159"/>
        <v>8492.34246231</v>
      </c>
      <c r="P263" s="1677">
        <f>P216</f>
        <v>2488.7453999999998</v>
      </c>
      <c r="Q263" s="1305">
        <f t="shared" ref="Q263:S273" si="160">P263+Q216</f>
        <v>5454.9732999999997</v>
      </c>
      <c r="R263" s="1305">
        <f t="shared" si="160"/>
        <v>8633.7433000000001</v>
      </c>
      <c r="S263" s="2152">
        <f t="shared" si="160"/>
        <v>11250.484220709999</v>
      </c>
      <c r="T263" s="1305">
        <f>T216</f>
        <v>3478.3206999999998</v>
      </c>
      <c r="U263" s="1305">
        <f t="shared" ref="U263:Z273" si="161">T263+U216</f>
        <v>7861.6412</v>
      </c>
      <c r="V263" s="1305">
        <f t="shared" si="161"/>
        <v>12545.3912</v>
      </c>
      <c r="W263" s="2152">
        <f t="shared" si="161"/>
        <v>15821.76414168</v>
      </c>
      <c r="X263" s="1305">
        <f>X216</f>
        <v>4845.1673000000001</v>
      </c>
      <c r="Y263" s="1305">
        <f t="shared" si="161"/>
        <v>10730.5532</v>
      </c>
      <c r="Z263" s="1305">
        <f t="shared" si="161"/>
        <v>16834.249799999998</v>
      </c>
      <c r="AA263" s="2159"/>
    </row>
    <row r="264" spans="2:31" s="133" customFormat="1" ht="14.25" customHeight="1">
      <c r="B264" s="133" t="s">
        <v>1144</v>
      </c>
      <c r="F264" s="1459"/>
      <c r="G264" s="1459"/>
      <c r="H264" s="1677">
        <f t="shared" ref="H264:H273" si="162">H217</f>
        <v>733.06989999999996</v>
      </c>
      <c r="I264" s="1305">
        <f t="shared" ref="I264:K273" si="163">H264+I217</f>
        <v>1654.635</v>
      </c>
      <c r="J264" s="1305">
        <f t="shared" si="163"/>
        <v>2554.9987000000001</v>
      </c>
      <c r="K264" s="1305">
        <f t="shared" si="163"/>
        <v>3199.0690237399999</v>
      </c>
      <c r="L264" s="1677">
        <f t="shared" ref="L264:L273" si="164">L217</f>
        <v>784.86900000000003</v>
      </c>
      <c r="M264" s="1305">
        <f t="shared" si="159"/>
        <v>1647.88</v>
      </c>
      <c r="N264" s="1305">
        <f t="shared" si="159"/>
        <v>2672.1300999999999</v>
      </c>
      <c r="O264" s="1305">
        <f t="shared" si="159"/>
        <v>3354</v>
      </c>
      <c r="P264" s="1677">
        <f t="shared" ref="P264:P273" si="165">P217</f>
        <v>841.77459999999996</v>
      </c>
      <c r="Q264" s="1305">
        <f t="shared" si="160"/>
        <v>1858.1594</v>
      </c>
      <c r="R264" s="1305">
        <f t="shared" si="160"/>
        <v>2939.4063000000001</v>
      </c>
      <c r="S264" s="2152">
        <f t="shared" si="160"/>
        <v>3760.9541340000001</v>
      </c>
      <c r="T264" s="1305">
        <f t="shared" ref="T264:T273" si="166">T217</f>
        <v>925.47059999999999</v>
      </c>
      <c r="U264" s="1305">
        <f t="shared" si="161"/>
        <v>2110.7662999999998</v>
      </c>
      <c r="V264" s="1305">
        <f t="shared" si="161"/>
        <v>3422.6970999999999</v>
      </c>
      <c r="W264" s="2152">
        <f t="shared" si="161"/>
        <v>4359.9514415799995</v>
      </c>
      <c r="X264" s="1305">
        <f t="shared" ref="X264:X273" si="167">X217</f>
        <v>1125.1771000000001</v>
      </c>
      <c r="Y264" s="1305">
        <f t="shared" si="161"/>
        <v>2545.8188</v>
      </c>
      <c r="Z264" s="1305">
        <f t="shared" si="161"/>
        <v>3884.9202000000005</v>
      </c>
      <c r="AA264" s="2159"/>
    </row>
    <row r="265" spans="2:31" ht="14.25" customHeight="1">
      <c r="B265" s="129" t="s">
        <v>1157</v>
      </c>
      <c r="F265" s="1308"/>
      <c r="G265" s="1308"/>
      <c r="H265" s="1677">
        <f t="shared" si="162"/>
        <v>201.71190000000001</v>
      </c>
      <c r="I265" s="1305">
        <f t="shared" si="163"/>
        <v>432.553</v>
      </c>
      <c r="J265" s="1305">
        <f t="shared" si="163"/>
        <v>612.36969999999997</v>
      </c>
      <c r="K265" s="1305">
        <f t="shared" si="163"/>
        <v>753.13380594</v>
      </c>
      <c r="L265" s="1677">
        <f t="shared" si="164"/>
        <v>272.60599999999999</v>
      </c>
      <c r="M265" s="1305">
        <f t="shared" si="159"/>
        <v>549.97199999999998</v>
      </c>
      <c r="N265" s="1305">
        <f t="shared" si="159"/>
        <v>812.08299999999997</v>
      </c>
      <c r="O265" s="1305">
        <f t="shared" si="159"/>
        <v>1054</v>
      </c>
      <c r="P265" s="1677">
        <f t="shared" si="165"/>
        <v>344.66699999999997</v>
      </c>
      <c r="Q265" s="1305">
        <f t="shared" si="160"/>
        <v>703.83519999999999</v>
      </c>
      <c r="R265" s="1305">
        <f t="shared" si="160"/>
        <v>1118.2968000000001</v>
      </c>
      <c r="S265" s="2152">
        <f t="shared" si="160"/>
        <v>1400.1035118499999</v>
      </c>
      <c r="T265" s="1305">
        <f t="shared" si="166"/>
        <v>532.12720000000002</v>
      </c>
      <c r="U265" s="1305">
        <f t="shared" si="161"/>
        <v>1067.8308</v>
      </c>
      <c r="V265" s="1305">
        <f t="shared" si="161"/>
        <v>1722.6718999999998</v>
      </c>
      <c r="W265" s="2152">
        <f t="shared" si="161"/>
        <v>2074.5589642599998</v>
      </c>
      <c r="X265" s="1305">
        <f t="shared" si="167"/>
        <v>684.1422</v>
      </c>
      <c r="Y265" s="1305">
        <f>X265+Y218</f>
        <v>1376.5681</v>
      </c>
      <c r="Z265" s="1305">
        <f t="shared" si="161"/>
        <v>2207.6032999999998</v>
      </c>
    </row>
    <row r="266" spans="2:31" ht="14.25" customHeight="1">
      <c r="B266" s="129" t="s">
        <v>1152</v>
      </c>
      <c r="F266" s="1308"/>
      <c r="G266" s="1308"/>
      <c r="H266" s="1677">
        <f t="shared" si="162"/>
        <v>220.99549999999999</v>
      </c>
      <c r="I266" s="1305">
        <f t="shared" si="163"/>
        <v>421.97300000000001</v>
      </c>
      <c r="J266" s="1305">
        <f t="shared" si="163"/>
        <v>590.76750000000004</v>
      </c>
      <c r="K266" s="1305">
        <f t="shared" si="163"/>
        <v>705.65474259999996</v>
      </c>
      <c r="L266" s="1677">
        <f t="shared" si="164"/>
        <v>261.05720000000002</v>
      </c>
      <c r="M266" s="1305">
        <f t="shared" si="159"/>
        <v>479.84500000000003</v>
      </c>
      <c r="N266" s="1305">
        <f t="shared" si="159"/>
        <v>699.01599999999996</v>
      </c>
      <c r="O266" s="1305">
        <f t="shared" si="159"/>
        <v>895</v>
      </c>
      <c r="P266" s="1677">
        <f t="shared" si="165"/>
        <v>281.87130000000002</v>
      </c>
      <c r="Q266" s="1305">
        <f t="shared" si="160"/>
        <v>513.31460000000004</v>
      </c>
      <c r="R266" s="1305">
        <f t="shared" si="160"/>
        <v>768.28890000000001</v>
      </c>
      <c r="S266" s="2152">
        <f t="shared" si="160"/>
        <v>982.83279700000003</v>
      </c>
      <c r="T266" s="1305">
        <f t="shared" si="166"/>
        <v>286.29880000000003</v>
      </c>
      <c r="U266" s="1305">
        <f t="shared" si="161"/>
        <v>562.08879999999999</v>
      </c>
      <c r="V266" s="1305">
        <f t="shared" si="161"/>
        <v>936.27689999999996</v>
      </c>
      <c r="W266" s="2152">
        <f t="shared" si="161"/>
        <v>1153.90963794</v>
      </c>
      <c r="X266" s="1305">
        <f t="shared" si="167"/>
        <v>377.73199999999997</v>
      </c>
      <c r="Y266" s="1305">
        <f t="shared" si="161"/>
        <v>739.50369999999998</v>
      </c>
      <c r="Z266" s="1305">
        <f t="shared" si="161"/>
        <v>1142.1328000000001</v>
      </c>
    </row>
    <row r="267" spans="2:31" ht="14.25" customHeight="1">
      <c r="B267" s="129" t="s">
        <v>1156</v>
      </c>
      <c r="F267" s="1308"/>
      <c r="G267" s="1308"/>
      <c r="H267" s="1677">
        <f t="shared" si="162"/>
        <v>178.10830000000001</v>
      </c>
      <c r="I267" s="1305">
        <f t="shared" si="163"/>
        <v>385.774</v>
      </c>
      <c r="J267" s="1305">
        <f t="shared" si="163"/>
        <v>613.07100000000003</v>
      </c>
      <c r="K267" s="1305">
        <f t="shared" si="163"/>
        <v>771.66290557000002</v>
      </c>
      <c r="L267" s="1677">
        <f t="shared" si="164"/>
        <v>240.131</v>
      </c>
      <c r="M267" s="1305">
        <f t="shared" si="159"/>
        <v>564.71500000000003</v>
      </c>
      <c r="N267" s="1305">
        <f t="shared" si="159"/>
        <v>831.74310000000003</v>
      </c>
      <c r="O267" s="1305">
        <f t="shared" si="159"/>
        <v>1022</v>
      </c>
      <c r="P267" s="1677">
        <f t="shared" si="165"/>
        <v>338.46440000000001</v>
      </c>
      <c r="Q267" s="1305">
        <f t="shared" si="160"/>
        <v>754.07180000000005</v>
      </c>
      <c r="R267" s="1305">
        <f t="shared" si="160"/>
        <v>1202.2965999999999</v>
      </c>
      <c r="S267" s="2152">
        <f t="shared" si="160"/>
        <v>1516.3173220000001</v>
      </c>
      <c r="T267" s="1305">
        <f t="shared" si="166"/>
        <v>501.10180000000003</v>
      </c>
      <c r="U267" s="1305">
        <f t="shared" si="161"/>
        <v>1158.2482</v>
      </c>
      <c r="V267" s="1305">
        <f t="shared" si="161"/>
        <v>1804.1516999999999</v>
      </c>
      <c r="W267" s="2152">
        <f t="shared" si="161"/>
        <v>2200.5853246299998</v>
      </c>
      <c r="X267" s="1305">
        <f t="shared" si="167"/>
        <v>655.56509999999992</v>
      </c>
      <c r="Y267" s="1305">
        <f t="shared" si="161"/>
        <v>1536.0371</v>
      </c>
      <c r="Z267" s="1305">
        <f t="shared" si="161"/>
        <v>2395.2029000000002</v>
      </c>
    </row>
    <row r="268" spans="2:31" ht="14.25" customHeight="1">
      <c r="B268" s="129" t="s">
        <v>1153</v>
      </c>
      <c r="F268" s="1308"/>
      <c r="G268" s="1308"/>
      <c r="H268" s="1677">
        <f t="shared" si="162"/>
        <v>131.11330000000001</v>
      </c>
      <c r="I268" s="1305">
        <f t="shared" si="163"/>
        <v>226.56450000000001</v>
      </c>
      <c r="J268" s="1305">
        <f t="shared" si="163"/>
        <v>333.81400000000002</v>
      </c>
      <c r="K268" s="1305">
        <f t="shared" si="163"/>
        <v>431.73761000000002</v>
      </c>
      <c r="L268" s="1677">
        <f t="shared" si="164"/>
        <v>154.79400000000001</v>
      </c>
      <c r="M268" s="1305">
        <f t="shared" si="159"/>
        <v>328.66300000000001</v>
      </c>
      <c r="N268" s="1305">
        <f t="shared" si="159"/>
        <v>498.3999</v>
      </c>
      <c r="O268" s="1305">
        <f t="shared" si="159"/>
        <v>677</v>
      </c>
      <c r="P268" s="1677">
        <f t="shared" si="165"/>
        <v>229.70079999999999</v>
      </c>
      <c r="Q268" s="1305">
        <f t="shared" si="160"/>
        <v>524.90989999999999</v>
      </c>
      <c r="R268" s="1305">
        <f t="shared" si="160"/>
        <v>817.61239999999998</v>
      </c>
      <c r="S268" s="2152">
        <f t="shared" si="160"/>
        <v>1115.2160455000001</v>
      </c>
      <c r="T268" s="1305">
        <f t="shared" si="166"/>
        <v>385.34910000000002</v>
      </c>
      <c r="U268" s="1305">
        <f t="shared" si="161"/>
        <v>917.44730000000004</v>
      </c>
      <c r="V268" s="1305">
        <f t="shared" si="161"/>
        <v>1361.3373999999999</v>
      </c>
      <c r="W268" s="2152">
        <f t="shared" si="161"/>
        <v>1724.7249467499998</v>
      </c>
      <c r="X268" s="1305">
        <f t="shared" si="167"/>
        <v>623.43129999999996</v>
      </c>
      <c r="Y268" s="1305">
        <f t="shared" si="161"/>
        <v>1282.2172</v>
      </c>
      <c r="Z268" s="1305">
        <f t="shared" si="161"/>
        <v>2027.1206</v>
      </c>
    </row>
    <row r="269" spans="2:31" ht="14.25" customHeight="1">
      <c r="B269" s="129" t="s">
        <v>1154</v>
      </c>
      <c r="F269" s="1308"/>
      <c r="G269" s="1308"/>
      <c r="H269" s="1677">
        <f t="shared" si="162"/>
        <v>92.506</v>
      </c>
      <c r="I269" s="1305">
        <f t="shared" si="163"/>
        <v>180.85499999999999</v>
      </c>
      <c r="J269" s="1305">
        <f t="shared" si="163"/>
        <v>250.03229999999999</v>
      </c>
      <c r="K269" s="1305">
        <f t="shared" si="163"/>
        <v>339.46167019000001</v>
      </c>
      <c r="L269" s="1677">
        <f t="shared" si="164"/>
        <v>106.9205</v>
      </c>
      <c r="M269" s="1305">
        <f t="shared" si="159"/>
        <v>285.14699999999999</v>
      </c>
      <c r="N269" s="1305">
        <f t="shared" si="159"/>
        <v>436.2131</v>
      </c>
      <c r="O269" s="1305">
        <f t="shared" si="159"/>
        <v>613</v>
      </c>
      <c r="P269" s="1677">
        <f t="shared" si="165"/>
        <v>222.45079999999999</v>
      </c>
      <c r="Q269" s="1305">
        <f t="shared" si="160"/>
        <v>495.57209999999998</v>
      </c>
      <c r="R269" s="1305">
        <f t="shared" si="160"/>
        <v>818.81629999999996</v>
      </c>
      <c r="S269" s="2152">
        <f t="shared" si="160"/>
        <v>1009.651531</v>
      </c>
      <c r="T269" s="1305">
        <f t="shared" si="166"/>
        <v>434.59280000000001</v>
      </c>
      <c r="U269" s="1305">
        <f t="shared" si="161"/>
        <v>986.8143</v>
      </c>
      <c r="V269" s="1305">
        <f t="shared" si="161"/>
        <v>1504.6339</v>
      </c>
      <c r="W269" s="2152">
        <f t="shared" si="161"/>
        <v>1856.2376016799999</v>
      </c>
      <c r="X269" s="1305">
        <f t="shared" si="167"/>
        <v>746.07410000000004</v>
      </c>
      <c r="Y269" s="1305">
        <f>X269+Y222</f>
        <v>1707.5038999999999</v>
      </c>
      <c r="Z269" s="1305">
        <f t="shared" si="161"/>
        <v>2601.2579000000001</v>
      </c>
    </row>
    <row r="270" spans="2:31" ht="14.25" hidden="1" customHeight="1" outlineLevel="1">
      <c r="F270" s="1308"/>
      <c r="G270" s="1308"/>
      <c r="H270" s="1677">
        <f t="shared" si="162"/>
        <v>0</v>
      </c>
      <c r="I270" s="1305">
        <f t="shared" si="163"/>
        <v>0</v>
      </c>
      <c r="J270" s="1305">
        <f t="shared" si="163"/>
        <v>0</v>
      </c>
      <c r="K270" s="1305">
        <f t="shared" si="163"/>
        <v>0</v>
      </c>
      <c r="L270" s="1677">
        <f t="shared" si="164"/>
        <v>0</v>
      </c>
      <c r="M270" s="1305">
        <f t="shared" si="159"/>
        <v>0</v>
      </c>
      <c r="N270" s="1305">
        <f t="shared" si="159"/>
        <v>0</v>
      </c>
      <c r="O270" s="1305">
        <f t="shared" si="159"/>
        <v>0</v>
      </c>
      <c r="P270" s="1677">
        <f t="shared" si="165"/>
        <v>0</v>
      </c>
      <c r="Q270" s="1305">
        <f t="shared" si="160"/>
        <v>0</v>
      </c>
      <c r="R270" s="1305">
        <f t="shared" si="160"/>
        <v>0</v>
      </c>
      <c r="S270" s="2152">
        <f t="shared" si="160"/>
        <v>0</v>
      </c>
      <c r="T270" s="1305">
        <f t="shared" si="166"/>
        <v>0</v>
      </c>
      <c r="U270" s="1305">
        <f t="shared" si="161"/>
        <v>0</v>
      </c>
      <c r="V270" s="1305">
        <f t="shared" si="161"/>
        <v>0</v>
      </c>
      <c r="W270" s="2152">
        <f t="shared" si="161"/>
        <v>0</v>
      </c>
      <c r="X270" s="1305">
        <f t="shared" si="167"/>
        <v>0</v>
      </c>
      <c r="Y270" s="1305">
        <f t="shared" si="161"/>
        <v>0</v>
      </c>
      <c r="Z270" s="1305">
        <f t="shared" si="161"/>
        <v>0</v>
      </c>
    </row>
    <row r="271" spans="2:31" ht="14.25" customHeight="1" collapsed="1">
      <c r="B271" s="129" t="s">
        <v>1244</v>
      </c>
      <c r="F271" s="1308"/>
      <c r="G271" s="1308"/>
      <c r="H271" s="1677">
        <f t="shared" si="162"/>
        <v>149.18180000000001</v>
      </c>
      <c r="I271" s="1305">
        <f t="shared" si="163"/>
        <v>370.13040000000001</v>
      </c>
      <c r="J271" s="1305">
        <f t="shared" si="163"/>
        <v>594.16510000000005</v>
      </c>
      <c r="K271" s="1305">
        <f t="shared" si="163"/>
        <v>763.12768206999999</v>
      </c>
      <c r="L271" s="1677">
        <f t="shared" si="164"/>
        <v>178.8486</v>
      </c>
      <c r="M271" s="1305">
        <f t="shared" si="159"/>
        <v>418.03949999999998</v>
      </c>
      <c r="N271" s="1305">
        <f t="shared" si="159"/>
        <v>683.42239999999993</v>
      </c>
      <c r="O271" s="1305">
        <f t="shared" si="159"/>
        <v>877.34246230999997</v>
      </c>
      <c r="P271" s="1677">
        <f t="shared" si="165"/>
        <v>229.81649999999999</v>
      </c>
      <c r="Q271" s="1305">
        <f t="shared" si="160"/>
        <v>605.11030000000005</v>
      </c>
      <c r="R271" s="1305">
        <f t="shared" si="160"/>
        <v>969.02599999999995</v>
      </c>
      <c r="S271" s="2152">
        <f t="shared" si="160"/>
        <v>1465.4088793600001</v>
      </c>
      <c r="T271" s="1305">
        <f t="shared" si="166"/>
        <v>413.38040000000001</v>
      </c>
      <c r="U271" s="1305">
        <f t="shared" si="161"/>
        <v>1058.4455</v>
      </c>
      <c r="V271" s="1305">
        <f t="shared" si="161"/>
        <v>1793.6223</v>
      </c>
      <c r="W271" s="2152">
        <f t="shared" si="161"/>
        <v>2451.7962248399999</v>
      </c>
      <c r="X271" s="1305">
        <f t="shared" si="167"/>
        <v>633.04550000000006</v>
      </c>
      <c r="Y271" s="1305">
        <f t="shared" si="161"/>
        <v>1542.9043999999999</v>
      </c>
      <c r="Z271" s="1305">
        <f t="shared" si="161"/>
        <v>2576.0120999999999</v>
      </c>
    </row>
    <row r="272" spans="2:31" ht="14.25" customHeight="1">
      <c r="B272" s="144" t="s">
        <v>1482</v>
      </c>
      <c r="F272" s="1308"/>
      <c r="G272" s="1308"/>
      <c r="H272" s="1677">
        <f t="shared" si="162"/>
        <v>13.806800000000001</v>
      </c>
      <c r="I272" s="1305">
        <f t="shared" si="163"/>
        <v>45.869</v>
      </c>
      <c r="J272" s="1305">
        <f t="shared" si="163"/>
        <v>76.388099999999994</v>
      </c>
      <c r="K272" s="1305">
        <f t="shared" si="163"/>
        <v>106.83578068</v>
      </c>
      <c r="L272" s="1677">
        <f t="shared" si="164"/>
        <v>27.9986</v>
      </c>
      <c r="M272" s="1305">
        <f t="shared" si="159"/>
        <v>71.477000000000004</v>
      </c>
      <c r="N272" s="1305">
        <f t="shared" si="159"/>
        <v>112.81180000000001</v>
      </c>
      <c r="O272" s="1305">
        <f t="shared" si="159"/>
        <v>142.09815850999999</v>
      </c>
      <c r="P272" s="1677">
        <f t="shared" si="165"/>
        <v>33.588799999999999</v>
      </c>
      <c r="Q272" s="1305">
        <f t="shared" si="160"/>
        <v>95.981700000000004</v>
      </c>
      <c r="R272" s="1305">
        <f t="shared" si="160"/>
        <v>153.7011</v>
      </c>
      <c r="S272" s="2152">
        <f t="shared" si="160"/>
        <v>205.30791936</v>
      </c>
      <c r="T272" s="1305">
        <f t="shared" si="166"/>
        <v>67.266400000000004</v>
      </c>
      <c r="U272" s="1305">
        <f t="shared" si="161"/>
        <v>188.65729999999999</v>
      </c>
      <c r="V272" s="1305">
        <f t="shared" si="161"/>
        <v>327.78089999999997</v>
      </c>
      <c r="W272" s="2152">
        <f t="shared" si="161"/>
        <v>445.41769389999996</v>
      </c>
      <c r="X272" s="1305">
        <f t="shared" si="167"/>
        <v>103.7105</v>
      </c>
      <c r="Y272" s="1305">
        <f t="shared" si="161"/>
        <v>290.16070000000002</v>
      </c>
      <c r="Z272" s="1305">
        <f t="shared" si="161"/>
        <v>488.02539999999999</v>
      </c>
    </row>
    <row r="273" spans="2:31" ht="14.25" customHeight="1">
      <c r="B273" s="144" t="s">
        <v>1483</v>
      </c>
      <c r="H273" s="1677">
        <f t="shared" si="162"/>
        <v>135.375</v>
      </c>
      <c r="I273" s="1305">
        <f t="shared" si="163"/>
        <v>324.26139999999998</v>
      </c>
      <c r="J273" s="1305">
        <f t="shared" si="163"/>
        <v>517.77700000000004</v>
      </c>
      <c r="K273" s="1305">
        <f t="shared" si="163"/>
        <v>656.29190139000002</v>
      </c>
      <c r="L273" s="1677">
        <f t="shared" si="164"/>
        <v>150.85</v>
      </c>
      <c r="M273" s="1305">
        <f t="shared" si="159"/>
        <v>346.5625</v>
      </c>
      <c r="N273" s="1305">
        <f t="shared" si="159"/>
        <v>570.61059999999998</v>
      </c>
      <c r="O273" s="1305">
        <f t="shared" si="159"/>
        <v>735.24430380000001</v>
      </c>
      <c r="P273" s="1677">
        <f t="shared" si="165"/>
        <v>196.2277</v>
      </c>
      <c r="Q273" s="1305">
        <f t="shared" si="160"/>
        <v>509.12860000000001</v>
      </c>
      <c r="R273" s="1305">
        <f t="shared" si="160"/>
        <v>815.32489999999984</v>
      </c>
      <c r="S273" s="2152">
        <f t="shared" si="160"/>
        <v>1260.10096</v>
      </c>
      <c r="T273" s="1305">
        <f t="shared" si="166"/>
        <v>346.11400000000003</v>
      </c>
      <c r="U273" s="1305">
        <f t="shared" si="161"/>
        <v>869.78820000000007</v>
      </c>
      <c r="V273" s="1305">
        <f t="shared" si="161"/>
        <v>1465.8414</v>
      </c>
      <c r="W273" s="2152">
        <f t="shared" si="161"/>
        <v>2006.37853094</v>
      </c>
      <c r="X273" s="1305">
        <f t="shared" si="167"/>
        <v>529.33500000000004</v>
      </c>
      <c r="Y273" s="1305">
        <f t="shared" si="161"/>
        <v>1252.7437</v>
      </c>
      <c r="Z273" s="1305">
        <f t="shared" si="161"/>
        <v>2087.9866999999999</v>
      </c>
    </row>
    <row r="276" spans="2:31" ht="14.25" customHeight="1">
      <c r="B276" s="1348" t="s">
        <v>1501</v>
      </c>
      <c r="C276" s="1349"/>
      <c r="D276" s="1350" t="s">
        <v>1059</v>
      </c>
      <c r="E276" s="1350" t="s">
        <v>1060</v>
      </c>
      <c r="F276" s="1350" t="s">
        <v>1068</v>
      </c>
      <c r="G276" s="1350" t="s">
        <v>1073</v>
      </c>
      <c r="H276" s="1673" t="s">
        <v>1076</v>
      </c>
      <c r="I276" s="1350" t="s">
        <v>1094</v>
      </c>
      <c r="J276" s="1350" t="s">
        <v>1208</v>
      </c>
      <c r="K276" s="1350">
        <v>2021</v>
      </c>
      <c r="L276" s="1673" t="s">
        <v>1209</v>
      </c>
      <c r="M276" s="1350" t="s">
        <v>1210</v>
      </c>
      <c r="N276" s="1350" t="s">
        <v>1230</v>
      </c>
      <c r="O276" s="1350">
        <v>2022</v>
      </c>
      <c r="P276" s="1673" t="s">
        <v>1273</v>
      </c>
      <c r="Q276" s="1350" t="s">
        <v>1240</v>
      </c>
      <c r="R276" s="1350" t="s">
        <v>1274</v>
      </c>
      <c r="S276" s="1351">
        <v>2023</v>
      </c>
      <c r="T276" s="1350" t="s">
        <v>1275</v>
      </c>
      <c r="U276" s="1350" t="s">
        <v>1476</v>
      </c>
      <c r="V276" s="1350" t="s">
        <v>1548</v>
      </c>
      <c r="W276" s="1351" t="s">
        <v>1070</v>
      </c>
      <c r="X276" s="1350" t="str">
        <f>X262</f>
        <v>1Q25</v>
      </c>
      <c r="Y276" s="1351" t="str">
        <f>Y262</f>
        <v>1H25</v>
      </c>
      <c r="Z276" s="1350" t="s">
        <v>1805</v>
      </c>
      <c r="AA276" s="1351"/>
      <c r="AB276" s="2130"/>
      <c r="AC276" s="2130"/>
      <c r="AD276" s="2130"/>
      <c r="AE276" s="2130"/>
    </row>
    <row r="277" spans="2:31" s="133" customFormat="1" ht="14.25" customHeight="1">
      <c r="B277" s="133" t="s">
        <v>827</v>
      </c>
      <c r="H277" s="1686"/>
      <c r="L277" s="1681">
        <f t="shared" ref="L277:L283" si="168">L263/H263-1</f>
        <v>0.17140790984074572</v>
      </c>
      <c r="M277" s="1457">
        <f t="shared" ref="M277:M283" si="169">M263/I263-1</f>
        <v>0.16386087795759208</v>
      </c>
      <c r="N277" s="1457">
        <f t="shared" ref="N277:N283" si="170">N263/J263-1</f>
        <v>0.19530485942497489</v>
      </c>
      <c r="O277" s="1457">
        <f t="shared" ref="O277:O283" si="171">O263/K263-1</f>
        <v>0.21949002119090855</v>
      </c>
      <c r="P277" s="1681">
        <f t="shared" ref="P277:P283" si="172">P263/L263-1</f>
        <v>0.2448542718750748</v>
      </c>
      <c r="Q277" s="1457">
        <f t="shared" ref="Q277:Q283" si="173">Q263/M263-1</f>
        <v>0.27623761438087024</v>
      </c>
      <c r="R277" s="1457">
        <f t="shared" ref="R277:R283" si="174">R263/N263-1</f>
        <v>0.30163325909652228</v>
      </c>
      <c r="S277" s="2255">
        <f t="shared" ref="S277:S283" si="175">S263/O263-1</f>
        <v>0.32477985557470768</v>
      </c>
      <c r="T277" s="1457">
        <f>T263/P263-1</f>
        <v>0.39762014226123732</v>
      </c>
      <c r="U277" s="2170">
        <v>0.44116951039888685</v>
      </c>
      <c r="V277" s="1457">
        <f t="shared" ref="V277:V283" si="176">V263/R263-1</f>
        <v>0.45306511487317436</v>
      </c>
      <c r="W277" s="2255">
        <f t="shared" ref="W277:Y283" si="177">W263/S263-1</f>
        <v>0.40631850427869987</v>
      </c>
      <c r="X277" s="1457">
        <f>X263/T263-1</f>
        <v>0.39296163806862339</v>
      </c>
      <c r="Y277" s="1457">
        <f>Y263/U263-1</f>
        <v>0.36492532882319795</v>
      </c>
      <c r="Z277" s="1457">
        <f t="shared" ref="Z277:Z283" si="178">Z263/V263-1</f>
        <v>0.34186726676167711</v>
      </c>
      <c r="AA277" s="1457"/>
    </row>
    <row r="278" spans="2:31" s="133" customFormat="1" ht="14.25" customHeight="1">
      <c r="B278" s="133" t="s">
        <v>1144</v>
      </c>
      <c r="H278" s="1686"/>
      <c r="L278" s="1681">
        <f t="shared" si="168"/>
        <v>7.0660519549363698E-2</v>
      </c>
      <c r="M278" s="1457">
        <f t="shared" si="169"/>
        <v>-4.082471360753237E-3</v>
      </c>
      <c r="N278" s="1457">
        <f t="shared" si="170"/>
        <v>4.5844015497933377E-2</v>
      </c>
      <c r="O278" s="1457">
        <f t="shared" si="171"/>
        <v>4.8430019830854265E-2</v>
      </c>
      <c r="P278" s="1681">
        <f t="shared" si="172"/>
        <v>7.250330946947825E-2</v>
      </c>
      <c r="Q278" s="1457">
        <f t="shared" si="173"/>
        <v>0.12760601500109225</v>
      </c>
      <c r="R278" s="1457">
        <f t="shared" si="174"/>
        <v>0.10002364780068174</v>
      </c>
      <c r="S278" s="2255">
        <f t="shared" si="175"/>
        <v>0.12133396958855092</v>
      </c>
      <c r="T278" s="1457">
        <f t="shared" ref="T278:T283" si="179">T264/P264-1</f>
        <v>9.9428041663409683E-2</v>
      </c>
      <c r="U278" s="2170">
        <v>0.13786879640142824</v>
      </c>
      <c r="V278" s="1457">
        <f t="shared" si="176"/>
        <v>0.16441782818523576</v>
      </c>
      <c r="W278" s="2255">
        <f t="shared" si="177"/>
        <v>0.15926737903153576</v>
      </c>
      <c r="X278" s="1457">
        <f t="shared" si="177"/>
        <v>0.21578913473858607</v>
      </c>
      <c r="Y278" s="1457">
        <f t="shared" si="177"/>
        <v>0.20611116446193045</v>
      </c>
      <c r="Z278" s="1457">
        <f>Z264/V264-1</f>
        <v>0.1350464521093615</v>
      </c>
      <c r="AA278" s="1457"/>
    </row>
    <row r="279" spans="2:31" ht="14.25" customHeight="1">
      <c r="B279" s="129" t="s">
        <v>1157</v>
      </c>
      <c r="L279" s="1682">
        <f t="shared" si="168"/>
        <v>0.35146215964452265</v>
      </c>
      <c r="M279" s="125">
        <f t="shared" si="169"/>
        <v>0.27145575224307761</v>
      </c>
      <c r="N279" s="125">
        <f t="shared" si="170"/>
        <v>0.32613191018432164</v>
      </c>
      <c r="O279" s="125">
        <f t="shared" si="171"/>
        <v>0.39948571115392095</v>
      </c>
      <c r="P279" s="1682">
        <f t="shared" si="172"/>
        <v>0.26434121039155412</v>
      </c>
      <c r="Q279" s="125">
        <f t="shared" si="173"/>
        <v>0.27976551533532623</v>
      </c>
      <c r="R279" s="125">
        <f t="shared" si="174"/>
        <v>0.37707204805420158</v>
      </c>
      <c r="S279" s="2196">
        <f t="shared" si="175"/>
        <v>0.32837145336812146</v>
      </c>
      <c r="T279" s="125">
        <f t="shared" si="179"/>
        <v>0.54388786858039806</v>
      </c>
      <c r="U279" s="2171">
        <v>0.51864342675671815</v>
      </c>
      <c r="V279" s="125">
        <f t="shared" si="176"/>
        <v>0.54044248360542535</v>
      </c>
      <c r="W279" s="2196">
        <f t="shared" si="177"/>
        <v>0.48171827775706455</v>
      </c>
      <c r="X279" s="125">
        <f t="shared" si="177"/>
        <v>0.28567417715162846</v>
      </c>
      <c r="Y279" s="125">
        <f>Y265/U265-1</f>
        <v>0.28912567421730118</v>
      </c>
      <c r="Z279" s="125">
        <f t="shared" si="178"/>
        <v>0.28149957052181551</v>
      </c>
      <c r="AA279" s="125"/>
    </row>
    <row r="280" spans="2:31" ht="14.25" customHeight="1">
      <c r="B280" s="129" t="s">
        <v>1152</v>
      </c>
      <c r="L280" s="1682">
        <f t="shared" si="168"/>
        <v>0.18127835182164365</v>
      </c>
      <c r="M280" s="125">
        <f t="shared" si="169"/>
        <v>0.13714621551615869</v>
      </c>
      <c r="N280" s="125">
        <f t="shared" si="170"/>
        <v>0.18323367483823993</v>
      </c>
      <c r="O280" s="125">
        <f t="shared" si="171"/>
        <v>0.26832563571011137</v>
      </c>
      <c r="P280" s="1682">
        <f t="shared" si="172"/>
        <v>7.9730036175979846E-2</v>
      </c>
      <c r="Q280" s="125">
        <f t="shared" si="173"/>
        <v>6.9750857047588211E-2</v>
      </c>
      <c r="R280" s="125">
        <f t="shared" si="174"/>
        <v>9.9100592833354373E-2</v>
      </c>
      <c r="S280" s="2196">
        <f t="shared" si="175"/>
        <v>9.8137203351955415E-2</v>
      </c>
      <c r="T280" s="125">
        <f t="shared" si="179"/>
        <v>1.5707523256181188E-2</v>
      </c>
      <c r="U280" s="2171">
        <v>9.5018142869889077E-2</v>
      </c>
      <c r="V280" s="125">
        <f t="shared" si="176"/>
        <v>0.2186521242204591</v>
      </c>
      <c r="W280" s="2196">
        <f t="shared" si="177"/>
        <v>0.17406505100582237</v>
      </c>
      <c r="X280" s="125">
        <f t="shared" si="177"/>
        <v>0.3193628474866117</v>
      </c>
      <c r="Y280" s="125">
        <f t="shared" si="177"/>
        <v>0.31563500286787427</v>
      </c>
      <c r="Z280" s="125">
        <f t="shared" si="178"/>
        <v>0.21986647326234388</v>
      </c>
      <c r="AA280" s="125"/>
    </row>
    <row r="281" spans="2:31" ht="14.25" customHeight="1">
      <c r="B281" s="129" t="s">
        <v>1156</v>
      </c>
      <c r="L281" s="1682">
        <f t="shared" si="168"/>
        <v>0.34823026214948993</v>
      </c>
      <c r="M281" s="125">
        <f t="shared" si="169"/>
        <v>0.46384930036757277</v>
      </c>
      <c r="N281" s="125">
        <f t="shared" si="170"/>
        <v>0.356683157415699</v>
      </c>
      <c r="O281" s="125">
        <f t="shared" si="171"/>
        <v>0.32441250269129474</v>
      </c>
      <c r="P281" s="1682">
        <f t="shared" si="172"/>
        <v>0.40949898180576438</v>
      </c>
      <c r="Q281" s="125">
        <f t="shared" si="173"/>
        <v>0.33531391941067623</v>
      </c>
      <c r="R281" s="125">
        <f t="shared" si="174"/>
        <v>0.44551436615464546</v>
      </c>
      <c r="S281" s="2196">
        <f t="shared" si="175"/>
        <v>0.48367644031311174</v>
      </c>
      <c r="T281" s="125">
        <f t="shared" si="179"/>
        <v>0.48051552836871481</v>
      </c>
      <c r="U281" s="2171">
        <v>0.5358953882110431</v>
      </c>
      <c r="V281" s="125">
        <f t="shared" si="176"/>
        <v>0.50058787490541024</v>
      </c>
      <c r="W281" s="2196">
        <f t="shared" si="177"/>
        <v>0.45126966018396497</v>
      </c>
      <c r="X281" s="125">
        <f t="shared" si="177"/>
        <v>0.30824734614802796</v>
      </c>
      <c r="Y281" s="125">
        <f t="shared" si="177"/>
        <v>0.32617266316494176</v>
      </c>
      <c r="Z281" s="125">
        <f t="shared" si="178"/>
        <v>0.32760615418315453</v>
      </c>
      <c r="AA281" s="125"/>
    </row>
    <row r="282" spans="2:31" ht="14.25" customHeight="1">
      <c r="B282" s="129" t="s">
        <v>1153</v>
      </c>
      <c r="L282" s="1682">
        <f t="shared" si="168"/>
        <v>0.18061249316430894</v>
      </c>
      <c r="M282" s="125">
        <f t="shared" si="169"/>
        <v>0.45063767712947089</v>
      </c>
      <c r="N282" s="125">
        <f t="shared" si="170"/>
        <v>0.49304672662021365</v>
      </c>
      <c r="O282" s="125">
        <f t="shared" si="171"/>
        <v>0.56808205798887879</v>
      </c>
      <c r="P282" s="1682">
        <f t="shared" si="172"/>
        <v>0.4839128131581325</v>
      </c>
      <c r="Q282" s="125">
        <f t="shared" si="173"/>
        <v>0.59710676285435227</v>
      </c>
      <c r="R282" s="125">
        <f t="shared" si="174"/>
        <v>0.64047464696521805</v>
      </c>
      <c r="S282" s="2196">
        <f t="shared" si="175"/>
        <v>0.64729105686853772</v>
      </c>
      <c r="T282" s="125">
        <f t="shared" si="179"/>
        <v>0.67761322555254511</v>
      </c>
      <c r="U282" s="2171">
        <v>0.75568111784517678</v>
      </c>
      <c r="V282" s="125">
        <f t="shared" si="176"/>
        <v>0.6650155990784874</v>
      </c>
      <c r="W282" s="2196">
        <f t="shared" si="177"/>
        <v>0.54653885559611926</v>
      </c>
      <c r="X282" s="125">
        <f t="shared" si="177"/>
        <v>0.61783510069181413</v>
      </c>
      <c r="Y282" s="125">
        <f t="shared" si="177"/>
        <v>0.39759221047356075</v>
      </c>
      <c r="Z282" s="125">
        <f t="shared" si="178"/>
        <v>0.48906553217446325</v>
      </c>
      <c r="AA282" s="125"/>
    </row>
    <row r="283" spans="2:31" ht="14.25" customHeight="1">
      <c r="B283" s="129" t="s">
        <v>1154</v>
      </c>
      <c r="L283" s="1682">
        <f t="shared" si="168"/>
        <v>0.1558223250383759</v>
      </c>
      <c r="M283" s="125">
        <f t="shared" si="169"/>
        <v>0.57666086091067426</v>
      </c>
      <c r="N283" s="125">
        <f t="shared" si="170"/>
        <v>0.74462699419235046</v>
      </c>
      <c r="O283" s="125">
        <f t="shared" si="171"/>
        <v>0.80580034163178982</v>
      </c>
      <c r="P283" s="1682">
        <f t="shared" si="172"/>
        <v>1.0805252500689764</v>
      </c>
      <c r="Q283" s="125">
        <f t="shared" si="173"/>
        <v>0.73795305579227555</v>
      </c>
      <c r="R283" s="125">
        <f t="shared" si="174"/>
        <v>0.87710158177276187</v>
      </c>
      <c r="S283" s="2196">
        <f t="shared" si="175"/>
        <v>0.64706611908645995</v>
      </c>
      <c r="T283" s="125">
        <f t="shared" si="179"/>
        <v>0.95365806731196301</v>
      </c>
      <c r="U283" s="2171">
        <v>0.99139741724766184</v>
      </c>
      <c r="V283" s="125">
        <f t="shared" si="176"/>
        <v>0.83757199264352722</v>
      </c>
      <c r="W283" s="2196">
        <f t="shared" si="177"/>
        <v>0.83849332634746432</v>
      </c>
      <c r="X283" s="125">
        <f t="shared" si="177"/>
        <v>0.71671988123135044</v>
      </c>
      <c r="Y283" s="125">
        <f>Y269/U269-1</f>
        <v>0.73031937214529608</v>
      </c>
      <c r="Z283" s="125">
        <f t="shared" si="178"/>
        <v>0.7288311130036349</v>
      </c>
      <c r="AA283" s="125"/>
    </row>
    <row r="284" spans="2:31" ht="14.25" hidden="1" customHeight="1">
      <c r="L284" s="1682"/>
      <c r="M284" s="125"/>
      <c r="N284" s="125"/>
      <c r="O284" s="125"/>
      <c r="P284" s="1682"/>
      <c r="Q284" s="125"/>
      <c r="R284" s="125"/>
      <c r="S284" s="2196"/>
      <c r="T284" s="125"/>
      <c r="U284" s="2171"/>
      <c r="V284" s="125"/>
      <c r="W284" s="2196"/>
      <c r="X284" s="125"/>
      <c r="Y284" s="125"/>
      <c r="Z284" s="125"/>
      <c r="AA284" s="125"/>
    </row>
    <row r="285" spans="2:31" ht="14.25" customHeight="1">
      <c r="B285" s="129" t="s">
        <v>1244</v>
      </c>
      <c r="L285" s="1682">
        <f t="shared" ref="L285:Z287" si="180">L271/H271-1</f>
        <v>0.19886340022710547</v>
      </c>
      <c r="M285" s="125">
        <f t="shared" si="180"/>
        <v>0.12943843575129188</v>
      </c>
      <c r="N285" s="125">
        <f t="shared" si="180"/>
        <v>0.15022306089671011</v>
      </c>
      <c r="O285" s="125">
        <f t="shared" si="180"/>
        <v>0.14966667167699899</v>
      </c>
      <c r="P285" s="1682">
        <f t="shared" si="180"/>
        <v>0.28497790868924877</v>
      </c>
      <c r="Q285" s="125">
        <f t="shared" si="180"/>
        <v>0.44749551178776192</v>
      </c>
      <c r="R285" s="125">
        <f t="shared" si="180"/>
        <v>0.41790201784430847</v>
      </c>
      <c r="S285" s="2196">
        <f t="shared" si="180"/>
        <v>0.6702814947559359</v>
      </c>
      <c r="T285" s="125">
        <f t="shared" si="180"/>
        <v>0.79874116958529973</v>
      </c>
      <c r="U285" s="2171">
        <v>0.73456855717048586</v>
      </c>
      <c r="V285" s="125">
        <f t="shared" si="180"/>
        <v>0.85095374117928735</v>
      </c>
      <c r="W285" s="2196">
        <f t="shared" si="180"/>
        <v>0.67311407715148608</v>
      </c>
      <c r="X285" s="125">
        <f t="shared" si="180"/>
        <v>0.53138731299306907</v>
      </c>
      <c r="Y285" s="125">
        <f t="shared" si="180"/>
        <v>0.45770793111218278</v>
      </c>
      <c r="Z285" s="125">
        <f t="shared" si="180"/>
        <v>0.43620655251665852</v>
      </c>
      <c r="AA285" s="125"/>
    </row>
    <row r="286" spans="2:31" ht="14.25" customHeight="1">
      <c r="B286" s="144" t="s">
        <v>1482</v>
      </c>
      <c r="L286" s="1682">
        <f t="shared" si="180"/>
        <v>1.0278848103832892</v>
      </c>
      <c r="M286" s="125">
        <f t="shared" si="180"/>
        <v>0.55828555233382038</v>
      </c>
      <c r="N286" s="125">
        <f t="shared" si="180"/>
        <v>0.4768242697488223</v>
      </c>
      <c r="O286" s="125">
        <f t="shared" si="180"/>
        <v>0.33006149817559405</v>
      </c>
      <c r="P286" s="1682">
        <f t="shared" si="180"/>
        <v>0.19965998299914989</v>
      </c>
      <c r="Q286" s="125">
        <f t="shared" si="180"/>
        <v>0.3428333589826098</v>
      </c>
      <c r="R286" s="125">
        <f t="shared" si="180"/>
        <v>0.36245587784256594</v>
      </c>
      <c r="S286" s="2196">
        <f t="shared" si="180"/>
        <v>0.44483166786114059</v>
      </c>
      <c r="T286" s="125">
        <f t="shared" si="180"/>
        <v>1.0026437383889868</v>
      </c>
      <c r="U286" s="2171">
        <v>0.96555489223466551</v>
      </c>
      <c r="V286" s="125">
        <f t="shared" si="180"/>
        <v>1.1325865592373767</v>
      </c>
      <c r="W286" s="2196">
        <f t="shared" si="180"/>
        <v>1.1695105346568546</v>
      </c>
      <c r="X286" s="125">
        <f t="shared" si="180"/>
        <v>0.54178757893985696</v>
      </c>
      <c r="Y286" s="125">
        <f t="shared" si="180"/>
        <v>0.53803059833889288</v>
      </c>
      <c r="Z286" s="125">
        <f t="shared" si="180"/>
        <v>0.48887686866440361</v>
      </c>
      <c r="AA286" s="125"/>
    </row>
    <row r="287" spans="2:31" ht="14.25" customHeight="1">
      <c r="B287" s="144" t="s">
        <v>1483</v>
      </c>
      <c r="L287" s="1682">
        <f t="shared" si="180"/>
        <v>0.11431209602954762</v>
      </c>
      <c r="M287" s="125">
        <f t="shared" si="180"/>
        <v>6.877506850954207E-2</v>
      </c>
      <c r="N287" s="125">
        <f t="shared" si="180"/>
        <v>0.10203929490881203</v>
      </c>
      <c r="O287" s="125">
        <f t="shared" si="180"/>
        <v>0.12030074154927406</v>
      </c>
      <c r="P287" s="1682">
        <f t="shared" si="180"/>
        <v>0.30081339078554858</v>
      </c>
      <c r="Q287" s="125">
        <f t="shared" si="180"/>
        <v>0.46908162308385926</v>
      </c>
      <c r="R287" s="125">
        <f t="shared" si="180"/>
        <v>0.42886392226152115</v>
      </c>
      <c r="S287" s="2196">
        <f t="shared" si="180"/>
        <v>0.71385341373929312</v>
      </c>
      <c r="T287" s="125">
        <f t="shared" si="180"/>
        <v>0.76383864255658107</v>
      </c>
      <c r="U287" s="2171">
        <v>0.69102266107227117</v>
      </c>
      <c r="V287" s="125">
        <f t="shared" si="180"/>
        <v>0.79786168679504366</v>
      </c>
      <c r="W287" s="2196">
        <f t="shared" si="180"/>
        <v>0.59223633234911599</v>
      </c>
      <c r="X287" s="125">
        <f t="shared" si="180"/>
        <v>0.52936604702496859</v>
      </c>
      <c r="Y287" s="125">
        <f t="shared" si="180"/>
        <v>0.44028592248089815</v>
      </c>
      <c r="Z287" s="125">
        <f t="shared" si="180"/>
        <v>0.42442879563914615</v>
      </c>
      <c r="AA287" s="125"/>
    </row>
    <row r="289" spans="2:31" ht="14.25" customHeight="1">
      <c r="B289" s="1348" t="s">
        <v>1502</v>
      </c>
      <c r="C289" s="1349"/>
      <c r="D289" s="1350" t="s">
        <v>1059</v>
      </c>
      <c r="E289" s="1350" t="s">
        <v>1060</v>
      </c>
      <c r="F289" s="1350" t="s">
        <v>1068</v>
      </c>
      <c r="G289" s="1350" t="s">
        <v>1073</v>
      </c>
      <c r="H289" s="1673" t="s">
        <v>1076</v>
      </c>
      <c r="I289" s="1350" t="s">
        <v>1094</v>
      </c>
      <c r="J289" s="1350" t="s">
        <v>1208</v>
      </c>
      <c r="K289" s="1350">
        <v>2021</v>
      </c>
      <c r="L289" s="1673" t="s">
        <v>1209</v>
      </c>
      <c r="M289" s="1350" t="s">
        <v>1210</v>
      </c>
      <c r="N289" s="1350" t="s">
        <v>1230</v>
      </c>
      <c r="O289" s="1350">
        <v>2022</v>
      </c>
      <c r="P289" s="1673" t="s">
        <v>1273</v>
      </c>
      <c r="Q289" s="1350" t="s">
        <v>1240</v>
      </c>
      <c r="R289" s="1350" t="s">
        <v>1274</v>
      </c>
      <c r="S289" s="1351">
        <v>2023</v>
      </c>
      <c r="T289" s="1350" t="s">
        <v>1275</v>
      </c>
      <c r="U289" s="1350" t="s">
        <v>1476</v>
      </c>
      <c r="V289" s="1350" t="s">
        <v>1548</v>
      </c>
      <c r="W289" s="1351" t="s">
        <v>1070</v>
      </c>
      <c r="X289" s="1350" t="str">
        <f>X276</f>
        <v>1Q25</v>
      </c>
      <c r="Y289" s="1351" t="str">
        <f>Y276</f>
        <v>1H25</v>
      </c>
      <c r="Z289" s="1350" t="s">
        <v>1805</v>
      </c>
      <c r="AA289" s="1351"/>
      <c r="AB289" s="2130"/>
      <c r="AC289" s="2130"/>
      <c r="AD289" s="2130"/>
      <c r="AE289" s="2130"/>
    </row>
    <row r="290" spans="2:31" ht="14.25" customHeight="1">
      <c r="B290" s="133" t="s">
        <v>827</v>
      </c>
      <c r="H290" s="1682">
        <f t="shared" ref="H290:W290" si="181">H263/H$263</f>
        <v>1</v>
      </c>
      <c r="I290" s="125">
        <f t="shared" si="181"/>
        <v>1</v>
      </c>
      <c r="J290" s="125">
        <f t="shared" si="181"/>
        <v>1</v>
      </c>
      <c r="K290" s="125">
        <f t="shared" si="181"/>
        <v>1</v>
      </c>
      <c r="L290" s="1682">
        <f t="shared" si="181"/>
        <v>1</v>
      </c>
      <c r="M290" s="125">
        <f t="shared" si="181"/>
        <v>1</v>
      </c>
      <c r="N290" s="125">
        <f t="shared" si="181"/>
        <v>1</v>
      </c>
      <c r="O290" s="125">
        <f t="shared" si="181"/>
        <v>1</v>
      </c>
      <c r="P290" s="1682">
        <f t="shared" si="181"/>
        <v>1</v>
      </c>
      <c r="Q290" s="125">
        <f t="shared" si="181"/>
        <v>1</v>
      </c>
      <c r="R290" s="125">
        <f t="shared" si="181"/>
        <v>1</v>
      </c>
      <c r="S290" s="2196">
        <f t="shared" si="181"/>
        <v>1</v>
      </c>
      <c r="T290" s="125">
        <f t="shared" si="181"/>
        <v>1</v>
      </c>
      <c r="U290" s="125">
        <f t="shared" si="181"/>
        <v>1</v>
      </c>
      <c r="V290" s="125">
        <f t="shared" si="181"/>
        <v>1</v>
      </c>
      <c r="W290" s="2196">
        <f t="shared" si="181"/>
        <v>1</v>
      </c>
      <c r="X290" s="125">
        <f t="shared" ref="X290:Z300" si="182">X263/X$263</f>
        <v>1</v>
      </c>
      <c r="Y290" s="125">
        <f t="shared" si="182"/>
        <v>1</v>
      </c>
      <c r="Z290" s="125">
        <f t="shared" si="182"/>
        <v>1</v>
      </c>
    </row>
    <row r="291" spans="2:31" s="133" customFormat="1" ht="14.25" customHeight="1">
      <c r="B291" s="133" t="s">
        <v>1144</v>
      </c>
      <c r="H291" s="1682">
        <f t="shared" ref="H291:H300" si="183">H264/H$263</f>
        <v>0.42952810260957669</v>
      </c>
      <c r="I291" s="1457">
        <f t="shared" ref="I291:L300" si="184">I264/I$263</f>
        <v>0.45054916359220432</v>
      </c>
      <c r="J291" s="1457">
        <f t="shared" si="184"/>
        <v>0.46042497553213935</v>
      </c>
      <c r="K291" s="1457">
        <f t="shared" si="184"/>
        <v>0.45938241054997425</v>
      </c>
      <c r="L291" s="1682">
        <f t="shared" si="184"/>
        <v>0.39258637203802293</v>
      </c>
      <c r="M291" s="1457">
        <f t="shared" ref="M291:W291" si="185">M264/M$263</f>
        <v>0.38553560656033803</v>
      </c>
      <c r="N291" s="1457">
        <f t="shared" si="185"/>
        <v>0.40285346574908193</v>
      </c>
      <c r="O291" s="1457">
        <f t="shared" si="185"/>
        <v>0.39494403515701831</v>
      </c>
      <c r="P291" s="1682">
        <f t="shared" si="185"/>
        <v>0.33823250863668097</v>
      </c>
      <c r="Q291" s="1457">
        <f t="shared" si="185"/>
        <v>0.34063583775927925</v>
      </c>
      <c r="R291" s="1457">
        <f t="shared" si="185"/>
        <v>0.34045560516027851</v>
      </c>
      <c r="S291" s="2255">
        <f t="shared" si="185"/>
        <v>0.33429264556247273</v>
      </c>
      <c r="T291" s="125">
        <f t="shared" si="185"/>
        <v>0.2660682207940171</v>
      </c>
      <c r="U291" s="1457">
        <f t="shared" si="185"/>
        <v>0.26848926913632232</v>
      </c>
      <c r="V291" s="1457">
        <f t="shared" si="185"/>
        <v>0.27282505945290886</v>
      </c>
      <c r="W291" s="2255">
        <f t="shared" si="185"/>
        <v>0.27556670688159096</v>
      </c>
      <c r="X291" s="125">
        <f t="shared" si="182"/>
        <v>0.23222667667223795</v>
      </c>
      <c r="Y291" s="1457">
        <f t="shared" si="182"/>
        <v>0.23724953900792364</v>
      </c>
      <c r="Z291" s="1457">
        <f t="shared" si="182"/>
        <v>0.23077477441257888</v>
      </c>
      <c r="AA291" s="2159"/>
    </row>
    <row r="292" spans="2:31" ht="14.25" customHeight="1">
      <c r="B292" s="129" t="s">
        <v>1157</v>
      </c>
      <c r="H292" s="1682">
        <f t="shared" si="183"/>
        <v>0.11818917906842538</v>
      </c>
      <c r="I292" s="125">
        <f t="shared" si="184"/>
        <v>0.11778210442744094</v>
      </c>
      <c r="J292" s="125">
        <f t="shared" si="184"/>
        <v>0.11035242567408096</v>
      </c>
      <c r="K292" s="125">
        <f t="shared" si="184"/>
        <v>0.10814909608762244</v>
      </c>
      <c r="L292" s="1682">
        <f t="shared" si="184"/>
        <v>0.13635574922158636</v>
      </c>
      <c r="M292" s="125">
        <f t="shared" ref="M292:W292" si="186">M265/M$263</f>
        <v>0.12867064871908282</v>
      </c>
      <c r="N292" s="125">
        <f t="shared" si="186"/>
        <v>0.12243058488279135</v>
      </c>
      <c r="O292" s="125">
        <f t="shared" si="186"/>
        <v>0.1241118106903689</v>
      </c>
      <c r="P292" s="1682">
        <f t="shared" si="186"/>
        <v>0.13849026099656478</v>
      </c>
      <c r="Q292" s="125">
        <f t="shared" si="186"/>
        <v>0.12902633272283845</v>
      </c>
      <c r="R292" s="125">
        <f t="shared" si="186"/>
        <v>0.12952629712768968</v>
      </c>
      <c r="S292" s="2196">
        <f t="shared" si="186"/>
        <v>0.12444828901432313</v>
      </c>
      <c r="T292" s="125">
        <f t="shared" si="186"/>
        <v>0.15298393848502814</v>
      </c>
      <c r="U292" s="125">
        <f t="shared" si="186"/>
        <v>0.13582797444380951</v>
      </c>
      <c r="V292" s="125">
        <f t="shared" si="186"/>
        <v>0.13731512015344724</v>
      </c>
      <c r="W292" s="2196">
        <f t="shared" si="186"/>
        <v>0.13112058463789722</v>
      </c>
      <c r="X292" s="125">
        <f t="shared" si="182"/>
        <v>0.14120094470215713</v>
      </c>
      <c r="Y292" s="125">
        <f t="shared" si="182"/>
        <v>0.12828491451866619</v>
      </c>
      <c r="Z292" s="125">
        <f t="shared" si="182"/>
        <v>0.13113761089609113</v>
      </c>
    </row>
    <row r="293" spans="2:31" ht="14.25" customHeight="1">
      <c r="B293" s="129" t="s">
        <v>1152</v>
      </c>
      <c r="H293" s="1682">
        <f t="shared" si="183"/>
        <v>0.12948803081432578</v>
      </c>
      <c r="I293" s="125">
        <f t="shared" si="184"/>
        <v>0.11490122124123642</v>
      </c>
      <c r="J293" s="125">
        <f t="shared" si="184"/>
        <v>0.10645958909203482</v>
      </c>
      <c r="K293" s="125">
        <f t="shared" si="184"/>
        <v>0.10133116049263328</v>
      </c>
      <c r="L293" s="1682">
        <f t="shared" si="184"/>
        <v>0.13057911453045612</v>
      </c>
      <c r="M293" s="125">
        <f t="shared" ref="M293:W293" si="187">M266/M$263</f>
        <v>0.11226383785830607</v>
      </c>
      <c r="N293" s="125">
        <f t="shared" si="187"/>
        <v>0.10538447144248712</v>
      </c>
      <c r="O293" s="125">
        <f t="shared" si="187"/>
        <v>0.10538906125984836</v>
      </c>
      <c r="P293" s="1682">
        <f t="shared" si="187"/>
        <v>0.11325839115564013</v>
      </c>
      <c r="Q293" s="125">
        <f t="shared" si="187"/>
        <v>9.4100295596313929E-2</v>
      </c>
      <c r="R293" s="125">
        <f t="shared" si="187"/>
        <v>8.8986766609102222E-2</v>
      </c>
      <c r="S293" s="2196">
        <f t="shared" si="187"/>
        <v>8.7359155190031026E-2</v>
      </c>
      <c r="T293" s="125">
        <f t="shared" si="187"/>
        <v>8.2309489173899367E-2</v>
      </c>
      <c r="U293" s="125">
        <f t="shared" si="187"/>
        <v>7.1497640976034366E-2</v>
      </c>
      <c r="V293" s="125">
        <f t="shared" si="187"/>
        <v>7.4631144224502136E-2</v>
      </c>
      <c r="W293" s="2196">
        <f t="shared" si="187"/>
        <v>7.2931793674019127E-2</v>
      </c>
      <c r="X293" s="125">
        <f t="shared" si="182"/>
        <v>7.7960569080865377E-2</v>
      </c>
      <c r="Y293" s="125">
        <f t="shared" si="182"/>
        <v>6.8915710701662608E-2</v>
      </c>
      <c r="Z293" s="125">
        <f t="shared" si="182"/>
        <v>6.7845779501264164E-2</v>
      </c>
    </row>
    <row r="294" spans="2:31" ht="14.25" customHeight="1">
      <c r="B294" s="129" t="s">
        <v>1156</v>
      </c>
      <c r="H294" s="1682">
        <f t="shared" si="183"/>
        <v>0.10435910703470062</v>
      </c>
      <c r="I294" s="125">
        <f t="shared" si="184"/>
        <v>0.10504440739838032</v>
      </c>
      <c r="J294" s="125">
        <f t="shared" si="184"/>
        <v>0.11047880383440672</v>
      </c>
      <c r="K294" s="125">
        <f t="shared" si="184"/>
        <v>0.11080985219828578</v>
      </c>
      <c r="L294" s="1682">
        <f t="shared" si="184"/>
        <v>0.12011196531378164</v>
      </c>
      <c r="M294" s="125">
        <f t="shared" ref="M294:W294" si="188">M267/M$263</f>
        <v>0.13211989954288011</v>
      </c>
      <c r="N294" s="125">
        <f t="shared" si="188"/>
        <v>0.12539456460143361</v>
      </c>
      <c r="O294" s="125">
        <f t="shared" si="188"/>
        <v>0.12034371017605031</v>
      </c>
      <c r="P294" s="1682">
        <f t="shared" si="188"/>
        <v>0.13599800124191089</v>
      </c>
      <c r="Q294" s="125">
        <f t="shared" si="188"/>
        <v>0.1382356536923838</v>
      </c>
      <c r="R294" s="125">
        <f t="shared" si="188"/>
        <v>0.13925554168375609</v>
      </c>
      <c r="S294" s="2196">
        <f t="shared" si="188"/>
        <v>0.13477796086400873</v>
      </c>
      <c r="T294" s="125">
        <f t="shared" si="188"/>
        <v>0.14406428941414173</v>
      </c>
      <c r="U294" s="125">
        <f t="shared" si="188"/>
        <v>0.14732905897562457</v>
      </c>
      <c r="V294" s="125">
        <f t="shared" si="188"/>
        <v>0.14380991961414483</v>
      </c>
      <c r="W294" s="2196">
        <f t="shared" si="188"/>
        <v>0.13908596443002819</v>
      </c>
      <c r="X294" s="125">
        <f t="shared" si="182"/>
        <v>0.13530288211100572</v>
      </c>
      <c r="Y294" s="125">
        <f t="shared" si="182"/>
        <v>0.14314612409731123</v>
      </c>
      <c r="Z294" s="125">
        <f t="shared" si="182"/>
        <v>0.14228153487421819</v>
      </c>
    </row>
    <row r="295" spans="2:31" ht="14.25" customHeight="1">
      <c r="B295" s="129" t="s">
        <v>1153</v>
      </c>
      <c r="H295" s="1682">
        <f t="shared" si="183"/>
        <v>7.6823297445278035E-2</v>
      </c>
      <c r="I295" s="125">
        <f t="shared" si="184"/>
        <v>6.1692425202347329E-2</v>
      </c>
      <c r="J295" s="125">
        <f t="shared" si="184"/>
        <v>6.0155139328362701E-2</v>
      </c>
      <c r="K295" s="125">
        <f t="shared" si="184"/>
        <v>6.1996994292738306E-2</v>
      </c>
      <c r="L295" s="1682">
        <f t="shared" si="184"/>
        <v>7.7426952616619749E-2</v>
      </c>
      <c r="M295" s="125">
        <f t="shared" ref="M295:W295" si="189">M268/M$263</f>
        <v>7.689351716080077E-2</v>
      </c>
      <c r="N295" s="125">
        <f t="shared" si="189"/>
        <v>7.513935307416203E-2</v>
      </c>
      <c r="O295" s="125">
        <f t="shared" si="189"/>
        <v>7.9718876506052888E-2</v>
      </c>
      <c r="P295" s="1682">
        <f t="shared" si="189"/>
        <v>9.2295821018895705E-2</v>
      </c>
      <c r="Q295" s="125">
        <f t="shared" si="189"/>
        <v>9.6225933864790877E-2</v>
      </c>
      <c r="R295" s="125">
        <f t="shared" si="189"/>
        <v>9.469964204286685E-2</v>
      </c>
      <c r="S295" s="2196">
        <f t="shared" si="189"/>
        <v>9.9126048587944299E-2</v>
      </c>
      <c r="T295" s="125">
        <f t="shared" si="189"/>
        <v>0.11078596059299536</v>
      </c>
      <c r="U295" s="125">
        <f t="shared" si="189"/>
        <v>0.11669920779391459</v>
      </c>
      <c r="V295" s="125">
        <f t="shared" si="189"/>
        <v>0.10851294936103706</v>
      </c>
      <c r="W295" s="2196">
        <f t="shared" si="189"/>
        <v>0.10900964843777931</v>
      </c>
      <c r="X295" s="125">
        <f t="shared" si="182"/>
        <v>0.12867074786045055</v>
      </c>
      <c r="Y295" s="125">
        <f t="shared" si="182"/>
        <v>0.11949218051498035</v>
      </c>
      <c r="Z295" s="125">
        <f t="shared" si="182"/>
        <v>0.12041645003984676</v>
      </c>
    </row>
    <row r="296" spans="2:31" ht="14.25" customHeight="1">
      <c r="B296" s="129" t="s">
        <v>1154</v>
      </c>
      <c r="H296" s="1682">
        <f t="shared" si="183"/>
        <v>5.4202098135527739E-2</v>
      </c>
      <c r="I296" s="125">
        <f t="shared" si="184"/>
        <v>4.9245947886674767E-2</v>
      </c>
      <c r="J296" s="125">
        <f t="shared" si="184"/>
        <v>4.5057211030966285E-2</v>
      </c>
      <c r="K296" s="125">
        <f t="shared" si="184"/>
        <v>4.8746281866369819E-2</v>
      </c>
      <c r="L296" s="1682">
        <f t="shared" si="184"/>
        <v>5.3480939101291335E-2</v>
      </c>
      <c r="M296" s="125">
        <f t="shared" ref="M296:W296" si="190">M269/M$263</f>
        <v>6.6712577131745457E-2</v>
      </c>
      <c r="N296" s="125">
        <f t="shared" si="190"/>
        <v>6.5763998220053313E-2</v>
      </c>
      <c r="O296" s="125">
        <f t="shared" si="190"/>
        <v>7.2182675477415692E-2</v>
      </c>
      <c r="P296" s="1682">
        <f t="shared" si="190"/>
        <v>8.9382706644078574E-2</v>
      </c>
      <c r="Q296" s="125">
        <f t="shared" si="190"/>
        <v>9.0847759053192798E-2</v>
      </c>
      <c r="R296" s="125">
        <f t="shared" si="190"/>
        <v>9.4839083297739463E-2</v>
      </c>
      <c r="S296" s="2196">
        <f t="shared" si="190"/>
        <v>8.9742940054208853E-2</v>
      </c>
      <c r="T296" s="125">
        <f t="shared" si="190"/>
        <v>0.12494328081939082</v>
      </c>
      <c r="U296" s="125">
        <f t="shared" si="190"/>
        <v>0.12552268348242604</v>
      </c>
      <c r="V296" s="125">
        <f t="shared" si="190"/>
        <v>0.11993519181769319</v>
      </c>
      <c r="W296" s="2196">
        <f t="shared" si="190"/>
        <v>0.11732178441404192</v>
      </c>
      <c r="X296" s="125">
        <f t="shared" si="182"/>
        <v>0.15398314522596568</v>
      </c>
      <c r="Y296" s="125">
        <f t="shared" si="182"/>
        <v>0.15912543073734539</v>
      </c>
      <c r="Z296" s="125">
        <f t="shared" si="182"/>
        <v>0.15452175956186656</v>
      </c>
    </row>
    <row r="297" spans="2:31" ht="14.25" hidden="1" customHeight="1">
      <c r="H297" s="1682">
        <f t="shared" si="183"/>
        <v>0</v>
      </c>
      <c r="I297" s="125">
        <f t="shared" si="184"/>
        <v>0</v>
      </c>
      <c r="J297" s="125">
        <f t="shared" si="184"/>
        <v>0</v>
      </c>
      <c r="K297" s="125">
        <f t="shared" si="184"/>
        <v>0</v>
      </c>
      <c r="L297" s="1682">
        <f t="shared" si="184"/>
        <v>0</v>
      </c>
      <c r="M297" s="125">
        <f t="shared" ref="M297:W297" si="191">M270/M$263</f>
        <v>0</v>
      </c>
      <c r="N297" s="125">
        <f t="shared" si="191"/>
        <v>0</v>
      </c>
      <c r="O297" s="125">
        <f t="shared" si="191"/>
        <v>0</v>
      </c>
      <c r="P297" s="1682">
        <f t="shared" si="191"/>
        <v>0</v>
      </c>
      <c r="Q297" s="125">
        <f t="shared" si="191"/>
        <v>0</v>
      </c>
      <c r="R297" s="125">
        <f t="shared" si="191"/>
        <v>0</v>
      </c>
      <c r="S297" s="2196">
        <f t="shared" si="191"/>
        <v>0</v>
      </c>
      <c r="T297" s="125">
        <f t="shared" si="191"/>
        <v>0</v>
      </c>
      <c r="U297" s="125">
        <f t="shared" si="191"/>
        <v>0</v>
      </c>
      <c r="V297" s="125">
        <f t="shared" si="191"/>
        <v>0</v>
      </c>
      <c r="W297" s="2196">
        <f t="shared" si="191"/>
        <v>0</v>
      </c>
      <c r="X297" s="125">
        <f t="shared" si="182"/>
        <v>0</v>
      </c>
      <c r="Y297" s="125">
        <f t="shared" si="182"/>
        <v>0</v>
      </c>
      <c r="Z297" s="125">
        <f t="shared" si="182"/>
        <v>0</v>
      </c>
    </row>
    <row r="298" spans="2:31" ht="14.25" customHeight="1">
      <c r="B298" s="129" t="s">
        <v>1244</v>
      </c>
      <c r="H298" s="1682">
        <f t="shared" si="183"/>
        <v>8.7410184892165621E-2</v>
      </c>
      <c r="I298" s="125">
        <f t="shared" si="184"/>
        <v>0.10078473025171594</v>
      </c>
      <c r="J298" s="125">
        <f t="shared" si="184"/>
        <v>0.10707185550800911</v>
      </c>
      <c r="K298" s="125">
        <f t="shared" si="184"/>
        <v>0.10958420451237594</v>
      </c>
      <c r="L298" s="1682">
        <f t="shared" si="184"/>
        <v>8.9458907178241898E-2</v>
      </c>
      <c r="M298" s="125">
        <f t="shared" ref="M298:W298" si="192">M271/M$263</f>
        <v>9.7803913026846864E-2</v>
      </c>
      <c r="N298" s="125">
        <f t="shared" si="192"/>
        <v>0.10303356202999074</v>
      </c>
      <c r="O298" s="125">
        <f t="shared" si="192"/>
        <v>0.10330983073324557</v>
      </c>
      <c r="P298" s="1682">
        <f t="shared" si="192"/>
        <v>9.2342310306228997E-2</v>
      </c>
      <c r="Q298" s="125">
        <f t="shared" si="192"/>
        <v>0.11092818731120097</v>
      </c>
      <c r="R298" s="125">
        <f t="shared" si="192"/>
        <v>0.11223706407856716</v>
      </c>
      <c r="S298" s="2196">
        <f t="shared" si="192"/>
        <v>0.13025296072701131</v>
      </c>
      <c r="T298" s="125">
        <f t="shared" si="192"/>
        <v>0.11884482072052759</v>
      </c>
      <c r="U298" s="125">
        <f t="shared" si="192"/>
        <v>0.1346341651918686</v>
      </c>
      <c r="V298" s="125">
        <f t="shared" si="192"/>
        <v>0.14297061537626662</v>
      </c>
      <c r="W298" s="2196">
        <f t="shared" si="192"/>
        <v>0.15496351752464319</v>
      </c>
      <c r="X298" s="125">
        <f t="shared" si="182"/>
        <v>0.13065503434731759</v>
      </c>
      <c r="Y298" s="125">
        <f t="shared" si="182"/>
        <v>0.14378610042211057</v>
      </c>
      <c r="Z298" s="125">
        <f t="shared" si="182"/>
        <v>0.15302209071413447</v>
      </c>
    </row>
    <row r="299" spans="2:31" ht="14.25" customHeight="1">
      <c r="B299" s="144" t="s">
        <v>1482</v>
      </c>
      <c r="H299" s="1682">
        <f t="shared" si="183"/>
        <v>8.0898269143364152E-3</v>
      </c>
      <c r="I299" s="125">
        <f t="shared" si="184"/>
        <v>1.2489908399623372E-2</v>
      </c>
      <c r="J299" s="125">
        <f t="shared" si="184"/>
        <v>1.3765560457407126E-2</v>
      </c>
      <c r="K299" s="125">
        <f t="shared" si="184"/>
        <v>1.5341487819599969E-2</v>
      </c>
      <c r="L299" s="1682">
        <f t="shared" si="184"/>
        <v>1.4004717725051937E-2</v>
      </c>
      <c r="M299" s="125">
        <f t="shared" ref="M299:W299" si="193">M272/M$263</f>
        <v>1.6722654896056316E-2</v>
      </c>
      <c r="N299" s="125">
        <f t="shared" si="193"/>
        <v>1.7007639189196771E-2</v>
      </c>
      <c r="O299" s="125">
        <f t="shared" si="193"/>
        <v>1.6732504505164281E-2</v>
      </c>
      <c r="P299" s="1682">
        <f t="shared" si="193"/>
        <v>1.3496278084532071E-2</v>
      </c>
      <c r="Q299" s="125">
        <f t="shared" si="193"/>
        <v>1.759526485675008E-2</v>
      </c>
      <c r="R299" s="125">
        <f t="shared" si="193"/>
        <v>1.7802370844173698E-2</v>
      </c>
      <c r="S299" s="2196">
        <f t="shared" si="193"/>
        <v>1.8248807369736782E-2</v>
      </c>
      <c r="T299" s="125">
        <f t="shared" si="193"/>
        <v>1.933875734920015E-2</v>
      </c>
      <c r="U299" s="125">
        <f t="shared" si="193"/>
        <v>2.3997190306777164E-2</v>
      </c>
      <c r="V299" s="125">
        <f t="shared" si="193"/>
        <v>2.6127594968899812E-2</v>
      </c>
      <c r="W299" s="2196">
        <f t="shared" si="193"/>
        <v>2.8152214248132777E-2</v>
      </c>
      <c r="X299" s="125">
        <f t="shared" si="182"/>
        <v>2.1404936832624955E-2</v>
      </c>
      <c r="Y299" s="125">
        <f t="shared" si="182"/>
        <v>2.7040609611813864E-2</v>
      </c>
      <c r="Z299" s="125">
        <f t="shared" si="182"/>
        <v>2.8990029600249847E-2</v>
      </c>
    </row>
    <row r="300" spans="2:31" ht="14.25" customHeight="1">
      <c r="B300" s="144" t="s">
        <v>1483</v>
      </c>
      <c r="H300" s="1682">
        <f t="shared" si="183"/>
        <v>7.9320357977829201E-2</v>
      </c>
      <c r="I300" s="125">
        <f t="shared" si="184"/>
        <v>8.8294821852092573E-2</v>
      </c>
      <c r="J300" s="125">
        <f t="shared" si="184"/>
        <v>9.3306295050601992E-2</v>
      </c>
      <c r="K300" s="125">
        <f t="shared" si="184"/>
        <v>9.4242716692775966E-2</v>
      </c>
      <c r="L300" s="1682">
        <f t="shared" si="184"/>
        <v>7.5454189453189963E-2</v>
      </c>
      <c r="M300" s="125">
        <f t="shared" ref="M300:W300" si="194">M273/M$263</f>
        <v>8.1081258130790548E-2</v>
      </c>
      <c r="N300" s="125">
        <f t="shared" si="194"/>
        <v>8.6025922840793981E-2</v>
      </c>
      <c r="O300" s="125">
        <f t="shared" si="194"/>
        <v>8.6577326228081286E-2</v>
      </c>
      <c r="P300" s="1682">
        <f t="shared" si="194"/>
        <v>7.8846032221696935E-2</v>
      </c>
      <c r="Q300" s="125">
        <f t="shared" si="194"/>
        <v>9.3332922454450878E-2</v>
      </c>
      <c r="R300" s="125">
        <f t="shared" si="194"/>
        <v>9.4434693234393463E-2</v>
      </c>
      <c r="S300" s="2196">
        <f t="shared" si="194"/>
        <v>0.11200415335727452</v>
      </c>
      <c r="T300" s="125">
        <f t="shared" si="194"/>
        <v>9.9506063371327447E-2</v>
      </c>
      <c r="U300" s="125">
        <f t="shared" si="194"/>
        <v>0.11063697488509143</v>
      </c>
      <c r="V300" s="125">
        <f t="shared" si="194"/>
        <v>0.11684302040736681</v>
      </c>
      <c r="W300" s="2196">
        <f t="shared" si="194"/>
        <v>0.12681130327651041</v>
      </c>
      <c r="X300" s="125">
        <f t="shared" si="182"/>
        <v>0.10925009751469264</v>
      </c>
      <c r="Y300" s="125">
        <f t="shared" si="182"/>
        <v>0.11674549081029671</v>
      </c>
      <c r="Z300" s="125">
        <f t="shared" si="182"/>
        <v>0.12403206111388464</v>
      </c>
    </row>
  </sheetData>
  <phoneticPr fontId="327" type="noConversion"/>
  <printOptions horizontalCentered="1" verticalCentered="1"/>
  <pageMargins left="0.7" right="0.7" top="0.75" bottom="0.75" header="0.3" footer="0.3"/>
  <pageSetup paperSize="177" scale="10" orientation="portrait" r:id="rId1"/>
  <customProperties>
    <customPr name="Qube.Worksheet.Visibility" r:id="rId2"/>
  </customPropertie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>
    <pageSetUpPr fitToPage="1"/>
  </sheetPr>
  <dimension ref="A1:AG83"/>
  <sheetViews>
    <sheetView showGridLines="0" zoomScaleNormal="100" workbookViewId="0"/>
  </sheetViews>
  <sheetFormatPr defaultColWidth="9" defaultRowHeight="12.75" outlineLevelCol="2"/>
  <cols>
    <col min="1" max="1" width="2.75" style="180" customWidth="1"/>
    <col min="2" max="2" width="28.5" style="67" customWidth="1"/>
    <col min="3" max="4" width="8.25" style="179" hidden="1" customWidth="1" outlineLevel="2"/>
    <col min="5" max="5" width="7.5" style="179" hidden="1" customWidth="1" outlineLevel="1" collapsed="1"/>
    <col min="6" max="6" width="7.5" style="179" hidden="1" customWidth="1" outlineLevel="1"/>
    <col min="7" max="7" width="9" style="179" customWidth="1" collapsed="1"/>
    <col min="8" max="8" width="9" style="179" customWidth="1"/>
    <col min="9" max="11" width="7.5" style="179" customWidth="1"/>
    <col min="12" max="13" width="8.25" style="179" customWidth="1"/>
    <col min="14" max="14" width="9" style="179"/>
    <col min="15" max="21" width="0" style="179" hidden="1" customWidth="1"/>
    <col min="22" max="22" width="18.5" style="179" hidden="1" customWidth="1"/>
    <col min="23" max="33" width="7.25" style="179" hidden="1" customWidth="1"/>
    <col min="34" max="61" width="0" style="179" hidden="1" customWidth="1"/>
    <col min="62" max="16384" width="9" style="179"/>
  </cols>
  <sheetData>
    <row r="1" spans="1:33" s="67" customFormat="1">
      <c r="A1" s="96" t="s">
        <v>136</v>
      </c>
    </row>
    <row r="2" spans="1:33" s="67" customFormat="1" ht="15.75">
      <c r="A2" s="1003"/>
      <c r="B2" s="1003"/>
      <c r="C2" s="1004"/>
      <c r="D2" s="1004"/>
      <c r="E2" s="1004"/>
      <c r="F2" s="1004"/>
      <c r="G2" s="1004"/>
      <c r="H2" s="1004"/>
      <c r="I2" s="1005"/>
      <c r="J2" s="1005"/>
      <c r="K2" s="1005"/>
      <c r="L2" s="1005"/>
      <c r="M2" s="1005"/>
    </row>
    <row r="3" spans="1:33" s="67" customFormat="1" ht="14.25">
      <c r="A3" s="1006"/>
      <c r="B3" s="1006"/>
      <c r="C3" s="1004"/>
      <c r="D3" s="1004"/>
      <c r="E3" s="1004"/>
      <c r="F3" s="1004"/>
      <c r="G3" s="1004"/>
      <c r="H3" s="1004"/>
      <c r="I3" s="1004"/>
      <c r="J3" s="1004"/>
      <c r="K3" s="1004"/>
      <c r="L3" s="1004"/>
      <c r="M3" s="1004"/>
      <c r="N3" s="509"/>
      <c r="O3" s="509"/>
      <c r="P3" s="509"/>
      <c r="Q3" s="509"/>
      <c r="R3" s="509"/>
      <c r="S3" s="509"/>
      <c r="T3" s="509"/>
    </row>
    <row r="4" spans="1:33" s="67" customFormat="1" ht="15">
      <c r="A4" s="178"/>
      <c r="B4" s="178"/>
      <c r="C4" s="177"/>
      <c r="D4" s="177"/>
      <c r="E4" s="177"/>
      <c r="F4" s="634"/>
      <c r="G4" s="667">
        <v>0.01</v>
      </c>
      <c r="H4" s="667">
        <v>1</v>
      </c>
      <c r="I4" s="668">
        <f>+H4+1</f>
        <v>2</v>
      </c>
      <c r="J4" s="668">
        <f>+I4+1</f>
        <v>3</v>
      </c>
      <c r="K4" s="668">
        <f>+J4+1</f>
        <v>4</v>
      </c>
      <c r="L4" s="668">
        <f>+K4+1</f>
        <v>5</v>
      </c>
      <c r="M4" s="668">
        <f>+L4+1</f>
        <v>6</v>
      </c>
      <c r="N4" s="668"/>
      <c r="O4" s="668"/>
      <c r="P4" s="668"/>
      <c r="Q4" s="668"/>
      <c r="R4" s="668"/>
      <c r="S4" s="668"/>
      <c r="T4" s="668"/>
      <c r="V4" s="1380" t="s">
        <v>1106</v>
      </c>
      <c r="W4" s="1381" t="s">
        <v>931</v>
      </c>
      <c r="X4" s="1382">
        <v>2019</v>
      </c>
      <c r="Y4" s="1382">
        <v>2020</v>
      </c>
      <c r="Z4" s="1382">
        <v>2021</v>
      </c>
      <c r="AA4" s="1382">
        <v>2022</v>
      </c>
      <c r="AB4" s="1382">
        <v>2023</v>
      </c>
      <c r="AC4" s="1383">
        <v>2024</v>
      </c>
      <c r="AD4" s="1383">
        <v>2025</v>
      </c>
      <c r="AE4" s="1383">
        <v>2026</v>
      </c>
      <c r="AF4" s="1383">
        <v>2027</v>
      </c>
      <c r="AG4" s="1383">
        <v>2028</v>
      </c>
    </row>
    <row r="5" spans="1:33" ht="15">
      <c r="A5" s="221"/>
      <c r="B5" s="1380" t="s">
        <v>1106</v>
      </c>
      <c r="C5" s="1381" t="s">
        <v>931</v>
      </c>
      <c r="D5" s="1382">
        <v>2019</v>
      </c>
      <c r="E5" s="1382">
        <v>2020</v>
      </c>
      <c r="F5" s="1382">
        <v>2021</v>
      </c>
      <c r="G5" s="1382">
        <v>2022</v>
      </c>
      <c r="H5" s="1382">
        <v>2023</v>
      </c>
      <c r="I5" s="1383">
        <v>2024</v>
      </c>
      <c r="J5" s="1383">
        <v>2025</v>
      </c>
      <c r="K5" s="1383">
        <v>2026</v>
      </c>
      <c r="L5" s="1383">
        <v>2027</v>
      </c>
      <c r="M5" s="1383">
        <v>2028</v>
      </c>
      <c r="N5" s="759"/>
      <c r="O5" s="1383" t="s">
        <v>1511</v>
      </c>
      <c r="P5" s="759" t="s">
        <v>1641</v>
      </c>
      <c r="Q5" s="759" t="s">
        <v>1651</v>
      </c>
      <c r="R5" s="759" t="s">
        <v>1798</v>
      </c>
      <c r="S5" s="759" t="s">
        <v>1799</v>
      </c>
      <c r="T5" s="759"/>
      <c r="V5" s="183" t="s">
        <v>45</v>
      </c>
      <c r="W5" s="505">
        <v>0.47435371529670339</v>
      </c>
      <c r="X5" s="505">
        <v>1.2191750209829058</v>
      </c>
      <c r="Y5" s="505">
        <v>1.7351784526068383</v>
      </c>
      <c r="Z5" s="505">
        <v>2.29409727754883</v>
      </c>
      <c r="AA5" s="505">
        <v>2.7701626139346502</v>
      </c>
      <c r="AB5" s="505">
        <v>3.9225419439898634</v>
      </c>
      <c r="AC5" s="505">
        <v>6.2657342117925099</v>
      </c>
      <c r="AD5" s="505">
        <v>8.0691010249442385</v>
      </c>
      <c r="AE5" s="505">
        <v>10.118046698084354</v>
      </c>
      <c r="AF5" s="505">
        <v>11.974500717369766</v>
      </c>
      <c r="AG5" s="505">
        <v>14.087124470902475</v>
      </c>
    </row>
    <row r="6" spans="1:33" ht="15">
      <c r="A6" s="221"/>
      <c r="B6" s="183" t="s">
        <v>1497</v>
      </c>
      <c r="C6" s="505">
        <f>+Model!D59</f>
        <v>0</v>
      </c>
      <c r="D6" s="505">
        <f>+Model!E59</f>
        <v>0</v>
      </c>
      <c r="E6" s="2268">
        <f>Model!F57</f>
        <v>812.06351582000036</v>
      </c>
      <c r="F6" s="2268">
        <f>Model!G57</f>
        <v>1192.9604075899997</v>
      </c>
      <c r="G6" s="2268">
        <f>Model!H57</f>
        <v>1440.5205713599994</v>
      </c>
      <c r="H6" s="2268">
        <f>Model!I57</f>
        <v>2039.772803920001</v>
      </c>
      <c r="I6" s="2268">
        <f>Model!J57</f>
        <v>3326.7088524400024</v>
      </c>
      <c r="J6" s="2268">
        <f>Model!K57</f>
        <v>4562.8477603054725</v>
      </c>
      <c r="K6" s="2268">
        <f>Model!L57</f>
        <v>5655.7994821665097</v>
      </c>
      <c r="L6" s="2268">
        <f>Model!M57</f>
        <v>6753.9990028135153</v>
      </c>
      <c r="M6" s="2268" t="e">
        <f>Model!#REF!</f>
        <v>#REF!</v>
      </c>
      <c r="N6" s="759"/>
      <c r="O6" s="1383"/>
      <c r="P6" s="759"/>
      <c r="Q6" s="759"/>
      <c r="R6" s="759"/>
      <c r="S6" s="759"/>
      <c r="T6" s="759"/>
      <c r="V6" s="183"/>
      <c r="W6" s="505"/>
      <c r="X6" s="505"/>
      <c r="Y6" s="505"/>
      <c r="Z6" s="505"/>
      <c r="AA6" s="505"/>
      <c r="AB6" s="505"/>
      <c r="AC6" s="505"/>
      <c r="AD6" s="505"/>
      <c r="AE6" s="505"/>
      <c r="AF6" s="505"/>
      <c r="AG6" s="505"/>
    </row>
    <row r="7" spans="1:33" ht="14.25">
      <c r="A7" s="221"/>
      <c r="B7" s="183" t="s">
        <v>45</v>
      </c>
      <c r="C7" s="505">
        <f>+Model!D60</f>
        <v>0.47435371529670339</v>
      </c>
      <c r="D7" s="505">
        <f>+Model!E60</f>
        <v>1.2191750209829058</v>
      </c>
      <c r="E7" s="505">
        <f>+Model!F60</f>
        <v>1.7351784526068383</v>
      </c>
      <c r="F7" s="505">
        <f>+Model!G60</f>
        <v>2.29409727754883</v>
      </c>
      <c r="G7" s="505">
        <f>+Model!H60</f>
        <v>2.7701626139346502</v>
      </c>
      <c r="H7" s="505">
        <f>+Model!I60</f>
        <v>3.9225419439898634</v>
      </c>
      <c r="I7" s="505">
        <f>+Model!J60</f>
        <v>6.3973570899958307</v>
      </c>
      <c r="J7" s="505">
        <f>+Model!K60</f>
        <v>8.7744878691599482</v>
      </c>
      <c r="K7" s="505">
        <f>+Model!L60</f>
        <v>10.87626555906585</v>
      </c>
      <c r="L7" s="505">
        <f>+Model!M60</f>
        <v>12.988134917422284</v>
      </c>
      <c r="M7" s="505" t="e">
        <f>+Model!#REF!</f>
        <v>#REF!</v>
      </c>
      <c r="N7" s="669"/>
      <c r="O7" s="505"/>
      <c r="P7" s="669"/>
      <c r="Q7" s="669"/>
      <c r="R7" s="669"/>
      <c r="S7" s="669"/>
      <c r="T7" s="669"/>
      <c r="V7" s="1377" t="s">
        <v>216</v>
      </c>
      <c r="W7" s="1377"/>
      <c r="X7" s="1377">
        <v>1.5701812416928669</v>
      </c>
      <c r="Y7" s="1377">
        <v>0.42323983246304353</v>
      </c>
      <c r="Z7" s="1377">
        <v>0.32211028445074463</v>
      </c>
      <c r="AA7" s="1377">
        <v>0.20751750200169417</v>
      </c>
      <c r="AB7" s="1377">
        <v>0.41599699752586394</v>
      </c>
      <c r="AC7" s="1377">
        <v>0.59736576466515445</v>
      </c>
      <c r="AD7" s="1377">
        <v>0.28781412555892927</v>
      </c>
      <c r="AE7" s="1377">
        <v>0.23479118202864613</v>
      </c>
      <c r="AF7" s="1377">
        <v>0.20148615535678216</v>
      </c>
      <c r="AG7" s="1377">
        <v>0.17662257678821836</v>
      </c>
    </row>
    <row r="8" spans="1:33" s="1379" customFormat="1" ht="14.25">
      <c r="A8" s="1376"/>
      <c r="B8" s="1377" t="s">
        <v>216</v>
      </c>
      <c r="C8" s="1377"/>
      <c r="D8" s="1377">
        <f>D7/C7-1</f>
        <v>1.5701812416928669</v>
      </c>
      <c r="E8" s="1377">
        <f t="shared" ref="E8:K8" si="0">E7/D7-1</f>
        <v>0.42323983246304353</v>
      </c>
      <c r="F8" s="1377">
        <f t="shared" si="0"/>
        <v>0.32211028445074463</v>
      </c>
      <c r="G8" s="1377">
        <f t="shared" si="0"/>
        <v>0.20751750200169417</v>
      </c>
      <c r="H8" s="1377">
        <f t="shared" si="0"/>
        <v>0.41599699752586394</v>
      </c>
      <c r="I8" s="1377">
        <f t="shared" si="0"/>
        <v>0.63092127027421352</v>
      </c>
      <c r="J8" s="1377">
        <f t="shared" si="0"/>
        <v>0.37158013000110124</v>
      </c>
      <c r="K8" s="1377">
        <f t="shared" si="0"/>
        <v>0.23953280479116112</v>
      </c>
      <c r="L8" s="1377">
        <f>L7/K7-1</f>
        <v>0.19417228706742073</v>
      </c>
      <c r="M8" s="1377" t="e">
        <f>M7/L7-1</f>
        <v>#REF!</v>
      </c>
      <c r="N8" s="1378"/>
      <c r="O8" s="1377">
        <f>(K7/I7)^(1/2)-1</f>
        <v>0.30388594805530844</v>
      </c>
      <c r="P8" s="1378">
        <f>(K7/H7)^(1/3)-1</f>
        <v>0.40487408783218926</v>
      </c>
      <c r="Q8" s="1378" t="e">
        <f>(M7/K7)^(1/2)-1</f>
        <v>#REF!</v>
      </c>
      <c r="R8" s="1378">
        <f>(L7/I7)^(1/3)-1</f>
        <v>0.26623816564405955</v>
      </c>
      <c r="S8" s="1378">
        <f>(L7/J7)^(1/2)-1</f>
        <v>0.21664116500821873</v>
      </c>
      <c r="T8" s="1378"/>
      <c r="V8" s="183" t="s">
        <v>983</v>
      </c>
      <c r="W8" s="183"/>
      <c r="X8" s="510"/>
      <c r="Y8" s="183"/>
      <c r="Z8" s="183"/>
      <c r="AA8" s="183"/>
      <c r="AB8" s="509"/>
      <c r="AC8" s="497"/>
      <c r="AD8" s="1384">
        <v>32</v>
      </c>
      <c r="AE8" s="1384"/>
      <c r="AF8" s="1384"/>
      <c r="AG8" s="1384"/>
    </row>
    <row r="9" spans="1:33" ht="15.75">
      <c r="A9" s="221"/>
      <c r="B9" s="183" t="s">
        <v>983</v>
      </c>
      <c r="C9" s="183"/>
      <c r="D9" s="510"/>
      <c r="E9" s="183"/>
      <c r="F9" s="183"/>
      <c r="G9" s="183"/>
      <c r="H9" s="509"/>
      <c r="I9" s="497"/>
      <c r="J9" s="1384">
        <v>32</v>
      </c>
      <c r="K9" s="2297">
        <v>32.200000000000003</v>
      </c>
      <c r="L9" s="1384">
        <v>29</v>
      </c>
      <c r="M9" s="1384">
        <v>27</v>
      </c>
      <c r="N9" s="497"/>
      <c r="O9" s="497"/>
      <c r="P9" s="497"/>
      <c r="Q9" s="497"/>
      <c r="R9" s="497"/>
      <c r="S9" s="497"/>
      <c r="T9" s="497"/>
      <c r="W9" s="646"/>
      <c r="X9" s="646"/>
      <c r="Y9" s="506"/>
      <c r="Z9" s="509"/>
      <c r="AA9" s="509"/>
      <c r="AB9" s="509"/>
      <c r="AC9" s="509"/>
      <c r="AD9" s="509"/>
      <c r="AE9" s="509"/>
      <c r="AF9" s="509"/>
      <c r="AG9" s="509"/>
    </row>
    <row r="10" spans="1:33" ht="16.5" thickBot="1">
      <c r="A10" s="221"/>
      <c r="B10" s="179"/>
      <c r="C10" s="646"/>
      <c r="D10" s="646"/>
      <c r="E10" s="506"/>
      <c r="F10" s="509"/>
      <c r="G10" s="509"/>
      <c r="H10" s="509"/>
      <c r="I10" s="509"/>
      <c r="J10" s="509"/>
      <c r="K10" s="509"/>
      <c r="L10" s="509"/>
      <c r="M10" s="509"/>
      <c r="N10" s="509"/>
      <c r="O10" s="509"/>
      <c r="P10" s="509"/>
      <c r="Q10" s="509"/>
      <c r="R10" s="509"/>
      <c r="S10" s="509"/>
      <c r="T10" s="509"/>
      <c r="X10" s="646"/>
      <c r="Z10" s="646"/>
      <c r="AA10" s="1385"/>
      <c r="AE10" s="509"/>
      <c r="AF10" s="509"/>
      <c r="AG10" s="509"/>
    </row>
    <row r="11" spans="1:33" ht="16.5" thickBot="1">
      <c r="A11" s="221"/>
      <c r="B11" s="179"/>
      <c r="D11" s="646"/>
      <c r="F11" s="646"/>
      <c r="G11" s="1385"/>
      <c r="V11" s="1386" t="s">
        <v>1567</v>
      </c>
      <c r="W11" s="1387"/>
      <c r="X11" s="1387"/>
      <c r="Y11" s="1387"/>
      <c r="Z11" s="1387"/>
      <c r="AA11" s="1387"/>
      <c r="AB11" s="1387"/>
      <c r="AC11" s="1387"/>
      <c r="AD11" s="1391">
        <v>258</v>
      </c>
      <c r="AE11" s="509"/>
      <c r="AF11" s="509"/>
      <c r="AG11" s="509"/>
    </row>
    <row r="12" spans="1:33" ht="16.5" thickBot="1">
      <c r="A12" s="221"/>
      <c r="B12" s="1386" t="s">
        <v>1567</v>
      </c>
      <c r="C12" s="1387"/>
      <c r="D12" s="1387"/>
      <c r="E12" s="1387"/>
      <c r="F12" s="1387"/>
      <c r="G12" s="1387"/>
      <c r="H12" s="1387"/>
      <c r="I12" s="1387"/>
      <c r="J12" s="1391">
        <f>K12</f>
        <v>350</v>
      </c>
      <c r="K12" s="2269">
        <f>ROUND((K7*K9),0)</f>
        <v>350</v>
      </c>
      <c r="L12" s="1391">
        <f>ROUND((L7*L9)/(1+H29)^1,0)</f>
        <v>346</v>
      </c>
      <c r="M12" s="1391" t="e">
        <f>ROUND((M7*M9)/(1+$H$29)^2,0)</f>
        <v>#REF!</v>
      </c>
      <c r="P12" s="1892" t="e">
        <f>J12/O12-1</f>
        <v>#DIV/0!</v>
      </c>
      <c r="V12" s="183" t="s">
        <v>544</v>
      </c>
      <c r="W12" s="507"/>
      <c r="Z12" s="485"/>
      <c r="AA12" s="485"/>
      <c r="AB12" s="485"/>
      <c r="AC12" s="31"/>
      <c r="AD12" s="506">
        <v>218.4</v>
      </c>
      <c r="AE12" s="509"/>
      <c r="AF12" s="509"/>
      <c r="AG12" s="509"/>
    </row>
    <row r="13" spans="1:33" ht="15">
      <c r="A13" s="221"/>
      <c r="B13" s="183" t="s">
        <v>544</v>
      </c>
      <c r="C13" s="507"/>
      <c r="F13" s="485"/>
      <c r="G13" s="485"/>
      <c r="H13" s="485"/>
      <c r="I13" s="31"/>
      <c r="J13" s="506">
        <v>300</v>
      </c>
      <c r="K13" s="31"/>
      <c r="L13" s="31"/>
      <c r="M13" s="67"/>
      <c r="V13" s="183" t="s">
        <v>527</v>
      </c>
      <c r="W13" s="507"/>
      <c r="Z13" s="485"/>
      <c r="AA13" s="485"/>
      <c r="AB13" s="485"/>
      <c r="AC13" s="31"/>
      <c r="AD13" s="508">
        <v>0.18131868131868134</v>
      </c>
      <c r="AE13" s="509"/>
      <c r="AF13" s="509"/>
      <c r="AG13" s="509"/>
    </row>
    <row r="14" spans="1:33" ht="15">
      <c r="A14" s="221"/>
      <c r="B14" s="183" t="s">
        <v>527</v>
      </c>
      <c r="C14" s="507"/>
      <c r="F14" s="485"/>
      <c r="G14" s="485"/>
      <c r="H14" s="485"/>
      <c r="I14" s="31"/>
      <c r="J14" s="508">
        <f>+J12/J13-1</f>
        <v>0.16666666666666674</v>
      </c>
      <c r="K14" s="253">
        <f>K12/$J$13-1</f>
        <v>0.16666666666666674</v>
      </c>
      <c r="L14" s="253">
        <f>L12/$J$13-1</f>
        <v>0.15333333333333332</v>
      </c>
      <c r="M14" s="253" t="e">
        <f>M12/$J$13-1</f>
        <v>#REF!</v>
      </c>
      <c r="V14" s="183" t="s">
        <v>1377</v>
      </c>
      <c r="W14" s="507"/>
      <c r="Z14" s="485"/>
      <c r="AA14" s="485"/>
      <c r="AB14" s="485"/>
      <c r="AC14" s="1375">
        <v>41.176339640201718</v>
      </c>
      <c r="AD14" s="1375">
        <v>31.973822015914457</v>
      </c>
      <c r="AE14" s="1375">
        <v>25.894112689875598</v>
      </c>
      <c r="AF14" s="1375">
        <v>21.551736218039338</v>
      </c>
      <c r="AG14" s="1375">
        <v>18.316609457612387</v>
      </c>
    </row>
    <row r="15" spans="1:33" ht="15">
      <c r="A15" s="221"/>
      <c r="B15" s="183" t="s">
        <v>1377</v>
      </c>
      <c r="C15" s="507"/>
      <c r="F15" s="485"/>
      <c r="G15" s="485"/>
      <c r="H15" s="485"/>
      <c r="I15" s="1375">
        <f>+$J$12/I7</f>
        <v>54.710092789306543</v>
      </c>
      <c r="J15" s="1375">
        <f>+$J$12/J7</f>
        <v>39.888367870466759</v>
      </c>
      <c r="K15" s="1375">
        <f>+$J$12/K7</f>
        <v>32.18016313588992</v>
      </c>
      <c r="L15" s="1375">
        <f>+$J$12/L7</f>
        <v>26.947672027221554</v>
      </c>
      <c r="M15" s="1375"/>
      <c r="V15" s="187" t="s">
        <v>1399</v>
      </c>
      <c r="W15" s="507"/>
      <c r="X15" s="507"/>
      <c r="Y15" s="485"/>
      <c r="Z15" s="485"/>
      <c r="AA15" s="485"/>
      <c r="AB15" s="485"/>
      <c r="AC15" s="1375">
        <v>34.856250300077733</v>
      </c>
      <c r="AD15" s="1375">
        <v>27.066212125099682</v>
      </c>
      <c r="AE15" s="1375">
        <v>21.919667486313298</v>
      </c>
      <c r="AF15" s="1375">
        <v>18.24379531015423</v>
      </c>
      <c r="AG15" s="1375">
        <v>15.505222889699789</v>
      </c>
    </row>
    <row r="16" spans="1:33" ht="15" customHeight="1">
      <c r="A16" s="221"/>
      <c r="B16" s="187" t="s">
        <v>1399</v>
      </c>
      <c r="C16" s="507"/>
      <c r="D16" s="507"/>
      <c r="E16" s="485"/>
      <c r="F16" s="485"/>
      <c r="G16" s="485"/>
      <c r="H16" s="485"/>
      <c r="I16" s="1375">
        <f>+$J$13/I7</f>
        <v>46.894365247977035</v>
      </c>
      <c r="J16" s="1375">
        <f>+$J$13/J7</f>
        <v>34.190029603257223</v>
      </c>
      <c r="K16" s="1375">
        <f>+$J$13/K7</f>
        <v>27.582996973619931</v>
      </c>
      <c r="L16" s="1375">
        <f>+$J$13/L7</f>
        <v>23.098004594761331</v>
      </c>
      <c r="M16" s="1375"/>
      <c r="V16" s="1388"/>
      <c r="W16" s="1389"/>
      <c r="X16" s="1389"/>
      <c r="Y16" s="1389"/>
      <c r="Z16" s="1389"/>
      <c r="AA16" s="1389"/>
      <c r="AB16" s="1389"/>
      <c r="AC16" s="1389"/>
      <c r="AD16" s="1390">
        <v>9.7000000000000003E-2</v>
      </c>
      <c r="AE16" s="509"/>
      <c r="AF16" s="509"/>
      <c r="AG16" s="509"/>
    </row>
    <row r="17" spans="1:20" ht="15">
      <c r="A17" s="221"/>
      <c r="B17" s="1388"/>
      <c r="C17" s="1389"/>
      <c r="D17" s="1389"/>
      <c r="E17" s="1389"/>
      <c r="F17" s="1389"/>
      <c r="G17" s="1389"/>
      <c r="H17" s="1389"/>
      <c r="I17" s="1389"/>
      <c r="J17" s="1390">
        <f>H29</f>
        <v>8.900000000000001E-2</v>
      </c>
      <c r="K17" s="31"/>
      <c r="L17" s="31"/>
      <c r="M17" s="67"/>
    </row>
    <row r="18" spans="1:20">
      <c r="A18" s="221"/>
      <c r="B18" s="31"/>
      <c r="C18" s="31"/>
      <c r="D18" s="610"/>
      <c r="E18" s="31"/>
      <c r="F18" s="31"/>
      <c r="G18" s="31"/>
      <c r="H18" s="31"/>
      <c r="I18" s="31"/>
      <c r="J18" s="31"/>
      <c r="K18" s="31"/>
      <c r="L18" s="31"/>
      <c r="M18" s="67"/>
    </row>
    <row r="19" spans="1:20">
      <c r="A19" s="221"/>
      <c r="B19" s="31"/>
      <c r="C19" s="31"/>
      <c r="D19" s="486"/>
      <c r="E19" s="31"/>
      <c r="F19" s="31"/>
      <c r="G19" s="31"/>
      <c r="H19" s="31"/>
      <c r="I19" s="31"/>
      <c r="J19" s="31"/>
      <c r="K19" s="31"/>
      <c r="L19" s="31"/>
      <c r="M19" s="67"/>
    </row>
    <row r="20" spans="1:20" hidden="1">
      <c r="A20" s="1007" t="s">
        <v>1095</v>
      </c>
      <c r="B20" s="1010"/>
      <c r="C20" s="1010"/>
      <c r="D20" s="1008"/>
      <c r="E20" s="1010"/>
      <c r="F20" s="1010"/>
      <c r="G20" s="1010"/>
      <c r="H20" s="1011"/>
      <c r="I20" s="1009"/>
      <c r="J20" s="1008"/>
      <c r="K20" s="1008"/>
      <c r="L20" s="1010"/>
      <c r="M20" s="1010"/>
      <c r="N20" s="1010"/>
      <c r="O20" s="1010"/>
      <c r="P20" s="1010"/>
      <c r="Q20" s="1010"/>
      <c r="R20" s="1010"/>
      <c r="S20" s="1010"/>
      <c r="T20" s="1010"/>
    </row>
    <row r="21" spans="1:20" hidden="1">
      <c r="A21" s="221"/>
      <c r="B21" s="31"/>
      <c r="C21" s="31"/>
      <c r="E21" s="31"/>
      <c r="F21" s="31"/>
      <c r="G21" s="31"/>
      <c r="H21" s="31"/>
      <c r="I21" s="31"/>
      <c r="J21" s="31"/>
      <c r="K21" s="31"/>
      <c r="L21" s="67"/>
      <c r="M21" s="67"/>
    </row>
    <row r="22" spans="1:20" ht="18" hidden="1">
      <c r="A22" s="191"/>
      <c r="B22" s="1867"/>
      <c r="D22" s="67"/>
      <c r="E22" s="2307" t="s">
        <v>505</v>
      </c>
      <c r="F22" s="2308"/>
      <c r="G22" s="2308"/>
      <c r="H22" s="2308"/>
      <c r="I22" s="2308"/>
      <c r="J22" s="2308"/>
      <c r="K22" s="2308"/>
      <c r="L22" s="2308"/>
      <c r="M22" s="2309"/>
      <c r="N22" s="67"/>
      <c r="O22" s="67"/>
      <c r="P22" s="67"/>
      <c r="Q22" s="67"/>
      <c r="R22" s="67"/>
      <c r="S22" s="67"/>
      <c r="T22" s="67"/>
    </row>
    <row r="23" spans="1:20" ht="5.25" hidden="1" customHeight="1">
      <c r="A23" s="191" t="str">
        <f>Model!B70</f>
        <v>Weighted avg. adj. shares outstanding (mn)</v>
      </c>
      <c r="B23" s="1867"/>
      <c r="D23" s="67"/>
      <c r="E23" s="226"/>
      <c r="F23" s="67"/>
      <c r="G23" s="67"/>
      <c r="H23" s="67"/>
      <c r="I23" s="67"/>
      <c r="J23" s="67"/>
      <c r="K23" s="67"/>
      <c r="L23" s="67"/>
      <c r="M23" s="225"/>
      <c r="N23" s="67"/>
      <c r="O23" s="67"/>
      <c r="P23" s="67"/>
      <c r="Q23" s="67"/>
      <c r="R23" s="67"/>
      <c r="S23" s="67"/>
      <c r="T23" s="67"/>
    </row>
    <row r="24" spans="1:20" hidden="1">
      <c r="A24" s="191"/>
      <c r="B24" s="1867"/>
      <c r="D24" s="67"/>
      <c r="E24" s="2310" t="s">
        <v>543</v>
      </c>
      <c r="F24" s="2311"/>
      <c r="G24" s="2311"/>
      <c r="H24" s="2311"/>
      <c r="J24" s="1014"/>
      <c r="K24" s="1859" t="s">
        <v>542</v>
      </c>
      <c r="L24" s="1014"/>
      <c r="M24" s="1015"/>
      <c r="N24" s="67"/>
      <c r="O24" s="67"/>
      <c r="P24" s="67"/>
      <c r="Q24" s="67"/>
      <c r="R24" s="67"/>
      <c r="S24" s="67"/>
      <c r="T24" s="67"/>
    </row>
    <row r="25" spans="1:20" hidden="1">
      <c r="A25" s="191" t="str">
        <f>Model!B130</f>
        <v>Cash and equivalents</v>
      </c>
      <c r="B25" s="1867"/>
      <c r="D25" s="67"/>
      <c r="E25" s="2316" t="s">
        <v>541</v>
      </c>
      <c r="F25" s="2317"/>
      <c r="G25" s="2317"/>
      <c r="H25" s="224"/>
      <c r="J25" s="221" t="s">
        <v>540</v>
      </c>
      <c r="K25" s="31"/>
      <c r="L25" s="31"/>
      <c r="M25" s="222" t="e">
        <f>NPV(H38,F61:O61)</f>
        <v>#N/A</v>
      </c>
      <c r="N25" s="67"/>
      <c r="O25" s="67"/>
      <c r="P25" s="67"/>
      <c r="Q25" s="67"/>
      <c r="R25" s="67"/>
      <c r="S25" s="67"/>
      <c r="T25" s="67"/>
    </row>
    <row r="26" spans="1:20" hidden="1">
      <c r="A26" s="191" t="str">
        <f>Model!B148</f>
        <v>Short-term debt and current portion of long-term debt</v>
      </c>
      <c r="B26" s="1867"/>
      <c r="D26" s="67"/>
      <c r="E26" s="2312" t="s">
        <v>539</v>
      </c>
      <c r="F26" s="2313"/>
      <c r="G26" s="2313"/>
      <c r="H26" s="1860">
        <v>6.8000000000000005E-2</v>
      </c>
      <c r="J26" s="1861" t="s">
        <v>538</v>
      </c>
      <c r="K26" s="31"/>
      <c r="L26" s="31"/>
      <c r="M26" s="209">
        <f>C70</f>
        <v>-832.05252754930734</v>
      </c>
      <c r="N26" s="67"/>
      <c r="O26" s="67"/>
      <c r="P26" s="67"/>
      <c r="Q26" s="67"/>
      <c r="R26" s="67"/>
      <c r="S26" s="67"/>
      <c r="T26" s="67"/>
    </row>
    <row r="27" spans="1:20" hidden="1">
      <c r="A27" s="191" t="str">
        <f>Model!B153</f>
        <v>Long-term debt</v>
      </c>
      <c r="B27" s="1867"/>
      <c r="D27" s="67"/>
      <c r="E27" s="2312" t="s">
        <v>537</v>
      </c>
      <c r="F27" s="2313"/>
      <c r="G27" s="2313"/>
      <c r="H27" s="1860">
        <v>2.1000000000000001E-2</v>
      </c>
      <c r="J27" s="1861" t="s">
        <v>549</v>
      </c>
      <c r="M27" s="209">
        <f>VLOOKUP($A$31,Model!$B$11:$Z$242,MATCH(Valuation!$C$67,Model!$B$4:$Z$4,0),FALSE)</f>
        <v>3.4967845</v>
      </c>
      <c r="N27" s="67"/>
      <c r="O27" s="67"/>
      <c r="P27" s="67"/>
      <c r="Q27" s="67"/>
      <c r="R27" s="67"/>
      <c r="S27" s="67"/>
      <c r="T27" s="67"/>
    </row>
    <row r="28" spans="1:20" hidden="1">
      <c r="B28" s="1867"/>
      <c r="D28" s="67"/>
      <c r="E28" s="2312" t="s">
        <v>536</v>
      </c>
      <c r="F28" s="2313"/>
      <c r="G28" s="2313"/>
      <c r="H28" s="223">
        <v>1</v>
      </c>
      <c r="J28" s="221" t="s">
        <v>535</v>
      </c>
      <c r="K28" s="31"/>
      <c r="L28" s="31"/>
      <c r="M28" s="222" t="e">
        <f>M25-M26-M27</f>
        <v>#N/A</v>
      </c>
      <c r="N28" s="67"/>
      <c r="O28" s="67"/>
      <c r="P28" s="67"/>
      <c r="Q28" s="67"/>
      <c r="R28" s="67"/>
      <c r="S28" s="67"/>
      <c r="T28" s="67"/>
    </row>
    <row r="29" spans="1:20" hidden="1">
      <c r="B29" s="1867"/>
      <c r="D29" s="67"/>
      <c r="E29" s="2314" t="s">
        <v>534</v>
      </c>
      <c r="F29" s="2315"/>
      <c r="G29" s="2315"/>
      <c r="H29" s="1860">
        <f>H27+H28*H26</f>
        <v>8.900000000000001E-2</v>
      </c>
      <c r="J29" s="31" t="s">
        <v>533</v>
      </c>
      <c r="K29" s="31"/>
      <c r="L29" s="31"/>
      <c r="M29" s="209">
        <f>Model!J72</f>
        <v>520.01300000000003</v>
      </c>
      <c r="N29" s="67"/>
      <c r="O29" s="67"/>
      <c r="P29" s="67"/>
      <c r="Q29" s="67"/>
      <c r="R29" s="67"/>
      <c r="S29" s="67"/>
      <c r="T29" s="67"/>
    </row>
    <row r="30" spans="1:20" ht="13.5" hidden="1" customHeight="1">
      <c r="B30" s="1867"/>
      <c r="D30" s="67"/>
      <c r="E30" s="219"/>
      <c r="J30" s="31" t="s">
        <v>547</v>
      </c>
      <c r="K30" s="221"/>
      <c r="L30" s="221"/>
      <c r="M30" s="218" t="e">
        <f>M28/M29</f>
        <v>#N/A</v>
      </c>
      <c r="N30" s="67"/>
      <c r="O30" s="67"/>
      <c r="P30" s="67"/>
      <c r="Q30" s="67"/>
      <c r="R30" s="67"/>
      <c r="S30" s="67"/>
      <c r="T30" s="67"/>
    </row>
    <row r="31" spans="1:20" hidden="1">
      <c r="A31" s="191" t="str">
        <f>+Model!B164</f>
        <v>Minority interest (balance sheet)</v>
      </c>
      <c r="B31" s="1867"/>
      <c r="D31" s="67"/>
      <c r="E31" s="1016" t="s">
        <v>532</v>
      </c>
      <c r="F31" s="1017"/>
      <c r="G31" s="1017"/>
      <c r="H31" s="1862"/>
      <c r="J31" s="1863" t="s">
        <v>546</v>
      </c>
      <c r="K31" s="1864"/>
      <c r="L31" s="1864"/>
      <c r="M31" s="230">
        <v>1</v>
      </c>
      <c r="N31" s="67"/>
      <c r="O31" s="67"/>
      <c r="P31" s="67"/>
      <c r="Q31" s="67"/>
      <c r="R31" s="67"/>
      <c r="S31" s="67"/>
      <c r="T31" s="67"/>
    </row>
    <row r="32" spans="1:20" ht="13.5" hidden="1" thickBot="1">
      <c r="A32" s="191"/>
      <c r="B32" s="1867"/>
      <c r="D32" s="67"/>
      <c r="E32" s="2312" t="s">
        <v>531</v>
      </c>
      <c r="F32" s="2313"/>
      <c r="G32" s="2313"/>
      <c r="H32" s="1865">
        <v>0.05</v>
      </c>
      <c r="M32" s="217"/>
      <c r="N32" s="67"/>
      <c r="O32" s="67"/>
      <c r="P32" s="67"/>
      <c r="Q32" s="67"/>
      <c r="R32" s="67"/>
      <c r="S32" s="67"/>
      <c r="T32" s="67"/>
    </row>
    <row r="33" spans="1:20" ht="16.5" hidden="1" thickBot="1">
      <c r="A33" s="191"/>
      <c r="B33" s="1867"/>
      <c r="C33" s="67"/>
      <c r="D33" s="67"/>
      <c r="E33" s="2312" t="s">
        <v>530</v>
      </c>
      <c r="F33" s="2313"/>
      <c r="G33" s="2313"/>
      <c r="H33" s="1860">
        <f>AVERAGE(Model!E89:F89)</f>
        <v>0.21826852864354895</v>
      </c>
      <c r="J33" s="1396" t="s">
        <v>545</v>
      </c>
      <c r="K33" s="1397"/>
      <c r="L33" s="1397"/>
      <c r="M33" s="1866" t="e">
        <f>ROUND(M30*M31,0)</f>
        <v>#N/A</v>
      </c>
      <c r="N33" s="67"/>
      <c r="O33" s="67"/>
      <c r="P33" s="67"/>
      <c r="Q33" s="67"/>
      <c r="R33" s="67"/>
      <c r="S33" s="67"/>
      <c r="T33" s="67"/>
    </row>
    <row r="34" spans="1:20" hidden="1">
      <c r="A34" s="191"/>
      <c r="B34" s="225"/>
      <c r="C34" s="67"/>
      <c r="D34" s="67"/>
      <c r="E34" s="2314" t="s">
        <v>529</v>
      </c>
      <c r="F34" s="2315"/>
      <c r="G34" s="2315"/>
      <c r="H34" s="220">
        <f>H32*(1-H33)</f>
        <v>3.9086573567822552E-2</v>
      </c>
      <c r="J34" s="31" t="s">
        <v>544</v>
      </c>
      <c r="K34" s="31"/>
      <c r="L34" s="31"/>
      <c r="M34" s="218">
        <f>J13</f>
        <v>300</v>
      </c>
      <c r="N34" s="67"/>
      <c r="O34" s="67"/>
      <c r="P34" s="67"/>
      <c r="Q34" s="67"/>
      <c r="R34" s="67"/>
      <c r="S34" s="67"/>
      <c r="T34" s="67"/>
    </row>
    <row r="35" spans="1:20" hidden="1">
      <c r="A35" s="191"/>
      <c r="B35" s="225"/>
      <c r="C35" s="67"/>
      <c r="E35" s="219"/>
      <c r="J35" s="179" t="s">
        <v>527</v>
      </c>
      <c r="K35" s="31"/>
      <c r="L35" s="31"/>
      <c r="M35" s="203" t="e">
        <f>M33/M34-1</f>
        <v>#N/A</v>
      </c>
      <c r="N35" s="67"/>
      <c r="O35" s="67"/>
      <c r="P35" s="67"/>
      <c r="Q35" s="67"/>
      <c r="R35" s="67"/>
      <c r="S35" s="67"/>
      <c r="T35" s="67"/>
    </row>
    <row r="36" spans="1:20" hidden="1">
      <c r="A36" s="191"/>
      <c r="B36" s="225"/>
      <c r="C36" s="67"/>
      <c r="E36" s="2312" t="s">
        <v>528</v>
      </c>
      <c r="F36" s="2313"/>
      <c r="G36" s="2313"/>
      <c r="H36" s="204">
        <v>0</v>
      </c>
      <c r="M36" s="217"/>
      <c r="N36" s="67"/>
      <c r="O36" s="67"/>
      <c r="P36" s="67"/>
      <c r="Q36" s="67"/>
      <c r="R36" s="67"/>
      <c r="S36" s="67"/>
      <c r="T36" s="67"/>
    </row>
    <row r="37" spans="1:20" hidden="1">
      <c r="B37" s="225"/>
      <c r="E37" s="219"/>
      <c r="M37" s="217"/>
      <c r="N37" s="67"/>
      <c r="O37" s="67"/>
      <c r="P37" s="67"/>
      <c r="Q37" s="67"/>
      <c r="R37" s="67"/>
      <c r="S37" s="67"/>
      <c r="T37" s="67"/>
    </row>
    <row r="38" spans="1:20" hidden="1">
      <c r="B38" s="225"/>
      <c r="E38" s="1016" t="s">
        <v>511</v>
      </c>
      <c r="F38" s="1017"/>
      <c r="G38" s="1017"/>
      <c r="H38" s="1862">
        <f>H34*H36+H29*(1-H36)</f>
        <v>8.900000000000001E-2</v>
      </c>
      <c r="M38" s="217"/>
      <c r="N38" s="67"/>
      <c r="O38" s="67"/>
      <c r="P38" s="67"/>
      <c r="Q38" s="67"/>
      <c r="R38" s="67"/>
      <c r="S38" s="67"/>
      <c r="T38" s="67"/>
    </row>
    <row r="39" spans="1:20" hidden="1">
      <c r="B39" s="225"/>
      <c r="E39" s="229" t="s">
        <v>1340</v>
      </c>
      <c r="F39" s="31"/>
      <c r="G39" s="31"/>
      <c r="M39" s="217"/>
      <c r="N39" s="67"/>
      <c r="O39" s="67"/>
      <c r="P39" s="67"/>
      <c r="Q39" s="67"/>
      <c r="R39" s="67"/>
      <c r="S39" s="67"/>
      <c r="T39" s="67"/>
    </row>
    <row r="40" spans="1:20" hidden="1">
      <c r="B40" s="225"/>
      <c r="E40" s="195" t="s">
        <v>515</v>
      </c>
      <c r="F40" s="215"/>
      <c r="G40" s="215"/>
      <c r="H40" s="216">
        <v>0.03</v>
      </c>
      <c r="I40" s="215"/>
      <c r="J40" s="215"/>
      <c r="K40" s="215"/>
      <c r="L40" s="228"/>
      <c r="M40" s="227"/>
      <c r="N40" s="67"/>
      <c r="O40" s="67"/>
      <c r="P40" s="67"/>
      <c r="Q40" s="67"/>
      <c r="R40" s="67"/>
      <c r="S40" s="67"/>
      <c r="T40" s="67"/>
    </row>
    <row r="41" spans="1:20" hidden="1">
      <c r="C41" s="67"/>
      <c r="D41" s="67"/>
      <c r="L41" s="67"/>
      <c r="M41" s="67"/>
      <c r="N41" s="67"/>
      <c r="O41" s="67"/>
      <c r="P41" s="67"/>
      <c r="Q41" s="67"/>
      <c r="R41" s="67"/>
      <c r="S41" s="67"/>
      <c r="T41" s="67"/>
    </row>
    <row r="42" spans="1:20" ht="18" hidden="1">
      <c r="A42" s="191"/>
      <c r="B42" s="1018" t="s">
        <v>526</v>
      </c>
      <c r="C42" s="1019"/>
      <c r="D42" s="1019"/>
      <c r="E42" s="1020"/>
      <c r="F42" s="1020"/>
      <c r="G42" s="1020"/>
      <c r="H42" s="1020"/>
      <c r="I42" s="1020"/>
      <c r="J42" s="1021"/>
      <c r="K42" s="1020"/>
      <c r="L42" s="1020"/>
      <c r="M42" s="1020"/>
      <c r="N42" s="1020"/>
      <c r="O42" s="1022"/>
      <c r="P42" s="1010"/>
      <c r="Q42" s="1010"/>
      <c r="R42" s="1010"/>
      <c r="S42" s="1010"/>
      <c r="T42" s="1010"/>
    </row>
    <row r="43" spans="1:20" hidden="1">
      <c r="A43" s="191"/>
      <c r="B43" s="1023"/>
      <c r="C43" s="1014"/>
      <c r="D43" s="1017"/>
      <c r="E43" s="1017"/>
      <c r="F43" s="1017"/>
      <c r="G43" s="1017"/>
      <c r="H43" s="1017"/>
      <c r="I43" s="1017"/>
      <c r="J43" s="1017"/>
      <c r="K43" s="1017"/>
      <c r="L43" s="1017"/>
      <c r="M43" s="1017"/>
      <c r="N43" s="1017"/>
      <c r="O43" s="1024"/>
      <c r="P43" s="1017"/>
      <c r="Q43" s="1017"/>
      <c r="R43" s="1017"/>
      <c r="S43" s="1017"/>
      <c r="T43" s="1017"/>
    </row>
    <row r="44" spans="1:20" hidden="1">
      <c r="A44" s="191"/>
      <c r="B44" s="1025" t="s">
        <v>525</v>
      </c>
      <c r="C44" s="1026"/>
      <c r="D44" s="1027"/>
      <c r="E44" s="1028" t="s">
        <v>1071</v>
      </c>
      <c r="F44" s="1029" t="str">
        <f t="shared" ref="F44:O44" si="1">CONCATENATE((LEFT(E44,4)+1),"E")</f>
        <v>2026E</v>
      </c>
      <c r="G44" s="1029" t="str">
        <f t="shared" si="1"/>
        <v>2027E</v>
      </c>
      <c r="H44" s="1029" t="str">
        <f t="shared" si="1"/>
        <v>2028E</v>
      </c>
      <c r="I44" s="1029" t="str">
        <f t="shared" si="1"/>
        <v>2029E</v>
      </c>
      <c r="J44" s="1029" t="str">
        <f t="shared" si="1"/>
        <v>2030E</v>
      </c>
      <c r="K44" s="1029" t="str">
        <f t="shared" si="1"/>
        <v>2031E</v>
      </c>
      <c r="L44" s="1029" t="str">
        <f t="shared" si="1"/>
        <v>2032E</v>
      </c>
      <c r="M44" s="1029" t="str">
        <f t="shared" si="1"/>
        <v>2033E</v>
      </c>
      <c r="N44" s="1029" t="str">
        <f t="shared" si="1"/>
        <v>2034E</v>
      </c>
      <c r="O44" s="1030" t="str">
        <f t="shared" si="1"/>
        <v>2035E</v>
      </c>
      <c r="P44" s="1324"/>
      <c r="Q44" s="1324" t="s">
        <v>1341</v>
      </c>
      <c r="R44" s="1324"/>
      <c r="S44" s="1324"/>
      <c r="T44" s="1324"/>
    </row>
    <row r="45" spans="1:20" hidden="1">
      <c r="A45" s="191" t="str">
        <f>Model!B35</f>
        <v>EBIT  (operating profit)</v>
      </c>
      <c r="B45" s="214" t="s">
        <v>35</v>
      </c>
      <c r="C45" s="213"/>
      <c r="D45" s="213"/>
      <c r="E45" s="213">
        <f>VLOOKUP($A45,Model!$B$9:$ZN$73,MATCH(Valuation!E$44,Model!$B$4:$ZN$4,0),FALSE)</f>
        <v>5435.6400154569565</v>
      </c>
      <c r="F45" s="213">
        <f>VLOOKUP($A45,Model!$B$9:$ZN$73,MATCH(Valuation!F$44,Model!$B$4:$ZN$4,0),FALSE)</f>
        <v>6767.0166878202199</v>
      </c>
      <c r="G45" s="213">
        <f>VLOOKUP($A45,Model!$B$9:$ZN$73,MATCH(Valuation!G$44,Model!$B$4:$ZN$4,0),FALSE)</f>
        <v>8139.2295924605105</v>
      </c>
      <c r="H45" s="213" t="e">
        <f>VLOOKUP($A45,Model!$B$9:$ZN$73,MATCH(Valuation!H$44,Model!$B$4:$ZN$4,0),FALSE)</f>
        <v>#N/A</v>
      </c>
      <c r="I45" s="213" t="e">
        <f>+H45*1.12</f>
        <v>#N/A</v>
      </c>
      <c r="J45" s="213" t="e">
        <f>+I45*1.11</f>
        <v>#N/A</v>
      </c>
      <c r="K45" s="213" t="e">
        <f>+J45*1.1</f>
        <v>#N/A</v>
      </c>
      <c r="L45" s="213" t="e">
        <f>+K45*1.09</f>
        <v>#N/A</v>
      </c>
      <c r="M45" s="213" t="e">
        <f>+L45*1.08</f>
        <v>#N/A</v>
      </c>
      <c r="N45" s="213" t="e">
        <f>+M45*1.07</f>
        <v>#N/A</v>
      </c>
      <c r="O45" s="1393" t="e">
        <f>+N45*1.06</f>
        <v>#N/A</v>
      </c>
      <c r="P45" s="192"/>
      <c r="Q45" s="1326" t="e">
        <f t="shared" ref="Q45:Q50" si="2">(O45/E45)^(1/10)-1</f>
        <v>#N/A</v>
      </c>
      <c r="R45" s="192"/>
      <c r="S45" s="192"/>
      <c r="T45" s="192"/>
    </row>
    <row r="46" spans="1:20" hidden="1">
      <c r="A46" s="212" t="str">
        <f>Model!B89</f>
        <v>Tax rate (as a % of EBT excluding associates)</v>
      </c>
      <c r="B46" s="210" t="s">
        <v>524</v>
      </c>
      <c r="C46" s="31"/>
      <c r="D46" s="192"/>
      <c r="E46" s="192">
        <f>VLOOKUP($A46,Model!$B$9:$ZN$90,MATCH(Valuation!E$44,Model!$B$4:$ZN$4,0),FALSE)*E45</f>
        <v>1114.3062031686761</v>
      </c>
      <c r="F46" s="192">
        <f>VLOOKUP($A46,Model!$B$9:$ZN$90,MATCH(Valuation!F$44,Model!$B$4:$ZN$4,0),FALSE)*F45</f>
        <v>1387.238421003145</v>
      </c>
      <c r="G46" s="192">
        <f>VLOOKUP($A46,Model!$B$9:$ZN$90,MATCH(Valuation!G$44,Model!$B$4:$ZN$4,0),FALSE)*G45</f>
        <v>1668.5420664544044</v>
      </c>
      <c r="H46" s="192" t="e">
        <f>VLOOKUP($A46,Model!$B$9:$ZN$90,MATCH(Valuation!H$44,Model!$B$4:$ZN$4,0),FALSE)*H45</f>
        <v>#N/A</v>
      </c>
      <c r="I46" s="192" t="e">
        <f t="shared" ref="I46:O46" si="3">+H46/H45*I45</f>
        <v>#N/A</v>
      </c>
      <c r="J46" s="192" t="e">
        <f t="shared" si="3"/>
        <v>#N/A</v>
      </c>
      <c r="K46" s="192" t="e">
        <f t="shared" si="3"/>
        <v>#N/A</v>
      </c>
      <c r="L46" s="192" t="e">
        <f t="shared" si="3"/>
        <v>#N/A</v>
      </c>
      <c r="M46" s="192" t="e">
        <f t="shared" si="3"/>
        <v>#N/A</v>
      </c>
      <c r="N46" s="192" t="e">
        <f t="shared" si="3"/>
        <v>#N/A</v>
      </c>
      <c r="O46" s="209" t="e">
        <f t="shared" si="3"/>
        <v>#N/A</v>
      </c>
      <c r="P46" s="192"/>
      <c r="Q46" s="1326" t="e">
        <f t="shared" si="2"/>
        <v>#N/A</v>
      </c>
      <c r="R46" s="192"/>
      <c r="S46" s="192"/>
      <c r="T46" s="192"/>
    </row>
    <row r="47" spans="1:20" hidden="1">
      <c r="A47" s="191" t="str">
        <f>Model!B33</f>
        <v>Depreciation</v>
      </c>
      <c r="B47" s="210" t="s">
        <v>523</v>
      </c>
      <c r="C47" s="192"/>
      <c r="D47" s="192"/>
      <c r="E47" s="192">
        <f>-(VLOOKUP($A47,Model!$B$9:$ZN$73,MATCH(Valuation!E$44,Model!$B$4:$ZN$4,0),FALSE))-(VLOOKUP($A50,Model!$B$9:$ZN$73,MATCH(Valuation!E$44,Model!$B$4:$ZN$4,0),FALSE))</f>
        <v>416.21586006555287</v>
      </c>
      <c r="F47" s="192">
        <f>-(VLOOKUP($A47,Model!$B$9:$ZN$73,MATCH(Valuation!F$44,Model!$B$4:$ZN$4,0),FALSE))-(VLOOKUP($A50,Model!$B$9:$ZN$73,MATCH(Valuation!F$44,Model!$B$4:$ZN$4,0),FALSE))</f>
        <v>505.97599968019</v>
      </c>
      <c r="G47" s="192">
        <f>-(VLOOKUP($A47,Model!$B$9:$ZN$73,MATCH(Valuation!G$44,Model!$B$4:$ZN$4,0),FALSE))-(VLOOKUP($A50,Model!$B$9:$ZN$73,MATCH(Valuation!G$44,Model!$B$4:$ZN$4,0),FALSE))</f>
        <v>734.11279827510248</v>
      </c>
      <c r="H47" s="192" t="e">
        <f>-(VLOOKUP($A47,Model!$B$9:$ZN$73,MATCH(Valuation!H$44,Model!$B$4:$ZN$4,0),FALSE))-(VLOOKUP($A50,Model!$B$9:$ZN$73,MATCH(Valuation!H$44,Model!$B$4:$ZN$4,0),FALSE))</f>
        <v>#N/A</v>
      </c>
      <c r="I47" s="192" t="e">
        <f>+H47*1.08</f>
        <v>#N/A</v>
      </c>
      <c r="J47" s="192" t="e">
        <f t="shared" ref="J47:O47" si="4">+I47*1.08</f>
        <v>#N/A</v>
      </c>
      <c r="K47" s="192" t="e">
        <f t="shared" si="4"/>
        <v>#N/A</v>
      </c>
      <c r="L47" s="192" t="e">
        <f t="shared" si="4"/>
        <v>#N/A</v>
      </c>
      <c r="M47" s="192" t="e">
        <f t="shared" si="4"/>
        <v>#N/A</v>
      </c>
      <c r="N47" s="192" t="e">
        <f t="shared" si="4"/>
        <v>#N/A</v>
      </c>
      <c r="O47" s="209" t="e">
        <f t="shared" si="4"/>
        <v>#N/A</v>
      </c>
      <c r="P47" s="192"/>
      <c r="Q47" s="1326" t="e">
        <f t="shared" si="2"/>
        <v>#N/A</v>
      </c>
      <c r="R47" s="192"/>
      <c r="S47" s="192"/>
      <c r="T47" s="192"/>
    </row>
    <row r="48" spans="1:20" hidden="1">
      <c r="A48" s="211" t="str">
        <f>Model!B199</f>
        <v>(Increase)/decrease in working capital :</v>
      </c>
      <c r="B48" s="210" t="s">
        <v>1381</v>
      </c>
      <c r="C48" s="192"/>
      <c r="D48" s="192"/>
      <c r="E48" s="192">
        <f>-VLOOKUP($A48,Model!$B$194:$ZN$240,MATCH(Valuation!E$44,Model!$B$4:$ZN$4,0),FALSE)</f>
        <v>-636.13752299532587</v>
      </c>
      <c r="F48" s="192">
        <f>-VLOOKUP($A48,Model!$B$194:$ZN$240,MATCH(Valuation!F$44,Model!$B$4:$ZN$4,0),FALSE)</f>
        <v>-488.96823288230655</v>
      </c>
      <c r="G48" s="192">
        <f>-VLOOKUP($A48,Model!$B$194:$ZN$240,MATCH(Valuation!G$44,Model!$B$4:$ZN$4,0),FALSE)</f>
        <v>-511.15127852292426</v>
      </c>
      <c r="H48" s="192" t="e">
        <f>-VLOOKUP($A48,Model!$B$194:$ZN$240,MATCH(Valuation!H$44,Model!$B$4:$ZN$4,0),FALSE)</f>
        <v>#N/A</v>
      </c>
      <c r="I48" s="192" t="e">
        <f>+H48*1.1</f>
        <v>#N/A</v>
      </c>
      <c r="J48" s="192" t="e">
        <f t="shared" ref="J48:O48" si="5">+I48*1.1</f>
        <v>#N/A</v>
      </c>
      <c r="K48" s="192" t="e">
        <f t="shared" si="5"/>
        <v>#N/A</v>
      </c>
      <c r="L48" s="192" t="e">
        <f t="shared" si="5"/>
        <v>#N/A</v>
      </c>
      <c r="M48" s="192" t="e">
        <f t="shared" si="5"/>
        <v>#N/A</v>
      </c>
      <c r="N48" s="192" t="e">
        <f t="shared" si="5"/>
        <v>#N/A</v>
      </c>
      <c r="O48" s="209" t="e">
        <f t="shared" si="5"/>
        <v>#N/A</v>
      </c>
      <c r="P48" s="192"/>
      <c r="Q48" s="1326" t="e">
        <f t="shared" si="2"/>
        <v>#N/A</v>
      </c>
      <c r="R48" s="192"/>
      <c r="S48" s="192"/>
      <c r="T48" s="192"/>
    </row>
    <row r="49" spans="1:20" hidden="1">
      <c r="A49" s="191" t="str">
        <f>Model!B207</f>
        <v>Capital expenditure</v>
      </c>
      <c r="B49" s="611" t="s">
        <v>522</v>
      </c>
      <c r="C49" s="194"/>
      <c r="D49" s="194"/>
      <c r="E49" s="194">
        <f>-VLOOKUP($A49,Model!$B$194:$ZN$240,MATCH(Valuation!E$44,Model!$B$4:$ZN$4,0),FALSE)</f>
        <v>2474.0484699470439</v>
      </c>
      <c r="F49" s="194">
        <f>-VLOOKUP($A49,Model!$B$194:$ZN$240,MATCH(Valuation!F$44,Model!$B$4:$ZN$4,0),FALSE)</f>
        <v>2968.5836865615061</v>
      </c>
      <c r="G49" s="194">
        <f>-VLOOKUP($A49,Model!$B$194:$ZN$240,MATCH(Valuation!G$44,Model!$B$4:$ZN$4,0),FALSE)</f>
        <v>3451.6171074109066</v>
      </c>
      <c r="H49" s="194" t="e">
        <f>-VLOOKUP($A49,Model!$B$194:$ZN$240,MATCH(Valuation!H$44,Model!$B$4:$ZN$4,0),FALSE)</f>
        <v>#N/A</v>
      </c>
      <c r="I49" s="192" t="e">
        <f>+H49*1.08</f>
        <v>#N/A</v>
      </c>
      <c r="J49" s="192" t="e">
        <f>+I49*1.08</f>
        <v>#N/A</v>
      </c>
      <c r="K49" s="192" t="e">
        <f>+J49*1.08</f>
        <v>#N/A</v>
      </c>
      <c r="L49" s="192" t="e">
        <f>+K49*1.08</f>
        <v>#N/A</v>
      </c>
      <c r="M49" s="192" t="e">
        <f>+L49*1.07</f>
        <v>#N/A</v>
      </c>
      <c r="N49" s="192" t="e">
        <f>+M49*1.06</f>
        <v>#N/A</v>
      </c>
      <c r="O49" s="209" t="e">
        <f>+N49*1.06</f>
        <v>#N/A</v>
      </c>
      <c r="P49" s="192"/>
      <c r="Q49" s="1326" t="e">
        <f t="shared" si="2"/>
        <v>#N/A</v>
      </c>
      <c r="R49" s="192"/>
      <c r="S49" s="192"/>
      <c r="T49" s="192"/>
    </row>
    <row r="50" spans="1:20" hidden="1">
      <c r="A50" s="191" t="str">
        <f>Model!B34</f>
        <v>Amortization</v>
      </c>
      <c r="B50" s="207" t="s">
        <v>521</v>
      </c>
      <c r="C50" s="206"/>
      <c r="D50" s="206"/>
      <c r="E50" s="206">
        <f>E45-E46+E47-E48-E49</f>
        <v>2899.6387254021151</v>
      </c>
      <c r="F50" s="206">
        <f>F45-F46+F47-F48-F49</f>
        <v>3406.1388128180656</v>
      </c>
      <c r="G50" s="206">
        <f t="shared" ref="G50:O50" si="6">G45-G46+G47-G48-G49</f>
        <v>4264.3344953932265</v>
      </c>
      <c r="H50" s="206" t="e">
        <f t="shared" si="6"/>
        <v>#N/A</v>
      </c>
      <c r="I50" s="206" t="e">
        <f t="shared" si="6"/>
        <v>#N/A</v>
      </c>
      <c r="J50" s="206" t="e">
        <f t="shared" si="6"/>
        <v>#N/A</v>
      </c>
      <c r="K50" s="206" t="e">
        <f t="shared" si="6"/>
        <v>#N/A</v>
      </c>
      <c r="L50" s="206" t="e">
        <f t="shared" si="6"/>
        <v>#N/A</v>
      </c>
      <c r="M50" s="206" t="e">
        <f t="shared" si="6"/>
        <v>#N/A</v>
      </c>
      <c r="N50" s="206" t="e">
        <f t="shared" si="6"/>
        <v>#N/A</v>
      </c>
      <c r="O50" s="1394" t="e">
        <f t="shared" si="6"/>
        <v>#N/A</v>
      </c>
      <c r="P50" s="1325"/>
      <c r="Q50" s="1327" t="e">
        <f t="shared" si="2"/>
        <v>#N/A</v>
      </c>
      <c r="R50" s="1325"/>
      <c r="S50" s="1325"/>
      <c r="T50" s="1325"/>
    </row>
    <row r="51" spans="1:20" s="202" customFormat="1" hidden="1">
      <c r="A51" s="191"/>
      <c r="B51" s="205" t="s">
        <v>520</v>
      </c>
      <c r="C51" s="31"/>
      <c r="D51" s="175"/>
      <c r="E51" s="175"/>
      <c r="F51" s="175">
        <f t="shared" ref="F51:O51" si="7">F50/E50-1</f>
        <v>0.17467696336746585</v>
      </c>
      <c r="G51" s="175">
        <f t="shared" si="7"/>
        <v>0.25195558071373303</v>
      </c>
      <c r="H51" s="175" t="e">
        <f t="shared" si="7"/>
        <v>#N/A</v>
      </c>
      <c r="I51" s="175" t="e">
        <f t="shared" si="7"/>
        <v>#N/A</v>
      </c>
      <c r="J51" s="175" t="e">
        <f t="shared" si="7"/>
        <v>#N/A</v>
      </c>
      <c r="K51" s="175" t="e">
        <f t="shared" si="7"/>
        <v>#N/A</v>
      </c>
      <c r="L51" s="175" t="e">
        <f t="shared" si="7"/>
        <v>#N/A</v>
      </c>
      <c r="M51" s="175" t="e">
        <f t="shared" si="7"/>
        <v>#N/A</v>
      </c>
      <c r="N51" s="175" t="e">
        <f t="shared" si="7"/>
        <v>#N/A</v>
      </c>
      <c r="O51" s="1395" t="e">
        <f t="shared" si="7"/>
        <v>#N/A</v>
      </c>
      <c r="P51" s="175"/>
      <c r="Q51" s="175"/>
      <c r="R51" s="175"/>
      <c r="S51" s="175"/>
      <c r="T51" s="175"/>
    </row>
    <row r="52" spans="1:20" hidden="1">
      <c r="A52" s="68"/>
      <c r="B52" s="201" t="s">
        <v>519</v>
      </c>
      <c r="C52" s="200"/>
      <c r="D52" s="200"/>
      <c r="E52" s="200"/>
      <c r="F52" s="200"/>
      <c r="G52" s="200"/>
      <c r="H52" s="200" t="str">
        <f>H54</f>
        <v xml:space="preserve"> </v>
      </c>
      <c r="I52" s="200"/>
      <c r="J52" s="200" t="str">
        <f t="shared" ref="J52:O52" si="8">J54</f>
        <v xml:space="preserve"> </v>
      </c>
      <c r="K52" s="200" t="str">
        <f t="shared" si="8"/>
        <v xml:space="preserve"> </v>
      </c>
      <c r="L52" s="200" t="str">
        <f t="shared" si="8"/>
        <v xml:space="preserve"> </v>
      </c>
      <c r="M52" s="200" t="str">
        <f t="shared" si="8"/>
        <v xml:space="preserve"> </v>
      </c>
      <c r="N52" s="85" t="e">
        <f t="shared" si="8"/>
        <v>#N/A</v>
      </c>
      <c r="O52" s="802" t="e">
        <f t="shared" si="8"/>
        <v>#N/A</v>
      </c>
      <c r="P52" s="85"/>
      <c r="Q52" s="85"/>
      <c r="R52" s="85"/>
      <c r="S52" s="85"/>
      <c r="T52" s="85"/>
    </row>
    <row r="53" spans="1:20" s="189" customFormat="1" hidden="1">
      <c r="A53" s="191"/>
      <c r="B53" s="197" t="s">
        <v>505</v>
      </c>
      <c r="C53" s="199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666"/>
      <c r="O53" s="803"/>
      <c r="P53" s="666"/>
      <c r="Q53" s="666"/>
      <c r="R53" s="666"/>
      <c r="S53" s="666"/>
      <c r="T53" s="666"/>
    </row>
    <row r="54" spans="1:20" s="189" customFormat="1" hidden="1">
      <c r="A54" s="191"/>
      <c r="B54" s="196" t="s">
        <v>518</v>
      </c>
      <c r="C54" s="84"/>
      <c r="D54" s="84"/>
      <c r="E54" s="84" t="str">
        <f>IF(ISBLANK(E50)," ",IF(ISBLANK(F50),(E50*(1+#REF!)/(#REF!-#REF!))," "))</f>
        <v xml:space="preserve"> </v>
      </c>
      <c r="F54" s="84" t="str">
        <f>IF(ISBLANK(F50)," ",IF(ISBLANK(G50),(F50*(1+#REF!)/(#REF!-#REF!))," "))</f>
        <v xml:space="preserve"> </v>
      </c>
      <c r="G54" s="84" t="str">
        <f>IF(ISBLANK(G50)," ",IF(ISBLANK(H50),(G50*(1+#REF!)/(#REF!-#REF!))," "))</f>
        <v xml:space="preserve"> </v>
      </c>
      <c r="H54" s="84" t="str">
        <f>IF(ISBLANK(H50)," ",IF(ISBLANK(I50),(H50*(1+$H$40)/($H$38-$H$40))," "))</f>
        <v xml:space="preserve"> </v>
      </c>
      <c r="I54" s="84"/>
      <c r="J54" s="84" t="str">
        <f>IF(ISBLANK(J50)," ",IF(ISBLANK(K50),(J50*(1+#REF!)/(#REF!-#REF!))," "))</f>
        <v xml:space="preserve"> </v>
      </c>
      <c r="K54" s="84" t="str">
        <f>IF(ISBLANK(K50)," ",IF(ISBLANK(L50),(K50*(1+#REF!)/(#REF!-#REF!))," "))</f>
        <v xml:space="preserve"> </v>
      </c>
      <c r="L54" s="84" t="str">
        <f>IF(ISBLANK(L50)," ",IF(ISBLANK(N50),(L50*(1+#REF!)/(#REF!-#REF!))," "))</f>
        <v xml:space="preserve"> </v>
      </c>
      <c r="M54" s="84" t="str">
        <f>IF(ISBLANK(M50)," ",IF(ISBLANK(O50),(M50*(1+#REF!)/(#REF!-#REF!))," "))</f>
        <v xml:space="preserve"> </v>
      </c>
      <c r="N54" s="84" t="e">
        <f>IF(ISBLANK(N50)," ",IF(ISBLANK(U50),(N50*(1+#REF!)/(#REF!-#REF!))," "))</f>
        <v>#N/A</v>
      </c>
      <c r="O54" s="804" t="e">
        <f>IF(ISBLANK(O50)," ",IF(ISBLANK(V50),(O50*(1+#REF!)/(#REF!-#REF!))," "))</f>
        <v>#N/A</v>
      </c>
      <c r="P54" s="84"/>
      <c r="Q54" s="84"/>
      <c r="R54" s="84"/>
      <c r="S54" s="84"/>
      <c r="T54" s="84"/>
    </row>
    <row r="55" spans="1:20" s="189" customFormat="1" hidden="1">
      <c r="A55" s="191"/>
      <c r="B55" s="195" t="s">
        <v>517</v>
      </c>
      <c r="C55" s="194"/>
      <c r="D55" s="194"/>
      <c r="E55" s="194">
        <f>IF(ISERROR(E50+E54),E50,(E50+E54))</f>
        <v>2899.6387254021151</v>
      </c>
      <c r="F55" s="194">
        <f>IF(ISERROR(F50+F54),F50,(F50+F54))</f>
        <v>3406.1388128180656</v>
      </c>
      <c r="G55" s="194">
        <f>IF(ISERROR(G50+G54),G50,(G50+G54))</f>
        <v>4264.3344953932265</v>
      </c>
      <c r="H55" s="194" t="e">
        <f>IF(ISERROR(H50+H54),H50,(H50+H54))</f>
        <v>#N/A</v>
      </c>
      <c r="I55" s="194"/>
      <c r="J55" s="194" t="e">
        <f t="shared" ref="J55:O55" si="9">IF(ISERROR(J50+J54),J50,(J50+J54))</f>
        <v>#N/A</v>
      </c>
      <c r="K55" s="194" t="e">
        <f t="shared" si="9"/>
        <v>#N/A</v>
      </c>
      <c r="L55" s="194" t="e">
        <f t="shared" si="9"/>
        <v>#N/A</v>
      </c>
      <c r="M55" s="194" t="e">
        <f t="shared" si="9"/>
        <v>#N/A</v>
      </c>
      <c r="N55" s="192" t="e">
        <f t="shared" si="9"/>
        <v>#N/A</v>
      </c>
      <c r="O55" s="209" t="e">
        <f t="shared" si="9"/>
        <v>#N/A</v>
      </c>
      <c r="P55" s="192"/>
      <c r="Q55" s="192"/>
      <c r="R55" s="192"/>
      <c r="S55" s="192"/>
      <c r="T55" s="192"/>
    </row>
    <row r="56" spans="1:20" hidden="1">
      <c r="A56" s="67"/>
      <c r="B56" s="226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225"/>
      <c r="P56" s="67"/>
      <c r="Q56" s="67"/>
      <c r="R56" s="67"/>
      <c r="S56" s="67"/>
      <c r="T56" s="67"/>
    </row>
    <row r="57" spans="1:20" hidden="1">
      <c r="A57" s="68"/>
      <c r="B57" s="226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225"/>
      <c r="P57" s="67"/>
      <c r="Q57" s="67"/>
      <c r="R57" s="67"/>
      <c r="S57" s="67"/>
      <c r="T57" s="67"/>
    </row>
    <row r="58" spans="1:20" ht="15" hidden="1">
      <c r="A58" s="68"/>
      <c r="B58" s="511" t="s">
        <v>506</v>
      </c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225"/>
      <c r="P58" s="67"/>
      <c r="Q58" s="67"/>
      <c r="R58" s="67"/>
      <c r="S58" s="67"/>
      <c r="T58" s="67"/>
    </row>
    <row r="59" spans="1:20" hidden="1">
      <c r="A59" s="191"/>
      <c r="B59" s="1031" t="s">
        <v>505</v>
      </c>
      <c r="C59" s="1032"/>
      <c r="D59" s="1033"/>
      <c r="E59" s="1033"/>
      <c r="F59" s="1033"/>
      <c r="G59" s="1033"/>
      <c r="H59" s="1033"/>
      <c r="I59" s="1033"/>
      <c r="J59" s="1033"/>
      <c r="K59" s="1033"/>
      <c r="L59" s="1033"/>
      <c r="M59" s="1033"/>
      <c r="N59" s="1034"/>
      <c r="O59" s="1035"/>
      <c r="P59" s="1034"/>
      <c r="Q59" s="1034"/>
      <c r="R59" s="1034"/>
      <c r="S59" s="1034"/>
      <c r="T59" s="1034"/>
    </row>
    <row r="60" spans="1:20" s="189" customFormat="1" hidden="1">
      <c r="A60" s="191"/>
      <c r="B60" s="196" t="s">
        <v>518</v>
      </c>
      <c r="C60" s="84"/>
      <c r="D60" s="84"/>
      <c r="E60" s="84" t="str">
        <f>IF(ISBLANK(E50)," ",IF(ISBLANK(F50),(E50*(1+$H$40)/($H$38-$H$40))," "))</f>
        <v xml:space="preserve"> </v>
      </c>
      <c r="F60" s="84" t="str">
        <f>IF(ISBLANK(F50)," ",IF(ISBLANK(G50),(F50*(1+$H$40)/($H$38-$H$40))," "))</f>
        <v xml:space="preserve"> </v>
      </c>
      <c r="G60" s="84" t="str">
        <f>IF(ISBLANK(G50)," ",IF(ISBLANK(H50),(G50*(1+$H$40)/($H$38-$H$40))," "))</f>
        <v xml:space="preserve"> </v>
      </c>
      <c r="H60" s="84" t="e">
        <f>IF((H50*(1+$H$40)/($H$38-$H$40))," ")</f>
        <v>#N/A</v>
      </c>
      <c r="I60" s="84" t="str">
        <f t="shared" ref="I60:N60" si="10">IF(ISBLANK(I50)," ",IF(ISBLANK(J50),(I50*(1+$H$40)/($H$38-$H$40))," "))</f>
        <v xml:space="preserve"> </v>
      </c>
      <c r="J60" s="84" t="str">
        <f t="shared" si="10"/>
        <v xml:space="preserve"> </v>
      </c>
      <c r="K60" s="84" t="str">
        <f t="shared" si="10"/>
        <v xml:space="preserve"> </v>
      </c>
      <c r="L60" s="84" t="str">
        <f t="shared" si="10"/>
        <v xml:space="preserve"> </v>
      </c>
      <c r="M60" s="84" t="str">
        <f t="shared" si="10"/>
        <v xml:space="preserve"> </v>
      </c>
      <c r="N60" s="84" t="str">
        <f t="shared" si="10"/>
        <v xml:space="preserve"> </v>
      </c>
      <c r="O60" s="804" t="e">
        <f>IF(ISBLANK(O50)," ",IF(ISBLANK(P50),(O50*(1+$H$40)/($H$38-$H$40))," "))</f>
        <v>#N/A</v>
      </c>
      <c r="P60" s="84"/>
      <c r="Q60" s="84"/>
      <c r="R60" s="84"/>
      <c r="S60" s="84"/>
      <c r="T60" s="84"/>
    </row>
    <row r="61" spans="1:20" s="1332" customFormat="1" hidden="1">
      <c r="A61" s="1328"/>
      <c r="B61" s="1329" t="s">
        <v>517</v>
      </c>
      <c r="C61" s="1330"/>
      <c r="D61" s="1330"/>
      <c r="E61" s="1330">
        <f t="shared" ref="E61:O61" si="11">IF(ISERROR(E50+E60),E50,(E50+E60))</f>
        <v>2899.6387254021151</v>
      </c>
      <c r="F61" s="1330">
        <f t="shared" si="11"/>
        <v>3406.1388128180656</v>
      </c>
      <c r="G61" s="1330">
        <f t="shared" si="11"/>
        <v>4264.3344953932265</v>
      </c>
      <c r="H61" s="1330" t="e">
        <f t="shared" si="11"/>
        <v>#N/A</v>
      </c>
      <c r="I61" s="1330" t="e">
        <f t="shared" si="11"/>
        <v>#N/A</v>
      </c>
      <c r="J61" s="1330" t="e">
        <f t="shared" si="11"/>
        <v>#N/A</v>
      </c>
      <c r="K61" s="1330" t="e">
        <f t="shared" si="11"/>
        <v>#N/A</v>
      </c>
      <c r="L61" s="1330" t="e">
        <f t="shared" si="11"/>
        <v>#N/A</v>
      </c>
      <c r="M61" s="1330" t="e">
        <f t="shared" si="11"/>
        <v>#N/A</v>
      </c>
      <c r="N61" s="1330" t="e">
        <f t="shared" si="11"/>
        <v>#N/A</v>
      </c>
      <c r="O61" s="1331" t="e">
        <f t="shared" si="11"/>
        <v>#N/A</v>
      </c>
      <c r="P61" s="1325"/>
      <c r="Q61" s="1325"/>
      <c r="R61" s="1325"/>
      <c r="S61" s="1325"/>
      <c r="T61" s="1325"/>
    </row>
    <row r="62" spans="1:20" s="189" customFormat="1" ht="14.25" hidden="1">
      <c r="A62" s="191"/>
      <c r="B62" s="193"/>
      <c r="C62" s="66"/>
      <c r="D62" s="190"/>
      <c r="E62" s="612"/>
      <c r="F62" s="190"/>
      <c r="G62" s="190"/>
      <c r="H62" s="190"/>
      <c r="I62" s="190"/>
      <c r="J62" s="190"/>
      <c r="K62" s="190"/>
      <c r="L62" s="190"/>
      <c r="M62" s="190"/>
      <c r="N62" s="192"/>
    </row>
    <row r="63" spans="1:20" s="189" customFormat="1" ht="14.25" hidden="1">
      <c r="A63" s="191"/>
      <c r="B63" s="67"/>
      <c r="C63" s="66"/>
      <c r="D63" s="190"/>
      <c r="E63" s="190"/>
      <c r="F63" s="190"/>
      <c r="G63" s="190"/>
      <c r="H63" s="190"/>
      <c r="I63" s="190"/>
      <c r="J63" s="190"/>
      <c r="K63" s="190"/>
      <c r="L63" s="190"/>
      <c r="M63" s="190"/>
      <c r="N63" s="66"/>
    </row>
    <row r="64" spans="1:20" s="189" customFormat="1" ht="14.25" hidden="1">
      <c r="A64" s="191"/>
      <c r="B64" s="67"/>
      <c r="C64" s="66"/>
      <c r="D64" s="190"/>
      <c r="E64" s="190"/>
      <c r="F64" s="190"/>
      <c r="G64" s="190"/>
      <c r="H64" s="190"/>
      <c r="I64" s="190"/>
      <c r="J64" s="190"/>
      <c r="K64" s="190"/>
      <c r="L64" s="190"/>
      <c r="M64" s="190"/>
      <c r="N64" s="66"/>
    </row>
    <row r="65" spans="1:20" ht="18" hidden="1">
      <c r="B65" s="221" t="s">
        <v>552</v>
      </c>
      <c r="C65" s="232"/>
      <c r="D65" s="31"/>
      <c r="E65" s="1038" t="s">
        <v>516</v>
      </c>
      <c r="F65" s="1038"/>
      <c r="G65" s="1038"/>
      <c r="H65" s="31"/>
      <c r="I65" s="31"/>
      <c r="J65" s="31"/>
      <c r="K65" s="31"/>
    </row>
    <row r="66" spans="1:20" s="183" customFormat="1" ht="15" hidden="1" customHeight="1">
      <c r="A66" s="184"/>
      <c r="B66" s="31" t="s">
        <v>41</v>
      </c>
      <c r="C66" s="31"/>
      <c r="D66" s="187"/>
      <c r="E66" s="1039"/>
      <c r="F66" s="1040"/>
      <c r="G66" s="2318" t="s">
        <v>511</v>
      </c>
      <c r="H66" s="2318"/>
      <c r="I66" s="2318"/>
      <c r="J66" s="2318"/>
      <c r="K66" s="2318"/>
    </row>
    <row r="67" spans="1:20" s="183" customFormat="1" ht="15" hidden="1" customHeight="1">
      <c r="A67" s="184"/>
      <c r="B67" s="1036" t="s">
        <v>551</v>
      </c>
      <c r="C67" s="1037" t="s">
        <v>1071</v>
      </c>
      <c r="E67" s="1041"/>
      <c r="F67" s="1046" t="e">
        <f>M33</f>
        <v>#N/A</v>
      </c>
      <c r="G67" s="1042">
        <f>H67-0.005</f>
        <v>8.3999999999999991E-2</v>
      </c>
      <c r="H67" s="1042">
        <f>I67-0.005</f>
        <v>8.8999999999999996E-2</v>
      </c>
      <c r="I67" s="1043">
        <v>9.4E-2</v>
      </c>
      <c r="J67" s="1042">
        <f>I67+0.005</f>
        <v>9.9000000000000005E-2</v>
      </c>
      <c r="K67" s="1042">
        <f>J67+0.005</f>
        <v>0.10400000000000001</v>
      </c>
    </row>
    <row r="68" spans="1:20" s="183" customFormat="1" ht="15" hidden="1" customHeight="1">
      <c r="A68" s="184"/>
      <c r="B68" s="229" t="s">
        <v>550</v>
      </c>
      <c r="C68" s="231">
        <f>VLOOKUP($A$25,Model!$B$130:$Z$167,MATCH(Valuation!C$67,Model!$B$4:$Z$4,0),FALSE)</f>
        <v>7383.3894488293072</v>
      </c>
      <c r="E68" s="2318" t="s">
        <v>515</v>
      </c>
      <c r="F68" s="1044">
        <f>F69-0.01</f>
        <v>9.9999999999999967E-3</v>
      </c>
      <c r="G68" s="186">
        <f t="dataTable" ref="G68:K72" dt2D="1" dtr="1" r1="H38" r2="H40" ca="1"/>
        <v>285</v>
      </c>
      <c r="H68" s="186">
        <v>264</v>
      </c>
      <c r="I68" s="186">
        <v>246</v>
      </c>
      <c r="J68" s="186">
        <v>230</v>
      </c>
      <c r="K68" s="186">
        <v>215</v>
      </c>
    </row>
    <row r="69" spans="1:20" s="183" customFormat="1" ht="15" hidden="1" customHeight="1">
      <c r="A69" s="184"/>
      <c r="B69" s="229" t="s">
        <v>548</v>
      </c>
      <c r="C69" s="231">
        <f>VLOOKUP($A$26,Model!$B$130:$Z$167,MATCH(Valuation!C$67,Model!$B$4:$Z$4,0),FALSE)+VLOOKUP($A$27,Model!$B$130:$Z$167,MATCH(Valuation!C$67,Model!$B$4:$Z$4,0),FALSE)</f>
        <v>6551.3369212799998</v>
      </c>
      <c r="E69" s="2318"/>
      <c r="F69" s="1044">
        <f>F70-0.01</f>
        <v>1.9999999999999997E-2</v>
      </c>
      <c r="G69" s="186">
        <v>314</v>
      </c>
      <c r="H69" s="186">
        <v>288</v>
      </c>
      <c r="I69" s="186">
        <v>266</v>
      </c>
      <c r="J69" s="186">
        <v>247</v>
      </c>
      <c r="K69" s="186">
        <v>230</v>
      </c>
    </row>
    <row r="70" spans="1:20" s="183" customFormat="1" ht="15" hidden="1" customHeight="1">
      <c r="A70" s="184"/>
      <c r="B70" s="195" t="s">
        <v>141</v>
      </c>
      <c r="C70" s="208">
        <f>C69-C68</f>
        <v>-832.05252754930734</v>
      </c>
      <c r="E70" s="2318"/>
      <c r="F70" s="1045">
        <v>0.03</v>
      </c>
      <c r="G70" s="186">
        <v>353</v>
      </c>
      <c r="H70" s="186">
        <v>320</v>
      </c>
      <c r="I70" s="188">
        <v>292</v>
      </c>
      <c r="J70" s="186">
        <v>268</v>
      </c>
      <c r="K70" s="186">
        <v>248</v>
      </c>
    </row>
    <row r="71" spans="1:20" s="183" customFormat="1" ht="15" hidden="1" customHeight="1">
      <c r="A71" s="184"/>
      <c r="B71" s="67"/>
      <c r="C71" s="179"/>
      <c r="E71" s="2318"/>
      <c r="F71" s="1044">
        <f>F70+0.01</f>
        <v>0.04</v>
      </c>
      <c r="G71" s="186">
        <v>410</v>
      </c>
      <c r="H71" s="186">
        <v>365</v>
      </c>
      <c r="I71" s="186">
        <v>328</v>
      </c>
      <c r="J71" s="186">
        <v>298</v>
      </c>
      <c r="K71" s="186">
        <v>272</v>
      </c>
    </row>
    <row r="72" spans="1:20" s="183" customFormat="1" ht="15" hidden="1" customHeight="1">
      <c r="A72" s="184"/>
      <c r="B72" s="67"/>
      <c r="C72" s="67"/>
      <c r="D72" s="187"/>
      <c r="E72" s="2318"/>
      <c r="F72" s="1044">
        <f>F71+0.01</f>
        <v>0.05</v>
      </c>
      <c r="G72" s="186">
        <v>500</v>
      </c>
      <c r="H72" s="186">
        <v>433</v>
      </c>
      <c r="I72" s="186">
        <v>381</v>
      </c>
      <c r="J72" s="186">
        <v>339</v>
      </c>
      <c r="K72" s="186">
        <v>305</v>
      </c>
    </row>
    <row r="73" spans="1:20" s="183" customFormat="1" ht="15" hidden="1" customHeight="1">
      <c r="A73" s="184"/>
      <c r="B73" s="67"/>
      <c r="C73" s="67"/>
      <c r="F73" s="185"/>
    </row>
    <row r="74" spans="1:20" s="183" customFormat="1" ht="15" hidden="1" customHeight="1">
      <c r="A74" s="184"/>
      <c r="B74" s="67"/>
      <c r="C74" s="67"/>
    </row>
    <row r="75" spans="1:20" s="183" customFormat="1" ht="15" hidden="1" customHeight="1">
      <c r="A75" s="184"/>
      <c r="B75" s="174" t="s">
        <v>503</v>
      </c>
      <c r="C75" s="67"/>
    </row>
    <row r="76" spans="1:20" hidden="1"/>
    <row r="77" spans="1:20" hidden="1"/>
    <row r="78" spans="1:20" hidden="1">
      <c r="G78" s="182"/>
      <c r="H78" s="182"/>
      <c r="I78" s="182"/>
      <c r="J78" s="182"/>
      <c r="K78" s="182"/>
    </row>
    <row r="79" spans="1:20" hidden="1">
      <c r="A79" s="1007"/>
      <c r="B79" s="1010"/>
      <c r="C79" s="1010"/>
      <c r="D79" s="1008"/>
      <c r="E79" s="1010"/>
      <c r="F79" s="1010"/>
      <c r="G79" s="1010"/>
      <c r="H79" s="1011"/>
      <c r="I79" s="1009"/>
      <c r="J79" s="1008"/>
      <c r="K79" s="1008"/>
      <c r="L79" s="1010"/>
      <c r="M79" s="1010"/>
      <c r="N79" s="1010"/>
      <c r="O79" s="1010"/>
      <c r="P79" s="1010"/>
      <c r="Q79" s="1010"/>
      <c r="R79" s="1010"/>
      <c r="S79" s="1010"/>
      <c r="T79" s="1010"/>
    </row>
    <row r="80" spans="1:20" s="1372" customFormat="1" hidden="1">
      <c r="A80" s="1371"/>
      <c r="B80" s="1373"/>
      <c r="C80" s="1374"/>
      <c r="D80" s="1374"/>
      <c r="E80" s="1374"/>
      <c r="F80" s="1374"/>
      <c r="G80" s="1374"/>
      <c r="H80" s="1374"/>
      <c r="I80" s="1374"/>
    </row>
    <row r="81" spans="6:6" hidden="1">
      <c r="F81" s="181"/>
    </row>
    <row r="82" spans="6:6">
      <c r="F82" s="181"/>
    </row>
    <row r="83" spans="6:6">
      <c r="F83" s="181"/>
    </row>
  </sheetData>
  <mergeCells count="13">
    <mergeCell ref="E34:G34"/>
    <mergeCell ref="E28:G28"/>
    <mergeCell ref="E36:G36"/>
    <mergeCell ref="E68:E72"/>
    <mergeCell ref="G66:K66"/>
    <mergeCell ref="E22:M22"/>
    <mergeCell ref="E24:H24"/>
    <mergeCell ref="E32:G32"/>
    <mergeCell ref="E29:G29"/>
    <mergeCell ref="E33:G33"/>
    <mergeCell ref="E25:G25"/>
    <mergeCell ref="E26:G26"/>
    <mergeCell ref="E27:G27"/>
  </mergeCells>
  <dataValidations count="1">
    <dataValidation allowBlank="1" sqref="A1" xr:uid="{00000000-0002-0000-0400-000000000000}"/>
  </dataValidations>
  <hyperlinks>
    <hyperlink ref="A1" location="'Cover Sheet'!A1" display="Back to Cover Sheet" xr:uid="{00000000-0004-0000-0400-000000000000}"/>
  </hyperlinks>
  <printOptions horizontalCentered="1" verticalCentered="1"/>
  <pageMargins left="0.75" right="0.75" top="1" bottom="1" header="0.5" footer="0.5"/>
  <pageSetup scale="10" orientation="portrait" r:id="rId1"/>
  <headerFooter alignWithMargins="0"/>
  <customProperties>
    <customPr name="Qube.Worksheet.Visibility" r:id="rId2"/>
  </customPropertie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EB677-BF46-4B4C-93AF-E3A5E1139AAF}">
  <dimension ref="B2:X145"/>
  <sheetViews>
    <sheetView zoomScale="85" zoomScaleNormal="85" workbookViewId="0"/>
  </sheetViews>
  <sheetFormatPr defaultRowHeight="14.25" outlineLevelRow="1" outlineLevelCol="1"/>
  <cols>
    <col min="3" max="3" width="44.75" customWidth="1"/>
    <col min="4" max="8" width="8.625" hidden="1" customWidth="1" outlineLevel="1"/>
    <col min="9" max="9" width="8.75" customWidth="1" collapsed="1"/>
    <col min="10" max="10" width="11" customWidth="1"/>
    <col min="11" max="17" width="8.75" customWidth="1"/>
    <col min="19" max="19" width="11.5" style="1400" customWidth="1"/>
    <col min="20" max="20" width="11.5" customWidth="1"/>
  </cols>
  <sheetData>
    <row r="2" spans="3:24">
      <c r="C2" t="s">
        <v>1559</v>
      </c>
      <c r="I2" s="1705">
        <f>Segment!L201+Segment!L106</f>
        <v>2857.1510000000003</v>
      </c>
      <c r="J2" s="1705">
        <f>Segment!M201+Segment!M106</f>
        <v>4216.4880000000003</v>
      </c>
      <c r="K2" s="1705">
        <f>Segment!N201+Segment!N106</f>
        <v>6065.0582800000002</v>
      </c>
      <c r="L2" s="1705">
        <f>Segment!O201+Segment!O106</f>
        <v>7516.2598020000005</v>
      </c>
      <c r="M2" s="1705">
        <f>Segment!P201+Segment!P106</f>
        <v>8915.1530061600006</v>
      </c>
      <c r="N2" s="1705" t="e">
        <f>Segment!#REF!+Segment!#REF!</f>
        <v>#REF!</v>
      </c>
    </row>
    <row r="3" spans="3:24">
      <c r="C3" t="s">
        <v>1560</v>
      </c>
      <c r="I3" s="1399">
        <f>Segment!L12</f>
        <v>914.47520785999995</v>
      </c>
      <c r="J3" s="1399">
        <f>Segment!M12</f>
        <v>2518.1798534899999</v>
      </c>
      <c r="K3" s="1399">
        <f>Segment!N12</f>
        <v>5031.826983243719</v>
      </c>
      <c r="L3" s="1399">
        <f>Segment!O12</f>
        <v>6725.0367631052313</v>
      </c>
      <c r="M3" s="1399">
        <f>Segment!P12</f>
        <v>8490.3589134203539</v>
      </c>
      <c r="N3" s="1399" t="e">
        <f>Segment!#REF!</f>
        <v>#REF!</v>
      </c>
      <c r="O3" s="1399"/>
      <c r="P3" s="1399" t="e">
        <f>N3-I3</f>
        <v>#REF!</v>
      </c>
      <c r="R3" t="s">
        <v>1562</v>
      </c>
      <c r="S3" s="1400">
        <f>I8</f>
        <v>11262.79408329</v>
      </c>
      <c r="U3" t="s">
        <v>1562</v>
      </c>
      <c r="V3" s="1689">
        <f>S3</f>
        <v>11262.79408329</v>
      </c>
    </row>
    <row r="4" spans="3:24">
      <c r="C4" t="s">
        <v>1561</v>
      </c>
      <c r="I4" s="1399">
        <f>Segment!L74</f>
        <v>10336.009</v>
      </c>
      <c r="J4" s="1399">
        <f>Segment!M74</f>
        <v>13303.58428814</v>
      </c>
      <c r="K4" s="1399">
        <f>Segment!N74</f>
        <v>15936.363618762907</v>
      </c>
      <c r="L4" s="1399">
        <f>Segment!O74</f>
        <v>18645.5454339526</v>
      </c>
      <c r="M4" s="1399">
        <f>Segment!P74</f>
        <v>21255.921794705966</v>
      </c>
      <c r="N4" s="1399" t="e">
        <f>Segment!#REF!</f>
        <v>#REF!</v>
      </c>
      <c r="O4" s="1399"/>
      <c r="P4" s="1399" t="e">
        <f>N4-I4</f>
        <v>#REF!</v>
      </c>
      <c r="R4" t="s">
        <v>1552</v>
      </c>
      <c r="S4" s="1400" t="e">
        <f>O15</f>
        <v>#REF!</v>
      </c>
      <c r="U4" t="s">
        <v>1552</v>
      </c>
      <c r="V4" s="1689">
        <f>V3</f>
        <v>11262.79408329</v>
      </c>
      <c r="W4" s="1689" t="e">
        <f>S4</f>
        <v>#REF!</v>
      </c>
      <c r="X4" s="1823" t="e">
        <f>W4/$V$3</f>
        <v>#REF!</v>
      </c>
    </row>
    <row r="5" spans="3:24">
      <c r="C5" t="s">
        <v>1556</v>
      </c>
      <c r="I5" s="1399"/>
      <c r="J5" s="1399"/>
      <c r="K5" s="1399"/>
      <c r="L5" s="1399"/>
      <c r="M5" s="1399"/>
      <c r="N5" s="1399"/>
      <c r="O5" s="1399"/>
      <c r="P5" s="1399" t="e">
        <f>P4+P3</f>
        <v>#REF!</v>
      </c>
      <c r="R5" t="s">
        <v>1553</v>
      </c>
      <c r="S5" s="1400" t="e">
        <f>P4-S4</f>
        <v>#REF!</v>
      </c>
      <c r="U5" t="s">
        <v>1553</v>
      </c>
      <c r="V5" s="1689" t="e">
        <f>V4+W4</f>
        <v>#REF!</v>
      </c>
      <c r="W5" s="1689" t="e">
        <f>S5</f>
        <v>#REF!</v>
      </c>
      <c r="X5" s="1823" t="e">
        <f>W5/$V$3</f>
        <v>#REF!</v>
      </c>
    </row>
    <row r="6" spans="3:24">
      <c r="R6" t="s">
        <v>1554</v>
      </c>
      <c r="S6" s="1400" t="e">
        <f>O17</f>
        <v>#REF!</v>
      </c>
      <c r="U6" t="s">
        <v>1554</v>
      </c>
      <c r="V6" s="1689" t="e">
        <f>V5+W5</f>
        <v>#REF!</v>
      </c>
      <c r="W6" s="1689" t="e">
        <f>S6</f>
        <v>#REF!</v>
      </c>
      <c r="X6" s="1823" t="e">
        <f>W6/$V$3</f>
        <v>#REF!</v>
      </c>
    </row>
    <row r="7" spans="3:24">
      <c r="D7">
        <v>2018</v>
      </c>
      <c r="E7">
        <v>2019</v>
      </c>
      <c r="F7">
        <v>2020</v>
      </c>
      <c r="G7">
        <v>2021</v>
      </c>
      <c r="H7">
        <v>2022</v>
      </c>
      <c r="I7">
        <v>2023</v>
      </c>
      <c r="J7" t="s">
        <v>1070</v>
      </c>
      <c r="K7" t="s">
        <v>1071</v>
      </c>
      <c r="L7" t="s">
        <v>1096</v>
      </c>
      <c r="M7" t="s">
        <v>1401</v>
      </c>
      <c r="N7" t="s">
        <v>1551</v>
      </c>
      <c r="R7" t="s">
        <v>1555</v>
      </c>
      <c r="S7" s="1400" t="e">
        <f>P3-S6</f>
        <v>#REF!</v>
      </c>
      <c r="U7" t="s">
        <v>1555</v>
      </c>
      <c r="V7" s="1689" t="e">
        <f>V6+W6</f>
        <v>#REF!</v>
      </c>
      <c r="W7" s="1689" t="e">
        <f>S7</f>
        <v>#REF!</v>
      </c>
      <c r="X7" s="1823" t="e">
        <f>W7/$V$3</f>
        <v>#REF!</v>
      </c>
    </row>
    <row r="8" spans="3:24">
      <c r="C8" t="s">
        <v>507</v>
      </c>
      <c r="I8" s="1399">
        <f>Segment!L9</f>
        <v>11262.79408329</v>
      </c>
      <c r="J8" s="1399">
        <f>Segment!M9</f>
        <v>15838.851828270001</v>
      </c>
      <c r="K8" s="1399">
        <f>Segment!N9</f>
        <v>20991.91050367153</v>
      </c>
      <c r="L8" s="1399">
        <f>Segment!O9</f>
        <v>25403.508464190782</v>
      </c>
      <c r="M8" s="1399">
        <f>Segment!P9</f>
        <v>29791.986591844819</v>
      </c>
      <c r="N8" s="1399" t="e">
        <f>Segment!#REF!</f>
        <v>#REF!</v>
      </c>
      <c r="O8" s="1399"/>
      <c r="P8" s="1399" t="e">
        <f>N8-I8</f>
        <v>#REF!</v>
      </c>
      <c r="R8" t="s">
        <v>1563</v>
      </c>
      <c r="S8" s="1400" t="e">
        <f>N8</f>
        <v>#REF!</v>
      </c>
      <c r="U8" t="s">
        <v>1563</v>
      </c>
      <c r="V8" s="1689" t="e">
        <f>V7+W7</f>
        <v>#REF!</v>
      </c>
      <c r="X8" s="1823" t="e">
        <f>V8/V3-1</f>
        <v>#REF!</v>
      </c>
    </row>
    <row r="9" spans="3:24">
      <c r="C9" t="s">
        <v>1552</v>
      </c>
      <c r="I9" s="1399">
        <f>Segment!L267</f>
        <v>3.4</v>
      </c>
      <c r="J9" s="1399">
        <f>Segment!M267</f>
        <v>4</v>
      </c>
      <c r="K9" s="1399">
        <f>Segment!N267</f>
        <v>4.3</v>
      </c>
      <c r="L9" s="1399">
        <f>Segment!O267</f>
        <v>4.5999999999999996</v>
      </c>
      <c r="M9" s="1399">
        <f>Segment!P267</f>
        <v>4.6999999999999993</v>
      </c>
      <c r="N9" s="1399" t="e">
        <f>Segment!#REF!</f>
        <v>#REF!</v>
      </c>
      <c r="O9" s="1399" t="e">
        <f>N9/I9</f>
        <v>#REF!</v>
      </c>
      <c r="P9" s="1399"/>
    </row>
    <row r="10" spans="3:24">
      <c r="C10" t="s">
        <v>1553</v>
      </c>
      <c r="I10" s="1399">
        <f>Segment!L310</f>
        <v>3040.0026470588236</v>
      </c>
      <c r="J10" s="1399">
        <f>Segment!M310</f>
        <v>3325.8960720350001</v>
      </c>
      <c r="K10" s="1399">
        <f>Segment!N310</f>
        <v>3706.1310741309089</v>
      </c>
      <c r="L10" s="1399">
        <f>Segment!O310</f>
        <v>4053.3794421636089</v>
      </c>
      <c r="M10" s="1399">
        <f>Segment!P310</f>
        <v>4522.5365520650994</v>
      </c>
      <c r="N10" s="1399" t="e">
        <f>Segment!#REF!</f>
        <v>#REF!</v>
      </c>
      <c r="O10" s="1399" t="e">
        <f>N10/I10</f>
        <v>#REF!</v>
      </c>
      <c r="P10" s="1399"/>
    </row>
    <row r="11" spans="3:24">
      <c r="C11" t="s">
        <v>1554</v>
      </c>
      <c r="I11" s="1399">
        <f>Segment!L351</f>
        <v>1.21</v>
      </c>
      <c r="J11" s="1399">
        <f>Segment!M351</f>
        <v>2.8</v>
      </c>
      <c r="K11" s="1399">
        <f>Segment!N351</f>
        <v>3.44</v>
      </c>
      <c r="L11" s="1399">
        <f>Segment!O351</f>
        <v>3.8180000000000001</v>
      </c>
      <c r="M11" s="1399">
        <f>Segment!P351</f>
        <v>4.0419999999999998</v>
      </c>
      <c r="N11" s="1399" t="e">
        <f>Segment!#REF!</f>
        <v>#REF!</v>
      </c>
      <c r="O11" s="1399" t="e">
        <f>N11/I11</f>
        <v>#REF!</v>
      </c>
      <c r="P11" s="1399"/>
    </row>
    <row r="12" spans="3:24">
      <c r="C12" t="s">
        <v>1555</v>
      </c>
      <c r="I12" s="1399">
        <f t="shared" ref="I12:N12" si="0">I3/I11</f>
        <v>755.76463459504134</v>
      </c>
      <c r="J12" s="1399">
        <f t="shared" si="0"/>
        <v>899.34994767500007</v>
      </c>
      <c r="K12" s="1399">
        <f t="shared" si="0"/>
        <v>1462.7404021057323</v>
      </c>
      <c r="L12" s="1399">
        <f t="shared" si="0"/>
        <v>1761.4030285765405</v>
      </c>
      <c r="M12" s="1399">
        <f t="shared" si="0"/>
        <v>2100.5341200941007</v>
      </c>
      <c r="N12" s="1399" t="e">
        <f t="shared" si="0"/>
        <v>#REF!</v>
      </c>
      <c r="O12" s="1399" t="e">
        <f>N12/I12</f>
        <v>#REF!</v>
      </c>
      <c r="P12" s="1399"/>
    </row>
    <row r="13" spans="3:24">
      <c r="I13" s="1399"/>
      <c r="J13" s="1399"/>
      <c r="K13" s="1399"/>
      <c r="L13" s="1399"/>
      <c r="M13" s="1399"/>
      <c r="N13" s="1399"/>
      <c r="O13" s="1399"/>
      <c r="P13" s="1399"/>
    </row>
    <row r="14" spans="3:24">
      <c r="I14" s="1399"/>
      <c r="J14" s="1399"/>
      <c r="K14" s="1399"/>
      <c r="L14" s="1399"/>
      <c r="M14" s="1399"/>
      <c r="N14" s="1399"/>
      <c r="O14" s="1690" t="e">
        <f>I10*N9</f>
        <v>#REF!</v>
      </c>
      <c r="P14" s="1399"/>
    </row>
    <row r="15" spans="3:24">
      <c r="I15" s="1399"/>
      <c r="J15" s="1399"/>
      <c r="K15" s="1399"/>
      <c r="L15" s="1399"/>
      <c r="M15" s="1399"/>
      <c r="N15" s="1399"/>
      <c r="O15" s="1690" t="e">
        <f>O14-I4</f>
        <v>#REF!</v>
      </c>
      <c r="P15" s="1399"/>
    </row>
    <row r="16" spans="3:24">
      <c r="I16" s="1399"/>
      <c r="J16" s="1399"/>
      <c r="K16" s="1399"/>
      <c r="L16" s="1399"/>
      <c r="M16" s="1399"/>
      <c r="N16" s="1399"/>
      <c r="O16" s="1690" t="e">
        <f>I12*(N11)</f>
        <v>#REF!</v>
      </c>
      <c r="P16" s="1399"/>
    </row>
    <row r="17" spans="2:19">
      <c r="I17" s="1399"/>
      <c r="J17" s="1399"/>
      <c r="K17" s="1399"/>
      <c r="L17" s="1399"/>
      <c r="M17" s="1399"/>
      <c r="N17" s="1399"/>
      <c r="O17" s="1690" t="e">
        <f>O16-I3</f>
        <v>#REF!</v>
      </c>
      <c r="P17" s="1399"/>
    </row>
    <row r="20" spans="2:19">
      <c r="I20" s="1689"/>
    </row>
    <row r="21" spans="2:19">
      <c r="C21" t="s">
        <v>1557</v>
      </c>
      <c r="I21" s="1704">
        <v>2023</v>
      </c>
      <c r="J21" s="1704" t="s">
        <v>1070</v>
      </c>
      <c r="K21" s="1704" t="s">
        <v>1071</v>
      </c>
      <c r="L21" s="1704" t="s">
        <v>1096</v>
      </c>
      <c r="M21" s="1704" t="s">
        <v>1401</v>
      </c>
      <c r="N21" s="1704" t="s">
        <v>1551</v>
      </c>
      <c r="O21" s="1689" t="e">
        <f>SUM(O23:O30)</f>
        <v>#REF!</v>
      </c>
      <c r="R21" s="1689"/>
    </row>
    <row r="22" spans="2:19">
      <c r="B22" t="s">
        <v>1558</v>
      </c>
      <c r="C22" t="s">
        <v>35</v>
      </c>
      <c r="I22" s="1400">
        <f>Segment!L51/I2*1000</f>
        <v>832.70118037513589</v>
      </c>
      <c r="J22" s="1400">
        <f>Segment!M51/J2*1000</f>
        <v>901.24384799387565</v>
      </c>
      <c r="K22" s="1400">
        <f>Segment!N51/K2*1000</f>
        <v>896.22222318644492</v>
      </c>
      <c r="L22" s="1400">
        <f>Segment!O51/L2*1000</f>
        <v>900.31702816067991</v>
      </c>
      <c r="M22" s="1400">
        <f>Segment!P51/M2*1000</f>
        <v>912.96577712537737</v>
      </c>
      <c r="N22" s="1400" t="e">
        <f>Segment!#REF!/N2*1000</f>
        <v>#REF!</v>
      </c>
      <c r="Q22" s="1704" t="s">
        <v>1584</v>
      </c>
      <c r="R22" s="1689">
        <f>I22</f>
        <v>832.70118037513589</v>
      </c>
    </row>
    <row r="23" spans="2:19">
      <c r="C23" s="1703" t="s">
        <v>1575</v>
      </c>
      <c r="I23" s="1400">
        <f t="shared" ref="I23:N23" si="1">I8/I2*1000</f>
        <v>3941.9666945464201</v>
      </c>
      <c r="J23" s="1400">
        <f t="shared" si="1"/>
        <v>3756.4086102628535</v>
      </c>
      <c r="K23" s="1400">
        <f t="shared" si="1"/>
        <v>3461.122636346955</v>
      </c>
      <c r="L23" s="1400">
        <f t="shared" si="1"/>
        <v>3379.8071292627706</v>
      </c>
      <c r="M23" s="1400">
        <f t="shared" si="1"/>
        <v>3341.7246536609964</v>
      </c>
      <c r="N23" s="1400" t="e">
        <f t="shared" si="1"/>
        <v>#REF!</v>
      </c>
      <c r="O23" s="1689" t="e">
        <f>N23-I23</f>
        <v>#REF!</v>
      </c>
      <c r="Q23" s="1703" t="s">
        <v>1575</v>
      </c>
      <c r="R23" s="1689" t="e">
        <f>R22-S23</f>
        <v>#REF!</v>
      </c>
      <c r="S23" s="1400" t="e">
        <f>-O23</f>
        <v>#REF!</v>
      </c>
    </row>
    <row r="24" spans="2:19">
      <c r="C24" s="1703" t="s">
        <v>1579</v>
      </c>
      <c r="I24" s="1400">
        <f>Segment!L666/I2*1000</f>
        <v>1840.6755145247832</v>
      </c>
      <c r="J24" s="1400">
        <f>Segment!M666/J2*1000</f>
        <v>1660.4676925441265</v>
      </c>
      <c r="K24" s="1400">
        <f>Segment!N666/K2*1000</f>
        <v>1610.6536617678032</v>
      </c>
      <c r="L24" s="1400">
        <f>Segment!O666/L2*1000</f>
        <v>1594.5471251501249</v>
      </c>
      <c r="M24" s="1400">
        <f>Segment!P666/M2*1000</f>
        <v>1578.6016538986237</v>
      </c>
      <c r="N24" s="1400" t="e">
        <f>Segment!#REF!/N2*1000</f>
        <v>#REF!</v>
      </c>
      <c r="O24" s="1689" t="e">
        <f t="shared" ref="O24:O30" si="2">(N24-I24)*-1</f>
        <v>#REF!</v>
      </c>
      <c r="Q24" s="1703" t="s">
        <v>1579</v>
      </c>
      <c r="R24" s="1689" t="e">
        <f>R23</f>
        <v>#REF!</v>
      </c>
      <c r="S24" s="1400" t="e">
        <f t="shared" ref="S24:S30" si="3">O24</f>
        <v>#REF!</v>
      </c>
    </row>
    <row r="25" spans="2:19">
      <c r="C25" s="1703" t="s">
        <v>1580</v>
      </c>
      <c r="I25" s="1400">
        <f>Segment!L23/I2*1000-I24</f>
        <v>403.39690590731857</v>
      </c>
      <c r="J25" s="1400">
        <f>Segment!M23/J2*1000-J24</f>
        <v>412.7176224976804</v>
      </c>
      <c r="K25" s="1400">
        <f>Segment!N23/K2*1000-K24</f>
        <v>296.0714721931713</v>
      </c>
      <c r="L25" s="1400">
        <f>Segment!O23/L2*1000-L24</f>
        <v>234.46080386897415</v>
      </c>
      <c r="M25" s="1400">
        <f>Segment!P23/M2*1000-M24</f>
        <v>218.64520708391842</v>
      </c>
      <c r="N25" s="1400" t="e">
        <f>Segment!#REF!/N2*1000-N24</f>
        <v>#REF!</v>
      </c>
      <c r="O25" s="1689" t="e">
        <f t="shared" si="2"/>
        <v>#REF!</v>
      </c>
      <c r="Q25" s="1703" t="s">
        <v>1586</v>
      </c>
      <c r="R25" s="1689" t="e">
        <f t="shared" ref="R25:R30" si="4">R24+S24</f>
        <v>#REF!</v>
      </c>
      <c r="S25" s="1400" t="e">
        <f t="shared" si="3"/>
        <v>#REF!</v>
      </c>
    </row>
    <row r="26" spans="2:19">
      <c r="C26" s="1703" t="s">
        <v>1576</v>
      </c>
      <c r="I26" s="1400">
        <f>Segment!L566/I2*1000</f>
        <v>302.28174629202306</v>
      </c>
      <c r="J26" s="1400">
        <f>Segment!M566/J2*1000</f>
        <v>315.85735572353099</v>
      </c>
      <c r="K26" s="1400">
        <f>Segment!N566/K2*1000</f>
        <v>274.76097883268926</v>
      </c>
      <c r="L26" s="1400">
        <f>Segment!O566/L2*1000</f>
        <v>256.13844731487006</v>
      </c>
      <c r="M26" s="1400">
        <f>Segment!P566/M2*1000</f>
        <v>248.23978257979604</v>
      </c>
      <c r="N26" s="1400" t="e">
        <f>Segment!#REF!/N2*1000</f>
        <v>#REF!</v>
      </c>
      <c r="O26" s="1689" t="e">
        <f t="shared" si="2"/>
        <v>#REF!</v>
      </c>
      <c r="Q26" s="1703" t="s">
        <v>1576</v>
      </c>
      <c r="R26" s="1689" t="e">
        <f t="shared" si="4"/>
        <v>#REF!</v>
      </c>
      <c r="S26" s="1400" t="e">
        <f t="shared" si="3"/>
        <v>#REF!</v>
      </c>
    </row>
    <row r="27" spans="2:19">
      <c r="C27" s="1703" t="s">
        <v>1578</v>
      </c>
      <c r="I27" s="1400">
        <f>Segment!L612/I2*1000</f>
        <v>312.91200376528923</v>
      </c>
      <c r="J27" s="1400">
        <f>Segment!M612/J2*1000</f>
        <v>264.55867254454415</v>
      </c>
      <c r="K27" s="1400">
        <f>Segment!N612/K2*1000</f>
        <v>238.57040510153394</v>
      </c>
      <c r="L27" s="1400">
        <f>Segment!O612/L2*1000</f>
        <v>231.61351660591114</v>
      </c>
      <c r="M27" s="1400">
        <f>Segment!P612/M2*1000</f>
        <v>225.66205247368123</v>
      </c>
      <c r="N27" s="1400" t="e">
        <f>Segment!#REF!/N2*1000</f>
        <v>#REF!</v>
      </c>
      <c r="O27" s="1689" t="e">
        <f t="shared" si="2"/>
        <v>#REF!</v>
      </c>
      <c r="Q27" s="1703" t="s">
        <v>1578</v>
      </c>
      <c r="R27" s="1689" t="e">
        <f t="shared" si="4"/>
        <v>#REF!</v>
      </c>
      <c r="S27" s="1400" t="e">
        <f t="shared" si="3"/>
        <v>#REF!</v>
      </c>
    </row>
    <row r="28" spans="2:19">
      <c r="C28" s="1703" t="s">
        <v>1581</v>
      </c>
      <c r="I28" s="1400">
        <f>(Segment!L564-Segment!L565-Segment!L566)/I2*1000</f>
        <v>69.289280440550698</v>
      </c>
      <c r="J28" s="1400">
        <f>(Segment!M564-Segment!M565-Segment!M566)/J2*1000</f>
        <v>55.440112513067788</v>
      </c>
      <c r="K28" s="1400">
        <f>(Segment!N564-Segment!N565-Segment!N566)/K2*1000</f>
        <v>42.429237001609138</v>
      </c>
      <c r="L28" s="1400">
        <f>(Segment!O564-Segment!O565-Segment!O566)/L2*1000</f>
        <v>40.756444407236572</v>
      </c>
      <c r="M28" s="1400">
        <f>(Segment!P564-Segment!P565-Segment!P566)/M2*1000</f>
        <v>40.297215155272731</v>
      </c>
      <c r="N28" s="1400" t="e">
        <f>(Segment!#REF!-Segment!#REF!-Segment!#REF!)/N2*1000</f>
        <v>#REF!</v>
      </c>
      <c r="O28" s="1689" t="e">
        <f t="shared" si="2"/>
        <v>#REF!</v>
      </c>
      <c r="Q28" s="1703" t="s">
        <v>1581</v>
      </c>
      <c r="R28" s="1689" t="e">
        <f t="shared" si="4"/>
        <v>#REF!</v>
      </c>
      <c r="S28" s="1400" t="e">
        <f t="shared" si="3"/>
        <v>#REF!</v>
      </c>
    </row>
    <row r="29" spans="2:19">
      <c r="C29" s="1703" t="s">
        <v>1582</v>
      </c>
      <c r="I29" s="1400">
        <f>Segment!L49/I2*1000</f>
        <v>148.04436640555573</v>
      </c>
      <c r="J29" s="1400">
        <f>Segment!M49/J2*1000</f>
        <v>115.81322554931971</v>
      </c>
      <c r="K29" s="1400">
        <f>Segment!N49/K2*1000</f>
        <v>100.47929076077423</v>
      </c>
      <c r="L29" s="1400">
        <f>Segment!O49/L2*1000</f>
        <v>94.400845600676547</v>
      </c>
      <c r="M29" s="1400">
        <f>Segment!P49/M2*1000</f>
        <v>89.661273022701366</v>
      </c>
      <c r="N29" s="1400" t="e">
        <f>Segment!#REF!/N2*1000</f>
        <v>#REF!</v>
      </c>
      <c r="O29" s="1689" t="e">
        <f t="shared" si="2"/>
        <v>#REF!</v>
      </c>
      <c r="Q29" s="1703" t="s">
        <v>1582</v>
      </c>
      <c r="R29" s="1689" t="e">
        <f t="shared" si="4"/>
        <v>#REF!</v>
      </c>
      <c r="S29" s="1400" t="e">
        <f t="shared" si="3"/>
        <v>#REF!</v>
      </c>
    </row>
    <row r="30" spans="2:19">
      <c r="C30" s="1703" t="s">
        <v>1583</v>
      </c>
      <c r="I30" s="1400">
        <f>Segment!L45/I2*1000</f>
        <v>42.353673887029416</v>
      </c>
      <c r="J30" s="1400">
        <f>Segment!M45/J2*1000</f>
        <v>37.897118874760224</v>
      </c>
      <c r="K30" s="1400">
        <f>Segment!N45/K2*1000</f>
        <v>34.918079899882272</v>
      </c>
      <c r="L30" s="1400">
        <f>Segment!O45/L2*1000</f>
        <v>34.09771562164282</v>
      </c>
      <c r="M30" s="1400">
        <f>Segment!P45/M2*1000</f>
        <v>33.713514578928084</v>
      </c>
      <c r="N30" s="1400" t="e">
        <f>Segment!#REF!/N2*1000</f>
        <v>#REF!</v>
      </c>
      <c r="O30" s="1689" t="e">
        <f t="shared" si="2"/>
        <v>#REF!</v>
      </c>
      <c r="Q30" s="1703" t="s">
        <v>1583</v>
      </c>
      <c r="R30" s="1689" t="e">
        <f t="shared" si="4"/>
        <v>#REF!</v>
      </c>
      <c r="S30" s="1400" t="e">
        <f t="shared" si="3"/>
        <v>#REF!</v>
      </c>
    </row>
    <row r="31" spans="2:19">
      <c r="C31" s="1703"/>
      <c r="I31" s="1400">
        <f t="shared" ref="I31:N31" si="5">I23-SUM(I24:I30)</f>
        <v>823.01320332387058</v>
      </c>
      <c r="J31" s="1400">
        <f t="shared" si="5"/>
        <v>893.65681001582425</v>
      </c>
      <c r="K31" s="1400">
        <f t="shared" si="5"/>
        <v>863.23951078949131</v>
      </c>
      <c r="L31" s="1400">
        <f t="shared" si="5"/>
        <v>893.79223069333511</v>
      </c>
      <c r="M31" s="1400">
        <f t="shared" si="5"/>
        <v>906.90395486807529</v>
      </c>
      <c r="N31" s="1400" t="e">
        <f t="shared" si="5"/>
        <v>#REF!</v>
      </c>
      <c r="O31" s="1689"/>
      <c r="Q31" s="1704" t="s">
        <v>1585</v>
      </c>
      <c r="R31" s="1689" t="e">
        <f>N22</f>
        <v>#REF!</v>
      </c>
    </row>
    <row r="33" spans="2:19">
      <c r="B33" s="1703" t="s">
        <v>1577</v>
      </c>
      <c r="C33" s="1703"/>
    </row>
    <row r="34" spans="2:19">
      <c r="B34" s="1703"/>
      <c r="C34" s="1703" t="s">
        <v>1579</v>
      </c>
      <c r="I34" s="1706">
        <f t="shared" ref="I34:N35" si="6">I24*I$2/I$8/1000</f>
        <v>0.46694344654694736</v>
      </c>
      <c r="J34" s="1706">
        <f t="shared" si="6"/>
        <v>0.44203596169159448</v>
      </c>
      <c r="K34" s="1706">
        <f t="shared" si="6"/>
        <v>0.46535584866411117</v>
      </c>
      <c r="L34" s="1706">
        <f t="shared" si="6"/>
        <v>0.47178642572362994</v>
      </c>
      <c r="M34" s="1706">
        <f t="shared" si="6"/>
        <v>0.47239130015370978</v>
      </c>
      <c r="N34" s="1706" t="e">
        <f t="shared" si="6"/>
        <v>#REF!</v>
      </c>
      <c r="O34" s="1401" t="e">
        <f>N34-J34</f>
        <v>#REF!</v>
      </c>
      <c r="Q34" s="1704" t="s">
        <v>1800</v>
      </c>
      <c r="R34" s="1401">
        <f>J42</f>
        <v>0.23992167559503369</v>
      </c>
      <c r="S34" s="1401"/>
    </row>
    <row r="35" spans="2:19">
      <c r="B35" s="1703"/>
      <c r="C35" s="1703" t="s">
        <v>1580</v>
      </c>
      <c r="I35" s="1706">
        <f t="shared" si="6"/>
        <v>0.10233392039192131</v>
      </c>
      <c r="J35" s="1706">
        <f t="shared" si="6"/>
        <v>0.10987026847135264</v>
      </c>
      <c r="K35" s="1706">
        <f t="shared" si="6"/>
        <v>8.5542034565310912E-2</v>
      </c>
      <c r="L35" s="1706">
        <f t="shared" si="6"/>
        <v>6.9371060211982138E-2</v>
      </c>
      <c r="M35" s="1706">
        <f t="shared" si="6"/>
        <v>6.5428851788965806E-2</v>
      </c>
      <c r="N35" s="1706" t="e">
        <f t="shared" si="6"/>
        <v>#REF!</v>
      </c>
      <c r="O35" s="1401" t="e">
        <f>N35-J35</f>
        <v>#REF!</v>
      </c>
      <c r="Q35" s="1703" t="s">
        <v>1579</v>
      </c>
      <c r="R35" s="1401" t="e">
        <f>R34-S35</f>
        <v>#REF!</v>
      </c>
      <c r="S35" s="1401" t="e">
        <f>O34</f>
        <v>#REF!</v>
      </c>
    </row>
    <row r="36" spans="2:19">
      <c r="B36" s="1703" t="s">
        <v>1254</v>
      </c>
      <c r="C36" s="1703"/>
      <c r="I36" s="1401"/>
      <c r="J36" s="1401"/>
      <c r="K36" s="1401"/>
      <c r="L36" s="1401"/>
      <c r="M36" s="1401"/>
      <c r="N36" s="1401"/>
      <c r="O36" s="1401"/>
      <c r="Q36" s="1703" t="s">
        <v>1586</v>
      </c>
      <c r="R36" s="1401" t="e">
        <f>R35</f>
        <v>#REF!</v>
      </c>
      <c r="S36" s="1401" t="e">
        <f>-O35</f>
        <v>#REF!</v>
      </c>
    </row>
    <row r="37" spans="2:19">
      <c r="B37" s="1703" t="s">
        <v>47</v>
      </c>
      <c r="C37" s="1703" t="s">
        <v>1576</v>
      </c>
      <c r="I37" s="1706">
        <f t="shared" ref="I37:N37" si="7">I26*I$2/I$8/1000</f>
        <v>7.6682978247944053E-2</v>
      </c>
      <c r="J37" s="1706">
        <f t="shared" si="7"/>
        <v>8.4084930180539905E-2</v>
      </c>
      <c r="K37" s="1706">
        <f t="shared" si="7"/>
        <v>7.9384930180539909E-2</v>
      </c>
      <c r="L37" s="1706">
        <f t="shared" si="7"/>
        <v>7.5784930180539903E-2</v>
      </c>
      <c r="M37" s="1706">
        <f t="shared" si="7"/>
        <v>7.4284930180539915E-2</v>
      </c>
      <c r="N37" s="1706" t="e">
        <f t="shared" si="7"/>
        <v>#REF!</v>
      </c>
      <c r="O37" s="1401" t="e">
        <f t="shared" ref="O37:O42" si="8">N37-J37</f>
        <v>#REF!</v>
      </c>
      <c r="Q37" s="1703" t="s">
        <v>1576</v>
      </c>
      <c r="R37" s="1401" t="e">
        <f>R36+S36</f>
        <v>#REF!</v>
      </c>
      <c r="S37" s="1401" t="e">
        <f>-O37</f>
        <v>#REF!</v>
      </c>
    </row>
    <row r="38" spans="2:19">
      <c r="B38" s="1703"/>
      <c r="C38" s="1703" t="s">
        <v>1578</v>
      </c>
      <c r="I38" s="1706">
        <f t="shared" ref="I38:N41" si="9">I27*I$2/I$8/1000</f>
        <v>7.9379667057611764E-2</v>
      </c>
      <c r="J38" s="1706">
        <f t="shared" si="9"/>
        <v>7.04286194589549E-2</v>
      </c>
      <c r="K38" s="1706">
        <f t="shared" si="9"/>
        <v>6.8928619458954885E-2</v>
      </c>
      <c r="L38" s="1706">
        <f t="shared" si="9"/>
        <v>6.8528619458954873E-2</v>
      </c>
      <c r="M38" s="1706">
        <f t="shared" si="9"/>
        <v>6.7528619458954872E-2</v>
      </c>
      <c r="N38" s="1706" t="e">
        <f t="shared" si="9"/>
        <v>#REF!</v>
      </c>
      <c r="O38" s="1401" t="e">
        <f t="shared" si="8"/>
        <v>#REF!</v>
      </c>
      <c r="Q38" s="1703" t="s">
        <v>1578</v>
      </c>
      <c r="R38" s="1401" t="e">
        <f>R37+S37</f>
        <v>#REF!</v>
      </c>
      <c r="S38" s="1401" t="e">
        <f>-O38</f>
        <v>#REF!</v>
      </c>
    </row>
    <row r="39" spans="2:19">
      <c r="B39" s="1703"/>
      <c r="C39" s="1703" t="s">
        <v>1581</v>
      </c>
      <c r="I39" s="1706">
        <f t="shared" si="9"/>
        <v>1.7577337864475139E-2</v>
      </c>
      <c r="J39" s="1706">
        <f t="shared" si="9"/>
        <v>1.4758807750999267E-2</v>
      </c>
      <c r="K39" s="1706">
        <f t="shared" si="9"/>
        <v>1.2258807750999287E-2</v>
      </c>
      <c r="L39" s="1706">
        <f t="shared" si="9"/>
        <v>1.2058807750999295E-2</v>
      </c>
      <c r="M39" s="1706">
        <f t="shared" si="9"/>
        <v>1.2058807750999318E-2</v>
      </c>
      <c r="N39" s="1706" t="e">
        <f t="shared" si="9"/>
        <v>#REF!</v>
      </c>
      <c r="O39" s="1401" t="e">
        <f t="shared" si="8"/>
        <v>#REF!</v>
      </c>
      <c r="Q39" s="1703" t="s">
        <v>1581</v>
      </c>
      <c r="R39" s="1401" t="e">
        <f>R38+S38</f>
        <v>#REF!</v>
      </c>
      <c r="S39" s="1401" t="e">
        <f>-O39</f>
        <v>#REF!</v>
      </c>
    </row>
    <row r="40" spans="2:19">
      <c r="B40" s="1703"/>
      <c r="C40" s="1703" t="s">
        <v>1582</v>
      </c>
      <c r="I40" s="1706">
        <f t="shared" si="9"/>
        <v>3.7555965810256636E-2</v>
      </c>
      <c r="J40" s="1706">
        <f t="shared" si="9"/>
        <v>3.0830838059764672E-2</v>
      </c>
      <c r="K40" s="1706">
        <f t="shared" si="9"/>
        <v>2.9030838059764676E-2</v>
      </c>
      <c r="L40" s="1706">
        <f t="shared" si="9"/>
        <v>2.7930838059764665E-2</v>
      </c>
      <c r="M40" s="1706">
        <f t="shared" si="9"/>
        <v>2.6830838059764668E-2</v>
      </c>
      <c r="N40" s="1706" t="e">
        <f t="shared" si="9"/>
        <v>#REF!</v>
      </c>
      <c r="O40" s="1401" t="e">
        <f t="shared" si="8"/>
        <v>#REF!</v>
      </c>
      <c r="Q40" s="1703" t="s">
        <v>1582</v>
      </c>
      <c r="R40" s="1401" t="e">
        <f>R39+S39</f>
        <v>#REF!</v>
      </c>
      <c r="S40" s="1401" t="e">
        <f>-O40</f>
        <v>#REF!</v>
      </c>
    </row>
    <row r="41" spans="2:19" outlineLevel="1">
      <c r="B41" s="1703"/>
      <c r="C41" s="1703" t="s">
        <v>1583</v>
      </c>
      <c r="I41" s="1706">
        <f t="shared" si="9"/>
        <v>1.0744300286865517E-2</v>
      </c>
      <c r="J41" s="1706">
        <f t="shared" si="9"/>
        <v>1.0088657227337252E-2</v>
      </c>
      <c r="K41" s="1706">
        <f t="shared" si="9"/>
        <v>1.0088657227337251E-2</v>
      </c>
      <c r="L41" s="1706">
        <f t="shared" si="9"/>
        <v>1.0088657227337252E-2</v>
      </c>
      <c r="M41" s="1706">
        <f t="shared" si="9"/>
        <v>1.0088657227337251E-2</v>
      </c>
      <c r="N41" s="1706" t="e">
        <f t="shared" si="9"/>
        <v>#REF!</v>
      </c>
      <c r="O41" s="1401" t="e">
        <f t="shared" si="8"/>
        <v>#REF!</v>
      </c>
      <c r="Q41" s="1703" t="s">
        <v>1583</v>
      </c>
      <c r="R41" s="1401" t="e">
        <f>R40+S40</f>
        <v>#REF!</v>
      </c>
      <c r="S41" s="1401" t="e">
        <f>-O41</f>
        <v>#REF!</v>
      </c>
    </row>
    <row r="42" spans="2:19">
      <c r="B42" s="1703"/>
      <c r="C42" s="1703" t="s">
        <v>35</v>
      </c>
      <c r="I42" s="1706">
        <f t="shared" ref="I42:N42" si="10">I22*I$2/I$8/1000</f>
        <v>0.21124003445466707</v>
      </c>
      <c r="J42" s="1706">
        <f t="shared" si="10"/>
        <v>0.23992167559503369</v>
      </c>
      <c r="K42" s="1706">
        <f t="shared" si="10"/>
        <v>0.2589397479808353</v>
      </c>
      <c r="L42" s="1706">
        <f t="shared" si="10"/>
        <v>0.26638118499888008</v>
      </c>
      <c r="M42" s="1706">
        <f t="shared" si="10"/>
        <v>0.27320197555031528</v>
      </c>
      <c r="N42" s="1706" t="e">
        <f t="shared" si="10"/>
        <v>#REF!</v>
      </c>
      <c r="O42" s="1401" t="e">
        <f t="shared" si="8"/>
        <v>#REF!</v>
      </c>
      <c r="Q42" s="1704" t="s">
        <v>1587</v>
      </c>
      <c r="R42" s="1401" t="e">
        <f>N42</f>
        <v>#REF!</v>
      </c>
      <c r="S42" s="1401"/>
    </row>
    <row r="43" spans="2:19">
      <c r="S43" s="1401"/>
    </row>
    <row r="46" spans="2:19">
      <c r="B46" s="1703"/>
    </row>
    <row r="47" spans="2:19">
      <c r="B47" s="1703"/>
      <c r="C47" s="1703"/>
    </row>
    <row r="48" spans="2:19">
      <c r="B48" s="1703"/>
    </row>
    <row r="49" spans="2:3">
      <c r="B49" s="1703"/>
      <c r="C49" s="1703"/>
    </row>
    <row r="50" spans="2:3">
      <c r="B50" s="1703"/>
      <c r="C50" s="1703"/>
    </row>
    <row r="51" spans="2:3">
      <c r="B51" s="1703"/>
    </row>
    <row r="66" spans="2:19">
      <c r="B66" s="955"/>
      <c r="C66" s="955"/>
      <c r="D66" s="955"/>
      <c r="E66" s="955"/>
      <c r="F66" s="955"/>
      <c r="G66" s="955"/>
      <c r="H66" s="955"/>
      <c r="I66" s="955"/>
      <c r="J66" s="955"/>
      <c r="K66" s="955"/>
      <c r="L66" s="955"/>
      <c r="M66" s="955"/>
      <c r="N66" s="955"/>
    </row>
    <row r="67" spans="2:19">
      <c r="B67" s="955"/>
      <c r="C67" s="959" t="s">
        <v>1637</v>
      </c>
      <c r="D67" s="1734"/>
      <c r="E67" s="1734"/>
      <c r="F67" s="1734"/>
      <c r="G67" s="1734"/>
      <c r="H67" s="1734"/>
      <c r="I67" s="1734"/>
      <c r="J67" s="1745"/>
      <c r="K67" s="1745"/>
      <c r="L67" s="1745"/>
      <c r="M67" s="1745"/>
      <c r="N67" s="1745"/>
    </row>
    <row r="68" spans="2:19">
      <c r="B68" s="955"/>
      <c r="C68" s="961" t="s">
        <v>1636</v>
      </c>
      <c r="D68" s="1746"/>
      <c r="E68" s="1746"/>
      <c r="F68" s="1746"/>
      <c r="G68" s="1746"/>
      <c r="H68" s="1746"/>
      <c r="I68" s="1746"/>
      <c r="J68" s="1747"/>
      <c r="K68" s="1747"/>
      <c r="L68" s="1747"/>
      <c r="M68" s="1747"/>
      <c r="N68" s="1747"/>
    </row>
    <row r="69" spans="2:19">
      <c r="B69" s="955"/>
      <c r="C69" s="1748"/>
      <c r="D69" s="1748"/>
      <c r="E69" s="1748"/>
      <c r="F69" s="1748"/>
      <c r="G69" s="1748"/>
      <c r="H69" s="1748"/>
      <c r="I69" s="1748">
        <v>2023</v>
      </c>
      <c r="J69" s="1749" t="s">
        <v>1070</v>
      </c>
      <c r="K69" s="1749" t="s">
        <v>1071</v>
      </c>
      <c r="L69" s="1749" t="s">
        <v>1096</v>
      </c>
      <c r="M69" s="1749" t="s">
        <v>1401</v>
      </c>
      <c r="N69" s="1749" t="s">
        <v>1551</v>
      </c>
    </row>
    <row r="70" spans="2:19">
      <c r="B70" s="955"/>
      <c r="C70" s="1750" t="s">
        <v>1628</v>
      </c>
      <c r="D70" s="955"/>
      <c r="E70" s="955"/>
      <c r="F70" s="955"/>
      <c r="G70" s="955"/>
      <c r="H70" s="955"/>
      <c r="I70" s="955"/>
      <c r="J70" s="958"/>
      <c r="K70" s="958"/>
      <c r="L70" s="958"/>
      <c r="M70" s="958"/>
      <c r="N70" s="958"/>
    </row>
    <row r="71" spans="2:19" s="1454" customFormat="1" ht="15">
      <c r="B71" s="964"/>
      <c r="C71" s="1751" t="s">
        <v>1627</v>
      </c>
      <c r="D71" s="964"/>
      <c r="E71" s="964"/>
      <c r="F71" s="964"/>
      <c r="G71" s="964"/>
      <c r="H71" s="964"/>
      <c r="I71" s="1753">
        <v>0.26653945245935362</v>
      </c>
      <c r="J71" s="1753">
        <v>0.31442555720147036</v>
      </c>
      <c r="K71" s="1753">
        <v>0.35458568514847921</v>
      </c>
      <c r="L71" s="1753">
        <v>0.39312054459268025</v>
      </c>
      <c r="M71" s="1753">
        <v>0.42807862618135906</v>
      </c>
      <c r="N71" s="1753">
        <v>0.45765172217091982</v>
      </c>
      <c r="S71" s="1739"/>
    </row>
    <row r="72" spans="2:19">
      <c r="B72" s="955"/>
      <c r="C72" s="965" t="s">
        <v>1561</v>
      </c>
      <c r="D72" s="955"/>
      <c r="E72" s="955"/>
      <c r="F72" s="955"/>
      <c r="G72" s="955"/>
      <c r="H72" s="955"/>
      <c r="I72" s="1742">
        <f>Segment!L11</f>
        <v>10336.009</v>
      </c>
      <c r="J72" s="1742">
        <f>Segment!M11</f>
        <v>13303.58428814</v>
      </c>
      <c r="K72" s="1742">
        <f>Segment!N11</f>
        <v>15936.363618762907</v>
      </c>
      <c r="L72" s="1742">
        <f>Segment!O11</f>
        <v>18645.5454339526</v>
      </c>
      <c r="M72" s="1742">
        <f>Segment!P11</f>
        <v>21255.921794705966</v>
      </c>
      <c r="N72" s="1742" t="e">
        <f>Segment!#REF!</f>
        <v>#REF!</v>
      </c>
      <c r="S72" s="1740"/>
    </row>
    <row r="73" spans="2:19">
      <c r="B73" s="955"/>
      <c r="C73" s="965" t="s">
        <v>1629</v>
      </c>
      <c r="D73" s="955"/>
      <c r="E73" s="955"/>
      <c r="F73" s="955"/>
      <c r="G73" s="955"/>
      <c r="H73" s="955"/>
      <c r="I73" s="1742">
        <f>Segment!L12</f>
        <v>914.47520785999995</v>
      </c>
      <c r="J73" s="1742">
        <f>Segment!M12</f>
        <v>2518.1798534899999</v>
      </c>
      <c r="K73" s="1742">
        <f>Segment!N12</f>
        <v>5031.826983243719</v>
      </c>
      <c r="L73" s="1742">
        <f>Segment!O12</f>
        <v>6725.0367631052313</v>
      </c>
      <c r="M73" s="1742">
        <f>Segment!P12</f>
        <v>8490.3589134203539</v>
      </c>
      <c r="N73" s="1742" t="e">
        <f>Segment!#REF!</f>
        <v>#REF!</v>
      </c>
    </row>
    <row r="74" spans="2:19" hidden="1" outlineLevel="1">
      <c r="B74" s="955"/>
      <c r="C74" s="965" t="s">
        <v>207</v>
      </c>
      <c r="D74" s="955"/>
      <c r="E74" s="955"/>
      <c r="F74" s="955"/>
      <c r="G74" s="955"/>
      <c r="H74" s="955"/>
      <c r="I74" s="1742">
        <f>Segment!L16</f>
        <v>12.309875430000375</v>
      </c>
      <c r="J74" s="1742">
        <f>Segment!M16</f>
        <v>17.087686640000356</v>
      </c>
      <c r="K74" s="1742">
        <f>Segment!N16</f>
        <v>23.719901664905617</v>
      </c>
      <c r="L74" s="1742">
        <f>Segment!O16</f>
        <v>32.926267132949988</v>
      </c>
      <c r="M74" s="1742">
        <f>Segment!P16</f>
        <v>45.705883718497972</v>
      </c>
      <c r="N74" s="1742" t="e">
        <f>Segment!#REF!</f>
        <v>#REF!</v>
      </c>
    </row>
    <row r="75" spans="2:19" s="1454" customFormat="1" ht="15" collapsed="1">
      <c r="B75" s="964"/>
      <c r="C75" s="1751" t="s">
        <v>940</v>
      </c>
      <c r="D75" s="964"/>
      <c r="E75" s="964"/>
      <c r="F75" s="964"/>
      <c r="G75" s="964"/>
      <c r="H75" s="964"/>
      <c r="I75" s="1741">
        <f>Segment!L29</f>
        <v>4851.1403231800005</v>
      </c>
      <c r="J75" s="1741">
        <f>Segment!M29</f>
        <v>7097.2908256200008</v>
      </c>
      <c r="K75" s="1741">
        <f>Segment!N29</f>
        <v>9427.5114422574115</v>
      </c>
      <c r="L75" s="1741">
        <f>Segment!O29</f>
        <v>11656.209689765257</v>
      </c>
      <c r="M75" s="1741">
        <f>Segment!P29</f>
        <v>13769.255836344684</v>
      </c>
      <c r="N75" s="1741" t="e">
        <f>Segment!#REF!</f>
        <v>#REF!</v>
      </c>
      <c r="S75" s="1739"/>
    </row>
    <row r="76" spans="2:19">
      <c r="B76" s="955"/>
      <c r="C76" s="1752" t="s">
        <v>1254</v>
      </c>
      <c r="D76" s="955"/>
      <c r="E76" s="955"/>
      <c r="F76" s="955"/>
      <c r="G76" s="955"/>
      <c r="H76" s="955"/>
      <c r="I76" s="1743">
        <f>Segment!L40</f>
        <v>0.4307226330611314</v>
      </c>
      <c r="J76" s="1743">
        <f>Segment!M40</f>
        <v>0.44809376983705279</v>
      </c>
      <c r="K76" s="1743">
        <f>Segment!N40</f>
        <v>0.44910211677057787</v>
      </c>
      <c r="L76" s="1743">
        <f>Segment!O40</f>
        <v>0.45884251406438797</v>
      </c>
      <c r="M76" s="1743">
        <f>Segment!P40</f>
        <v>0.46217984805732437</v>
      </c>
      <c r="N76" s="1743" t="e">
        <f>Segment!#REF!</f>
        <v>#REF!</v>
      </c>
    </row>
    <row r="77" spans="2:19">
      <c r="B77" s="955"/>
      <c r="C77" s="1751" t="s">
        <v>1633</v>
      </c>
      <c r="D77" s="955"/>
      <c r="E77" s="955"/>
      <c r="F77" s="955"/>
      <c r="G77" s="955"/>
      <c r="H77" s="955"/>
      <c r="I77" s="1741">
        <f>Model!I35</f>
        <v>2379.153010210001</v>
      </c>
      <c r="J77" s="1741">
        <f>Model!J35</f>
        <v>3800.0838701400021</v>
      </c>
      <c r="K77" s="1741">
        <f>Model!K35</f>
        <v>5435.6400154569565</v>
      </c>
      <c r="L77" s="1741">
        <f>Model!L35</f>
        <v>6767.0166878202199</v>
      </c>
      <c r="M77" s="1741">
        <f>Model!M35</f>
        <v>8139.2295924605105</v>
      </c>
      <c r="N77" s="1741" t="e">
        <f>Model!#REF!</f>
        <v>#REF!</v>
      </c>
    </row>
    <row r="78" spans="2:19">
      <c r="B78" s="955"/>
      <c r="C78" s="1754" t="s">
        <v>1638</v>
      </c>
      <c r="D78" s="955"/>
      <c r="E78" s="955"/>
      <c r="F78" s="955"/>
      <c r="G78" s="955"/>
      <c r="H78" s="955"/>
      <c r="I78" s="1742"/>
      <c r="J78" s="1742"/>
      <c r="K78" s="955"/>
      <c r="L78" s="955"/>
      <c r="M78" s="955"/>
      <c r="N78" s="955"/>
    </row>
    <row r="79" spans="2:19" s="1454" customFormat="1" ht="15">
      <c r="B79" s="964"/>
      <c r="C79" s="1751" t="s">
        <v>1627</v>
      </c>
      <c r="D79" s="964"/>
      <c r="E79" s="964"/>
      <c r="F79" s="964"/>
      <c r="G79" s="964"/>
      <c r="H79" s="964"/>
      <c r="I79" s="1753">
        <f>I71</f>
        <v>0.26653945245935362</v>
      </c>
      <c r="J79" s="1753">
        <f>J71</f>
        <v>0.31442555720147036</v>
      </c>
      <c r="K79" s="1753">
        <f>J79</f>
        <v>0.31442555720147036</v>
      </c>
      <c r="L79" s="1753">
        <f>K79</f>
        <v>0.31442555720147036</v>
      </c>
      <c r="M79" s="1753">
        <f>L79</f>
        <v>0.31442555720147036</v>
      </c>
      <c r="N79" s="1753">
        <f>M79</f>
        <v>0.31442555720147036</v>
      </c>
      <c r="S79" s="1739"/>
    </row>
    <row r="80" spans="2:19">
      <c r="B80" s="955"/>
      <c r="C80" s="965" t="s">
        <v>1561</v>
      </c>
      <c r="D80" s="955"/>
      <c r="E80" s="955"/>
      <c r="F80" s="955"/>
      <c r="G80" s="955"/>
      <c r="H80" s="955"/>
      <c r="I80" s="1744">
        <f>I72</f>
        <v>10336.009</v>
      </c>
      <c r="J80" s="1744">
        <f>J72</f>
        <v>13303.58428814</v>
      </c>
      <c r="K80" s="1744">
        <f>K72/K71*K79</f>
        <v>14131.42216527028</v>
      </c>
      <c r="L80" s="1744">
        <f>L72/L71*L79</f>
        <v>14913.074610410575</v>
      </c>
      <c r="M80" s="1744">
        <f>M72/M71*M79</f>
        <v>15612.564247250741</v>
      </c>
      <c r="N80" s="1744" t="e">
        <f>N72/N71*N79</f>
        <v>#REF!</v>
      </c>
      <c r="S80" s="1740"/>
    </row>
    <row r="81" spans="2:19">
      <c r="B81" s="955"/>
      <c r="C81" s="965" t="s">
        <v>216</v>
      </c>
      <c r="D81" s="955"/>
      <c r="E81" s="955"/>
      <c r="F81" s="955"/>
      <c r="G81" s="955"/>
      <c r="H81" s="955"/>
      <c r="I81" s="1744"/>
      <c r="J81" s="1744"/>
      <c r="K81" s="1743">
        <f>K80/J80-1</f>
        <v>6.2226679607561675E-2</v>
      </c>
      <c r="L81" s="1743">
        <f>L80/K80-1</f>
        <v>5.5313077197658211E-2</v>
      </c>
      <c r="M81" s="1743">
        <f>M80/L80-1</f>
        <v>4.6904454990915445E-2</v>
      </c>
      <c r="N81" s="1743" t="e">
        <f>N80/M80-1</f>
        <v>#REF!</v>
      </c>
    </row>
    <row r="82" spans="2:19">
      <c r="B82" s="955"/>
      <c r="C82" s="1755" t="s">
        <v>1632</v>
      </c>
      <c r="D82" s="955"/>
      <c r="E82" s="955"/>
      <c r="F82" s="955"/>
      <c r="G82" s="955"/>
      <c r="H82" s="955"/>
      <c r="I82" s="955"/>
      <c r="J82" s="955"/>
      <c r="K82" s="1743">
        <f>K80/K72-1</f>
        <v>-0.11325930410922314</v>
      </c>
      <c r="L82" s="1743">
        <f>L80/L72-1</f>
        <v>-0.2001802970453942</v>
      </c>
      <c r="M82" s="1743">
        <f>M80/M72-1</f>
        <v>-0.26549578051518652</v>
      </c>
      <c r="N82" s="1743" t="e">
        <f>N80/N72-1</f>
        <v>#REF!</v>
      </c>
    </row>
    <row r="83" spans="2:19">
      <c r="B83" s="955"/>
      <c r="C83" s="965" t="s">
        <v>1630</v>
      </c>
      <c r="D83" s="955"/>
      <c r="E83" s="955"/>
      <c r="F83" s="955"/>
      <c r="G83" s="955"/>
      <c r="H83" s="955"/>
      <c r="I83" s="1744">
        <f t="shared" ref="I83:N83" si="11">I80+I73+I74</f>
        <v>11262.79408329</v>
      </c>
      <c r="J83" s="1744">
        <f t="shared" si="11"/>
        <v>15838.851828269999</v>
      </c>
      <c r="K83" s="1744">
        <f t="shared" si="11"/>
        <v>19186.969050178905</v>
      </c>
      <c r="L83" s="1744">
        <f t="shared" si="11"/>
        <v>21671.037640648756</v>
      </c>
      <c r="M83" s="1744">
        <f t="shared" si="11"/>
        <v>24148.629044389596</v>
      </c>
      <c r="N83" s="1744" t="e">
        <f t="shared" si="11"/>
        <v>#REF!</v>
      </c>
      <c r="S83" s="1740"/>
    </row>
    <row r="84" spans="2:19" s="1454" customFormat="1" ht="15">
      <c r="B84" s="964"/>
      <c r="C84" s="1756" t="s">
        <v>940</v>
      </c>
      <c r="D84" s="1757"/>
      <c r="E84" s="1757"/>
      <c r="F84" s="1757"/>
      <c r="G84" s="1757"/>
      <c r="H84" s="1757"/>
      <c r="I84" s="1758">
        <f>I83*I76</f>
        <v>4851.1403231800005</v>
      </c>
      <c r="J84" s="1758">
        <f>J83*J76</f>
        <v>7097.2908256199999</v>
      </c>
      <c r="K84" s="1758">
        <f>K83*$J$76</f>
        <v>8597.5612934415221</v>
      </c>
      <c r="L84" s="1758">
        <f>L83*$J$76</f>
        <v>9710.6569526789717</v>
      </c>
      <c r="M84" s="1758">
        <f>M83*$J$76</f>
        <v>10820.85022489708</v>
      </c>
      <c r="N84" s="1758" t="e">
        <f>N83*$J$76</f>
        <v>#REF!</v>
      </c>
      <c r="S84" s="1739"/>
    </row>
    <row r="85" spans="2:19">
      <c r="B85" s="955"/>
      <c r="C85" s="1755" t="s">
        <v>1632</v>
      </c>
      <c r="D85" s="955"/>
      <c r="E85" s="955"/>
      <c r="F85" s="955"/>
      <c r="G85" s="955"/>
      <c r="H85" s="955"/>
      <c r="I85" s="955"/>
      <c r="J85" s="955"/>
      <c r="K85" s="1743">
        <f>K84/K75-1</f>
        <v>-8.8034912914108143E-2</v>
      </c>
      <c r="L85" s="1743">
        <f>L84/L75-1</f>
        <v>-0.16691126780213805</v>
      </c>
      <c r="M85" s="1743">
        <f>M84/M75-1</f>
        <v>-0.21412962664729718</v>
      </c>
      <c r="N85" s="1743" t="e">
        <f>N84/N75-1</f>
        <v>#REF!</v>
      </c>
    </row>
    <row r="86" spans="2:19" hidden="1">
      <c r="B86" s="955"/>
      <c r="C86" s="955"/>
      <c r="D86" s="955"/>
      <c r="E86" s="955"/>
      <c r="F86" s="955"/>
      <c r="G86" s="955"/>
      <c r="H86" s="955"/>
      <c r="I86" s="955"/>
      <c r="J86" s="955"/>
      <c r="K86" s="955"/>
      <c r="L86" s="955"/>
      <c r="M86" s="955"/>
      <c r="N86" s="955"/>
    </row>
    <row r="87" spans="2:19">
      <c r="B87" s="955"/>
      <c r="C87" s="965" t="s">
        <v>1631</v>
      </c>
      <c r="D87" s="955"/>
      <c r="E87" s="955"/>
      <c r="F87" s="955"/>
      <c r="G87" s="955"/>
      <c r="H87" s="955"/>
      <c r="I87" s="1742">
        <f>SUM(Model!I23,Model!I27)-Model!I33</f>
        <v>-2230.28817738</v>
      </c>
      <c r="J87" s="1742">
        <f>SUM(Model!J23,Model!J27)-Model!J33</f>
        <v>-2971.2752390199994</v>
      </c>
      <c r="K87" s="1742">
        <f>SUM(Model!K23,Model!K27)-Model!K33</f>
        <v>-3599.2947502420088</v>
      </c>
      <c r="L87" s="1742">
        <f>SUM(Model!L23,Model!L27)-Model!L33</f>
        <v>-4415.8469782667908</v>
      </c>
      <c r="M87" s="1742">
        <f>SUM(Model!M23,Model!M27)-Model!M33</f>
        <v>-4938.6527613730859</v>
      </c>
      <c r="N87" s="1742" t="e">
        <f>SUM(Model!#REF!,Model!#REF!)-Model!#REF!</f>
        <v>#REF!</v>
      </c>
    </row>
    <row r="88" spans="2:19">
      <c r="B88" s="955"/>
      <c r="C88" s="965" t="s">
        <v>40</v>
      </c>
      <c r="D88" s="955"/>
      <c r="E88" s="955"/>
      <c r="F88" s="955"/>
      <c r="G88" s="955"/>
      <c r="H88" s="955"/>
      <c r="I88" s="1742">
        <f>-'Capacity projects'!U52</f>
        <v>-241.69913559</v>
      </c>
      <c r="J88" s="1742">
        <f>-'Capacity projects'!V52</f>
        <v>-325.93171645999996</v>
      </c>
      <c r="K88" s="1742">
        <f>-'Capacity projects'!W52</f>
        <v>-392.57667655844563</v>
      </c>
      <c r="L88" s="1742">
        <f>-'Capacity projects'!X52</f>
        <v>-473.34602367824692</v>
      </c>
      <c r="M88" s="1742">
        <f>-'Capacity projects'!Y52</f>
        <v>-691.37348251108654</v>
      </c>
      <c r="N88" s="1742" t="e">
        <f>-'Capacity projects'!Z52</f>
        <v>#REF!</v>
      </c>
    </row>
    <row r="89" spans="2:19" hidden="1">
      <c r="B89" s="955"/>
      <c r="C89" s="955"/>
      <c r="D89" s="955"/>
      <c r="E89" s="955"/>
      <c r="F89" s="955"/>
      <c r="G89" s="955"/>
      <c r="H89" s="955"/>
      <c r="I89" s="955"/>
      <c r="J89" s="955"/>
      <c r="K89" s="955"/>
      <c r="L89" s="955"/>
      <c r="M89" s="955"/>
      <c r="N89" s="955"/>
    </row>
    <row r="90" spans="2:19" s="1454" customFormat="1" ht="15">
      <c r="B90" s="964"/>
      <c r="C90" s="1760" t="s">
        <v>35</v>
      </c>
      <c r="D90" s="1757"/>
      <c r="E90" s="1757"/>
      <c r="F90" s="1757"/>
      <c r="G90" s="1757"/>
      <c r="H90" s="1757"/>
      <c r="I90" s="1759">
        <f t="shared" ref="I90:N90" si="12">I84+I87+I88</f>
        <v>2379.1530102100005</v>
      </c>
      <c r="J90" s="1759">
        <f t="shared" si="12"/>
        <v>3800.0838701400007</v>
      </c>
      <c r="K90" s="1759">
        <f t="shared" si="12"/>
        <v>4605.689866641068</v>
      </c>
      <c r="L90" s="1759">
        <f t="shared" si="12"/>
        <v>4821.4639507339343</v>
      </c>
      <c r="M90" s="1759">
        <f t="shared" si="12"/>
        <v>5190.8239810129071</v>
      </c>
      <c r="N90" s="1761" t="e">
        <f t="shared" si="12"/>
        <v>#REF!</v>
      </c>
      <c r="S90" s="1739"/>
    </row>
    <row r="91" spans="2:19">
      <c r="B91" s="955"/>
      <c r="C91" s="1762" t="s">
        <v>1632</v>
      </c>
      <c r="D91" s="1763"/>
      <c r="E91" s="1763"/>
      <c r="F91" s="1763"/>
      <c r="G91" s="1763"/>
      <c r="H91" s="1763"/>
      <c r="I91" s="1764">
        <f t="shared" ref="I91:N91" si="13">I90/I77-1</f>
        <v>0</v>
      </c>
      <c r="J91" s="1764">
        <f t="shared" si="13"/>
        <v>0</v>
      </c>
      <c r="K91" s="1764">
        <f t="shared" si="13"/>
        <v>-0.15268673908791164</v>
      </c>
      <c r="L91" s="1764">
        <f t="shared" si="13"/>
        <v>-0.28750523706968778</v>
      </c>
      <c r="M91" s="1764">
        <f t="shared" si="13"/>
        <v>-0.36224627625429751</v>
      </c>
      <c r="N91" s="1765" t="e">
        <f t="shared" si="13"/>
        <v>#REF!</v>
      </c>
    </row>
    <row r="92" spans="2:19">
      <c r="B92" s="955"/>
      <c r="C92" s="955"/>
      <c r="D92" s="955"/>
      <c r="E92" s="955"/>
      <c r="F92" s="955"/>
      <c r="G92" s="955"/>
      <c r="H92" s="955"/>
      <c r="I92" s="955"/>
      <c r="J92" s="955"/>
      <c r="K92" s="955"/>
      <c r="L92" s="955"/>
      <c r="M92" s="955"/>
      <c r="N92" s="955"/>
    </row>
    <row r="93" spans="2:19">
      <c r="B93" s="955"/>
      <c r="C93" s="1766" t="s">
        <v>1635</v>
      </c>
      <c r="D93" s="1766"/>
      <c r="E93" s="1766"/>
      <c r="F93" s="1766"/>
      <c r="G93" s="1766"/>
      <c r="H93" s="1766"/>
      <c r="I93" s="1767">
        <f t="shared" ref="I93:N93" si="14">-I88/I77</f>
        <v>0.10159041245046527</v>
      </c>
      <c r="J93" s="1767">
        <f t="shared" si="14"/>
        <v>8.57696113028137E-2</v>
      </c>
      <c r="K93" s="1767">
        <f t="shared" si="14"/>
        <v>7.2222714425918988E-2</v>
      </c>
      <c r="L93" s="1767">
        <f t="shared" si="14"/>
        <v>6.9948996066495642E-2</v>
      </c>
      <c r="M93" s="1767">
        <f t="shared" si="14"/>
        <v>8.4943356696992073E-2</v>
      </c>
      <c r="N93" s="1767" t="e">
        <f t="shared" si="14"/>
        <v>#REF!</v>
      </c>
    </row>
    <row r="94" spans="2:19">
      <c r="B94" s="955"/>
      <c r="C94" s="1766" t="s">
        <v>1634</v>
      </c>
      <c r="D94" s="1766"/>
      <c r="E94" s="1766"/>
      <c r="F94" s="1766"/>
      <c r="G94" s="1766"/>
      <c r="H94" s="1766"/>
      <c r="I94" s="1767">
        <f t="shared" ref="I94:N94" si="15">-I88/I90</f>
        <v>0.10159041245046528</v>
      </c>
      <c r="J94" s="1767">
        <f t="shared" si="15"/>
        <v>8.5769611302813728E-2</v>
      </c>
      <c r="K94" s="1767">
        <f t="shared" si="15"/>
        <v>8.5237323381644026E-2</v>
      </c>
      <c r="L94" s="1767">
        <f t="shared" si="15"/>
        <v>9.817475117825844E-2</v>
      </c>
      <c r="M94" s="1767">
        <f t="shared" si="15"/>
        <v>0.13319147114986085</v>
      </c>
      <c r="N94" s="1767" t="e">
        <f t="shared" si="15"/>
        <v>#REF!</v>
      </c>
    </row>
    <row r="95" spans="2:19">
      <c r="B95" s="955"/>
      <c r="C95" s="969"/>
      <c r="D95" s="969"/>
      <c r="E95" s="969"/>
      <c r="F95" s="969"/>
      <c r="G95" s="969"/>
      <c r="H95" s="969"/>
      <c r="I95" s="969"/>
      <c r="J95" s="969"/>
      <c r="K95" s="969"/>
      <c r="L95" s="969"/>
      <c r="M95" s="969"/>
      <c r="N95" s="969"/>
    </row>
    <row r="96" spans="2:19">
      <c r="B96" s="955"/>
      <c r="C96" s="1766" t="s">
        <v>1639</v>
      </c>
      <c r="D96" s="1766"/>
      <c r="E96" s="1766"/>
      <c r="F96" s="1766"/>
      <c r="G96" s="1766"/>
      <c r="H96" s="1766"/>
      <c r="I96" s="1767">
        <f t="shared" ref="I96:N96" si="16">-I88/I75</f>
        <v>4.9823158986990988E-2</v>
      </c>
      <c r="J96" s="1767">
        <f t="shared" si="16"/>
        <v>4.5923398726094536E-2</v>
      </c>
      <c r="K96" s="1767">
        <f t="shared" si="16"/>
        <v>4.1641601706127802E-2</v>
      </c>
      <c r="L96" s="1767">
        <f t="shared" si="16"/>
        <v>4.0608914585147579E-2</v>
      </c>
      <c r="M96" s="1767">
        <f t="shared" si="16"/>
        <v>5.0211390559406224E-2</v>
      </c>
      <c r="N96" s="1767" t="e">
        <f t="shared" si="16"/>
        <v>#REF!</v>
      </c>
    </row>
    <row r="97" spans="2:20">
      <c r="B97" s="955"/>
      <c r="C97" s="1766" t="s">
        <v>1640</v>
      </c>
      <c r="D97" s="1766"/>
      <c r="E97" s="1766"/>
      <c r="F97" s="1766"/>
      <c r="G97" s="1766"/>
      <c r="H97" s="1766"/>
      <c r="I97" s="1767">
        <f t="shared" ref="I97:N97" si="17">-I88/I84</f>
        <v>4.9823158986990988E-2</v>
      </c>
      <c r="J97" s="1767">
        <f t="shared" si="17"/>
        <v>4.5923398726094536E-2</v>
      </c>
      <c r="K97" s="1767">
        <f t="shared" si="17"/>
        <v>4.5661398989724551E-2</v>
      </c>
      <c r="L97" s="1767">
        <f t="shared" si="17"/>
        <v>4.8745005202522416E-2</v>
      </c>
      <c r="M97" s="1767">
        <f t="shared" si="17"/>
        <v>6.3892713432105785E-2</v>
      </c>
      <c r="N97" s="1767" t="e">
        <f t="shared" si="17"/>
        <v>#REF!</v>
      </c>
    </row>
    <row r="98" spans="2:20">
      <c r="B98" s="955"/>
      <c r="C98" s="955"/>
      <c r="D98" s="955"/>
      <c r="E98" s="955"/>
      <c r="F98" s="955"/>
      <c r="G98" s="955"/>
      <c r="H98" s="955"/>
      <c r="I98" s="955"/>
      <c r="J98" s="955"/>
      <c r="K98" s="955"/>
      <c r="L98" s="955"/>
      <c r="M98" s="955"/>
      <c r="N98" s="955"/>
    </row>
    <row r="99" spans="2:20">
      <c r="B99" s="955"/>
      <c r="C99" s="955"/>
      <c r="D99" s="955"/>
      <c r="E99" s="955"/>
      <c r="F99" s="955"/>
      <c r="G99" s="955"/>
      <c r="H99" s="955"/>
      <c r="I99" s="955"/>
      <c r="J99" s="955"/>
      <c r="K99" s="955"/>
      <c r="L99" s="955"/>
      <c r="M99" s="955"/>
      <c r="N99" s="955"/>
    </row>
    <row r="102" spans="2:20" ht="25.5">
      <c r="C102" s="1836" t="s">
        <v>1695</v>
      </c>
      <c r="D102" s="1828"/>
      <c r="E102" s="1828"/>
      <c r="F102" s="1828"/>
      <c r="G102" s="1828"/>
      <c r="H102" s="1828"/>
      <c r="I102" s="1828">
        <v>2018</v>
      </c>
      <c r="J102" s="1828">
        <v>2019</v>
      </c>
      <c r="K102" s="1828">
        <v>2020</v>
      </c>
      <c r="L102" s="1828">
        <v>2021</v>
      </c>
      <c r="M102" s="1828">
        <v>2022</v>
      </c>
      <c r="N102" s="1828">
        <v>2023</v>
      </c>
      <c r="O102" s="1829" t="s">
        <v>1070</v>
      </c>
      <c r="P102" s="1829" t="s">
        <v>1071</v>
      </c>
      <c r="Q102" s="1829" t="s">
        <v>1096</v>
      </c>
      <c r="R102" s="961"/>
      <c r="S102" s="1830" t="s">
        <v>1692</v>
      </c>
      <c r="T102" s="1831" t="s">
        <v>1693</v>
      </c>
    </row>
    <row r="103" spans="2:20" s="1703" customFormat="1" ht="18" customHeight="1">
      <c r="C103" s="1832" t="s">
        <v>1213</v>
      </c>
      <c r="D103" s="1833"/>
      <c r="E103" s="1833"/>
      <c r="F103" s="1833"/>
      <c r="G103" s="1833"/>
      <c r="H103" s="1833"/>
      <c r="I103" s="1833"/>
      <c r="J103" s="1833"/>
      <c r="K103" s="1833"/>
      <c r="L103" s="1833"/>
      <c r="M103" s="1833"/>
      <c r="N103" s="1833"/>
      <c r="O103" s="1833"/>
      <c r="P103" s="1833"/>
      <c r="Q103" s="1833"/>
      <c r="R103" s="1833"/>
      <c r="S103" s="1834"/>
      <c r="T103" s="1833"/>
    </row>
    <row r="104" spans="2:20" s="1703" customFormat="1" ht="18" customHeight="1">
      <c r="C104" s="1824" t="s">
        <v>1687</v>
      </c>
      <c r="D104" s="1824"/>
      <c r="E104" s="1824"/>
      <c r="F104" s="1824"/>
      <c r="G104" s="1824"/>
      <c r="H104" s="1824"/>
      <c r="I104" s="1825">
        <f>Model!D13-Model!C13</f>
        <v>193.72839961999989</v>
      </c>
      <c r="J104" s="1825">
        <f>Model!E13-Model!D13</f>
        <v>1171.1924796500002</v>
      </c>
      <c r="K104" s="1825">
        <f>Model!F13-Model!E13</f>
        <v>749.77413945999979</v>
      </c>
      <c r="L104" s="1825">
        <f>Model!G13-Model!F13</f>
        <v>2019.3198556799998</v>
      </c>
      <c r="M104" s="1825">
        <f>Model!H13-Model!G13</f>
        <v>1527.5672560899993</v>
      </c>
      <c r="N104" s="1825">
        <f>Model!I13-Model!H13</f>
        <v>2757.4043527900012</v>
      </c>
      <c r="O104" s="1825">
        <f>Model!J13-Model!I13</f>
        <v>4576.0577449800003</v>
      </c>
      <c r="P104" s="1825">
        <f>Model!K13-Model!J13</f>
        <v>5153.0586754015294</v>
      </c>
      <c r="Q104" s="1825">
        <f>Model!L13-Model!K13</f>
        <v>4411.5979605192515</v>
      </c>
      <c r="R104" s="1824"/>
      <c r="S104" s="1825">
        <f>SUM(I104:N104)</f>
        <v>8418.9864832900003</v>
      </c>
      <c r="T104" s="1826">
        <f>SUM(O104:Q104)</f>
        <v>14140.714380900781</v>
      </c>
    </row>
    <row r="105" spans="2:20" s="1703" customFormat="1" ht="18" customHeight="1">
      <c r="C105" s="1824" t="s">
        <v>1688</v>
      </c>
      <c r="D105" s="1824"/>
      <c r="E105" s="1824"/>
      <c r="F105" s="1824"/>
      <c r="G105" s="1824"/>
      <c r="H105" s="1824"/>
      <c r="I105" s="1825">
        <f>-Model!D25+Model!C25</f>
        <v>144.20053685999994</v>
      </c>
      <c r="J105" s="1825">
        <f>-Model!E25+Model!D25</f>
        <v>14.142825280000011</v>
      </c>
      <c r="K105" s="1825">
        <f>-Model!F25+Model!E25</f>
        <v>56.754132680000112</v>
      </c>
      <c r="L105" s="1825">
        <f>-Model!G25+Model!F25</f>
        <v>328.03707223999982</v>
      </c>
      <c r="M105" s="1825">
        <f>-Model!H25+Model!G25</f>
        <v>80.891717519999929</v>
      </c>
      <c r="N105" s="1825">
        <f>-Model!I25+Model!H25</f>
        <v>506.39529048999998</v>
      </c>
      <c r="O105" s="1825">
        <f>-Model!J25+Model!I25</f>
        <v>725.40841225999998</v>
      </c>
      <c r="P105" s="1825">
        <f>-Model!K25+Model!J25</f>
        <v>689.64076837481161</v>
      </c>
      <c r="Q105" s="1825">
        <f>-Model!L25+Model!K25</f>
        <v>601.68594883007063</v>
      </c>
      <c r="R105" s="1824"/>
      <c r="S105" s="1825">
        <f>SUM(I105:N105)</f>
        <v>1130.4215750699998</v>
      </c>
      <c r="T105" s="1826">
        <f>SUM(O105:Q105)</f>
        <v>2016.7351294648822</v>
      </c>
    </row>
    <row r="106" spans="2:20" s="1703" customFormat="1" ht="18" customHeight="1">
      <c r="C106" s="1838" t="s">
        <v>1691</v>
      </c>
      <c r="D106" s="1838"/>
      <c r="E106" s="1838"/>
      <c r="F106" s="1838"/>
      <c r="G106" s="1838"/>
      <c r="H106" s="1838"/>
      <c r="I106" s="1840">
        <f>I104/I105</f>
        <v>1.3434651759173761</v>
      </c>
      <c r="J106" s="1840">
        <f t="shared" ref="J106:Q106" si="18">J104/J105</f>
        <v>82.811776039278016</v>
      </c>
      <c r="K106" s="1840">
        <f t="shared" si="18"/>
        <v>13.210917056692448</v>
      </c>
      <c r="L106" s="1840">
        <f t="shared" si="18"/>
        <v>6.1557672182935983</v>
      </c>
      <c r="M106" s="1840">
        <f t="shared" si="18"/>
        <v>18.884099669565288</v>
      </c>
      <c r="N106" s="1840">
        <f t="shared" si="18"/>
        <v>5.4451619210792268</v>
      </c>
      <c r="O106" s="1840">
        <f t="shared" si="18"/>
        <v>6.3082501769222041</v>
      </c>
      <c r="P106" s="1840">
        <f t="shared" si="18"/>
        <v>7.4720911403557029</v>
      </c>
      <c r="Q106" s="1840">
        <f t="shared" si="18"/>
        <v>7.3320608019802433</v>
      </c>
      <c r="R106" s="1839"/>
      <c r="S106" s="1840">
        <f>S104/S105</f>
        <v>7.447651981313844</v>
      </c>
      <c r="T106" s="1840">
        <f>T104/T105</f>
        <v>7.0116864501948051</v>
      </c>
    </row>
    <row r="107" spans="2:20" s="1703" customFormat="1" ht="18" customHeight="1">
      <c r="C107" s="1824"/>
      <c r="D107" s="1824"/>
      <c r="E107" s="1824"/>
      <c r="F107" s="1824"/>
      <c r="G107" s="1824"/>
      <c r="H107" s="1824"/>
      <c r="I107" s="1824"/>
      <c r="J107" s="1824"/>
      <c r="K107" s="1824"/>
      <c r="L107" s="1824"/>
      <c r="M107" s="1824"/>
      <c r="N107" s="1824"/>
      <c r="O107" s="1824"/>
      <c r="P107" s="1824"/>
      <c r="Q107" s="1824"/>
      <c r="R107" s="1824"/>
      <c r="S107" s="1825"/>
      <c r="T107" s="1824"/>
    </row>
    <row r="108" spans="2:20" s="1703" customFormat="1" ht="18" customHeight="1">
      <c r="C108" s="1832" t="s">
        <v>1689</v>
      </c>
      <c r="D108" s="1833"/>
      <c r="E108" s="1833"/>
      <c r="F108" s="1833"/>
      <c r="G108" s="1833"/>
      <c r="H108" s="1833"/>
      <c r="I108" s="1833"/>
      <c r="J108" s="1833"/>
      <c r="K108" s="1833"/>
      <c r="L108" s="1833"/>
      <c r="M108" s="1833"/>
      <c r="N108" s="1833"/>
      <c r="O108" s="1833"/>
      <c r="P108" s="1833"/>
      <c r="Q108" s="1833"/>
      <c r="R108" s="1833"/>
      <c r="S108" s="1834"/>
      <c r="T108" s="1833"/>
    </row>
    <row r="109" spans="2:20" s="1703" customFormat="1" ht="18" customHeight="1">
      <c r="C109" s="1824" t="s">
        <v>1687</v>
      </c>
      <c r="D109" s="1824"/>
      <c r="E109" s="1824"/>
      <c r="F109" s="1824"/>
      <c r="G109" s="1824"/>
      <c r="H109" s="1824"/>
      <c r="I109" s="1827">
        <v>2983.8309999999983</v>
      </c>
      <c r="J109" s="1827">
        <v>3545.9960000000028</v>
      </c>
      <c r="K109" s="1827">
        <v>-1143.7440000000024</v>
      </c>
      <c r="L109" s="1827">
        <v>6819.1090000000004</v>
      </c>
      <c r="M109" s="1827">
        <v>3542.7810000000063</v>
      </c>
      <c r="N109" s="1827">
        <v>9428.0339999999924</v>
      </c>
      <c r="O109" s="1827">
        <v>228.77100000000064</v>
      </c>
      <c r="P109" s="1827">
        <v>7709.5277800032127</v>
      </c>
      <c r="Q109" s="1827">
        <v>7109.3796896413551</v>
      </c>
      <c r="R109" s="1824"/>
      <c r="S109" s="1825">
        <f>SUM(I109:N109)</f>
        <v>25176.006999999998</v>
      </c>
      <c r="T109" s="1826">
        <f>SUM(O109:Q109)</f>
        <v>15047.678469644568</v>
      </c>
    </row>
    <row r="110" spans="2:20" s="1703" customFormat="1" ht="18" customHeight="1">
      <c r="C110" s="1824" t="s">
        <v>1688</v>
      </c>
      <c r="D110" s="1824"/>
      <c r="E110" s="1824"/>
      <c r="F110" s="1824"/>
      <c r="G110" s="1824"/>
      <c r="H110" s="1824"/>
      <c r="I110" s="1827">
        <v>327.5570000000007</v>
      </c>
      <c r="J110" s="1827">
        <v>598.86899999999969</v>
      </c>
      <c r="K110" s="1827">
        <v>-305.88600000000042</v>
      </c>
      <c r="L110" s="1827">
        <v>1722.5630000000001</v>
      </c>
      <c r="M110" s="1827">
        <v>587.62100000000009</v>
      </c>
      <c r="N110" s="1827">
        <v>1463.308</v>
      </c>
      <c r="O110" s="1827">
        <v>-110.70199999999932</v>
      </c>
      <c r="P110" s="1827">
        <v>688.6137955585782</v>
      </c>
      <c r="Q110" s="1827">
        <v>1151.4157531672063</v>
      </c>
      <c r="R110" s="1824"/>
      <c r="S110" s="1825">
        <f>SUM(I110:N110)</f>
        <v>4394.0320000000002</v>
      </c>
      <c r="T110" s="1826">
        <f>SUM(O110:Q110)</f>
        <v>1729.3275487257852</v>
      </c>
    </row>
    <row r="111" spans="2:20" s="1703" customFormat="1" ht="18" customHeight="1">
      <c r="C111" s="1838" t="s">
        <v>1691</v>
      </c>
      <c r="D111" s="1839"/>
      <c r="E111" s="1839"/>
      <c r="F111" s="1839"/>
      <c r="G111" s="1839"/>
      <c r="H111" s="1839"/>
      <c r="I111" s="1840">
        <f>I109/I110</f>
        <v>9.1093489072130716</v>
      </c>
      <c r="J111" s="1840">
        <f t="shared" ref="J111:Q111" si="19">J109/J110</f>
        <v>5.9211547099616189</v>
      </c>
      <c r="K111" s="1841" t="s">
        <v>1351</v>
      </c>
      <c r="L111" s="1840">
        <f t="shared" si="19"/>
        <v>3.9586993334931728</v>
      </c>
      <c r="M111" s="1840">
        <f t="shared" si="19"/>
        <v>6.0290238095643378</v>
      </c>
      <c r="N111" s="1840">
        <f t="shared" si="19"/>
        <v>6.4429593769732634</v>
      </c>
      <c r="O111" s="1840">
        <f t="shared" si="19"/>
        <v>-2.0665480298459111</v>
      </c>
      <c r="P111" s="1840">
        <f t="shared" si="19"/>
        <v>11.195720779525665</v>
      </c>
      <c r="Q111" s="1840">
        <f t="shared" si="19"/>
        <v>6.1744679713522608</v>
      </c>
      <c r="R111" s="1839"/>
      <c r="S111" s="1840">
        <f>S109/S110</f>
        <v>5.7295911818575735</v>
      </c>
      <c r="T111" s="1840">
        <f>T109/T110</f>
        <v>8.7014623000322295</v>
      </c>
    </row>
    <row r="112" spans="2:20" s="1703" customFormat="1" ht="18" customHeight="1">
      <c r="C112" s="1824"/>
      <c r="D112" s="1824"/>
      <c r="E112" s="1824"/>
      <c r="F112" s="1824"/>
      <c r="G112" s="1824"/>
      <c r="H112" s="1824"/>
      <c r="I112" s="1824"/>
      <c r="J112" s="1824"/>
      <c r="K112" s="1824"/>
      <c r="L112" s="1824"/>
      <c r="M112" s="1824"/>
      <c r="N112" s="1824"/>
      <c r="O112" s="1824"/>
      <c r="P112" s="1824"/>
      <c r="Q112" s="1824"/>
      <c r="R112" s="1824"/>
      <c r="S112" s="1825"/>
      <c r="T112" s="1824"/>
    </row>
    <row r="113" spans="3:20" s="1703" customFormat="1" ht="18" customHeight="1">
      <c r="C113" s="1832" t="s">
        <v>1690</v>
      </c>
      <c r="D113" s="1833"/>
      <c r="E113" s="1833"/>
      <c r="F113" s="1833"/>
      <c r="G113" s="1833"/>
      <c r="H113" s="1833"/>
      <c r="I113" s="1833"/>
      <c r="J113" s="1833"/>
      <c r="K113" s="1833"/>
      <c r="L113" s="1833"/>
      <c r="M113" s="1833"/>
      <c r="N113" s="1833"/>
      <c r="O113" s="1833"/>
      <c r="P113" s="1833"/>
      <c r="Q113" s="1833"/>
      <c r="R113" s="1833"/>
      <c r="S113" s="1837" t="s">
        <v>1694</v>
      </c>
      <c r="T113" s="1835"/>
    </row>
    <row r="114" spans="3:20" s="1703" customFormat="1" ht="18" customHeight="1">
      <c r="C114" s="1824" t="s">
        <v>1687</v>
      </c>
      <c r="D114" s="1824"/>
      <c r="E114" s="1824"/>
      <c r="F114" s="1824"/>
      <c r="G114" s="1824"/>
      <c r="H114" s="1824"/>
      <c r="I114" s="1824"/>
      <c r="J114" s="1824"/>
      <c r="K114" s="1824"/>
      <c r="L114" s="1824"/>
      <c r="M114" s="1827">
        <v>1282.8950000000004</v>
      </c>
      <c r="N114" s="1827">
        <v>891.95199999999932</v>
      </c>
      <c r="O114" s="1827">
        <v>748.20356028199967</v>
      </c>
      <c r="P114" s="1827">
        <v>1268.2484135495033</v>
      </c>
      <c r="Q114" s="1827">
        <v>1421.7952133241088</v>
      </c>
      <c r="R114" s="1824"/>
      <c r="S114" s="1825">
        <f>SUM(M114:N114)</f>
        <v>2174.8469999999998</v>
      </c>
      <c r="T114" s="1826">
        <f>SUM(O114:Q114)</f>
        <v>3438.2471871556118</v>
      </c>
    </row>
    <row r="115" spans="3:20" s="1703" customFormat="1" ht="18" customHeight="1">
      <c r="C115" s="1824" t="s">
        <v>1688</v>
      </c>
      <c r="D115" s="1824"/>
      <c r="E115" s="1824"/>
      <c r="F115" s="1824"/>
      <c r="G115" s="1824"/>
      <c r="H115" s="1824"/>
      <c r="I115" s="1824"/>
      <c r="J115" s="1824"/>
      <c r="K115" s="1824"/>
      <c r="L115" s="1824"/>
      <c r="M115" s="1827">
        <v>208.89300000000003</v>
      </c>
      <c r="N115" s="1827">
        <v>371.7142946475924</v>
      </c>
      <c r="O115" s="1827">
        <v>481.4503199585306</v>
      </c>
      <c r="P115" s="1827">
        <v>347.20975544657085</v>
      </c>
      <c r="Q115" s="1827">
        <v>314.60405525368787</v>
      </c>
      <c r="R115" s="1824"/>
      <c r="S115" s="1825">
        <f>SUM(M115:N115)</f>
        <v>580.60729464759243</v>
      </c>
      <c r="T115" s="1826">
        <f>SUM(O115:Q115)</f>
        <v>1143.2641306587893</v>
      </c>
    </row>
    <row r="116" spans="3:20" s="1703" customFormat="1" ht="18" customHeight="1">
      <c r="C116" s="1838" t="s">
        <v>1691</v>
      </c>
      <c r="D116" s="1839"/>
      <c r="E116" s="1839"/>
      <c r="F116" s="1839"/>
      <c r="G116" s="1839"/>
      <c r="H116" s="1839"/>
      <c r="I116" s="1839"/>
      <c r="J116" s="1839"/>
      <c r="K116" s="1839"/>
      <c r="L116" s="1839"/>
      <c r="M116" s="1840">
        <f>M114/M115</f>
        <v>6.1413977490868543</v>
      </c>
      <c r="N116" s="1840">
        <f>N114/N115</f>
        <v>2.3995633550913711</v>
      </c>
      <c r="O116" s="1840">
        <f>O114/O115</f>
        <v>1.5540618196005056</v>
      </c>
      <c r="P116" s="1840">
        <f>P114/P115</f>
        <v>3.6526865782279647</v>
      </c>
      <c r="Q116" s="1840">
        <f>Q114/Q115</f>
        <v>4.5193162312469655</v>
      </c>
      <c r="R116" s="1839"/>
      <c r="S116" s="1840">
        <f>S114/S115</f>
        <v>3.7458141157528049</v>
      </c>
      <c r="T116" s="1840">
        <f>T114/T115</f>
        <v>3.0073953122052135</v>
      </c>
    </row>
    <row r="117" spans="3:20" s="1703" customFormat="1" ht="18" customHeight="1"/>
    <row r="118" spans="3:20" s="1703" customFormat="1" ht="18" customHeight="1">
      <c r="C118" s="1824"/>
      <c r="D118" s="1824"/>
      <c r="E118" s="1824"/>
      <c r="F118" s="1824"/>
      <c r="G118" s="1824"/>
      <c r="H118" s="1824"/>
      <c r="I118" s="1824"/>
      <c r="J118" s="1824"/>
      <c r="K118" s="1824"/>
      <c r="L118" s="1824"/>
      <c r="M118" s="1824"/>
      <c r="N118" s="1824"/>
      <c r="O118" s="1824"/>
      <c r="P118" s="1824"/>
      <c r="Q118" s="1824"/>
      <c r="R118" s="1824"/>
      <c r="S118" s="1825"/>
      <c r="T118" s="1824"/>
    </row>
    <row r="119" spans="3:20">
      <c r="C119" s="955"/>
      <c r="D119" s="955"/>
      <c r="E119" s="955"/>
      <c r="F119" s="955"/>
      <c r="G119" s="955"/>
      <c r="H119" s="955"/>
      <c r="I119" s="955"/>
      <c r="J119" s="955"/>
      <c r="K119" s="955"/>
      <c r="L119" s="955"/>
      <c r="M119" s="955"/>
      <c r="N119" s="955"/>
      <c r="O119" s="955"/>
      <c r="P119" s="955"/>
      <c r="Q119" s="955"/>
      <c r="R119" s="955"/>
      <c r="S119" s="1742"/>
      <c r="T119" s="955"/>
    </row>
    <row r="120" spans="3:20">
      <c r="C120" s="955"/>
      <c r="D120" s="955"/>
      <c r="E120" s="955"/>
      <c r="F120" s="955"/>
      <c r="G120" s="955"/>
      <c r="H120" s="955"/>
      <c r="I120" s="955"/>
      <c r="J120" s="955"/>
      <c r="K120" s="955"/>
      <c r="L120" s="955"/>
      <c r="M120" s="955"/>
      <c r="N120" s="955"/>
      <c r="O120" s="955"/>
      <c r="P120" s="955"/>
      <c r="Q120" s="955"/>
      <c r="R120" s="955"/>
      <c r="S120" s="1742"/>
      <c r="T120" s="955"/>
    </row>
    <row r="121" spans="3:20">
      <c r="C121" t="s">
        <v>1691</v>
      </c>
    </row>
    <row r="122" spans="3:20">
      <c r="I122" t="s">
        <v>1698</v>
      </c>
      <c r="J122" t="s">
        <v>1699</v>
      </c>
    </row>
    <row r="123" spans="3:20">
      <c r="C123" t="s">
        <v>1697</v>
      </c>
      <c r="I123" s="1842">
        <f>S106</f>
        <v>7.447651981313844</v>
      </c>
      <c r="J123" s="1842">
        <f>T106</f>
        <v>7.0116864501948051</v>
      </c>
    </row>
    <row r="124" spans="3:20">
      <c r="C124" t="s">
        <v>1689</v>
      </c>
      <c r="I124" s="1842">
        <f>S111</f>
        <v>5.7295911818575735</v>
      </c>
      <c r="J124" s="1842">
        <f>T111</f>
        <v>8.7014623000322295</v>
      </c>
    </row>
    <row r="125" spans="3:20">
      <c r="C125" t="s">
        <v>1696</v>
      </c>
      <c r="I125" s="1842">
        <f>S116</f>
        <v>3.7458141157528049</v>
      </c>
      <c r="J125" s="1842">
        <f>T116</f>
        <v>3.0073953122052135</v>
      </c>
    </row>
    <row r="142" spans="3:11">
      <c r="C142" t="s">
        <v>1777</v>
      </c>
      <c r="I142" t="s">
        <v>1781</v>
      </c>
      <c r="J142" s="2080">
        <v>45717</v>
      </c>
      <c r="K142" s="2080">
        <v>45778</v>
      </c>
    </row>
    <row r="143" spans="3:11">
      <c r="C143" t="s">
        <v>1778</v>
      </c>
      <c r="I143" s="1689">
        <f>J143/(1+130%)</f>
        <v>30.434782608695656</v>
      </c>
      <c r="J143" s="1400">
        <v>70</v>
      </c>
      <c r="K143" s="1400">
        <v>51</v>
      </c>
    </row>
    <row r="144" spans="3:11">
      <c r="C144" t="s">
        <v>1780</v>
      </c>
      <c r="I144" s="1400"/>
      <c r="J144" s="1400">
        <v>800</v>
      </c>
      <c r="K144" s="1400">
        <v>1500</v>
      </c>
    </row>
    <row r="145" spans="3:11">
      <c r="C145" t="s">
        <v>1779</v>
      </c>
      <c r="J145" s="1400">
        <f>J143*1000/J144</f>
        <v>87.5</v>
      </c>
      <c r="K145" s="1400">
        <f>K143*1000/K144</f>
        <v>34</v>
      </c>
    </row>
  </sheetData>
  <pageMargins left="0.7" right="0.7" top="0.75" bottom="0.75" header="0.3" footer="0.3"/>
  <pageSetup paperSize="0" orientation="portrait" r:id="rId1"/>
  <customProperties>
    <customPr name="Qube.Worksheet.Visibility" r:id="rId2"/>
  </customPropertie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9">
    <tabColor rgb="FFA5A5A5"/>
    <pageSetUpPr fitToPage="1"/>
  </sheetPr>
  <dimension ref="A1:P84"/>
  <sheetViews>
    <sheetView zoomScale="85" zoomScaleNormal="85" workbookViewId="0">
      <selection activeCell="N56" sqref="N56"/>
    </sheetView>
  </sheetViews>
  <sheetFormatPr defaultColWidth="8.5" defaultRowHeight="12.75" outlineLevelRow="1" outlineLevelCol="1"/>
  <cols>
    <col min="1" max="1" width="40" style="423" customWidth="1"/>
    <col min="2" max="2" width="22.5" style="423" hidden="1" customWidth="1" outlineLevel="1"/>
    <col min="3" max="3" width="9" style="422" hidden="1" customWidth="1" outlineLevel="1"/>
    <col min="4" max="4" width="9" style="423" customWidth="1" collapsed="1"/>
    <col min="5" max="25" width="9" style="423" customWidth="1"/>
    <col min="26" max="16384" width="8.5" style="423"/>
  </cols>
  <sheetData>
    <row r="1" spans="1:14">
      <c r="A1" s="481" t="s">
        <v>656</v>
      </c>
      <c r="B1" s="481"/>
    </row>
    <row r="2" spans="1:14">
      <c r="A2" s="481" t="s">
        <v>655</v>
      </c>
      <c r="B2" s="481" t="s">
        <v>943</v>
      </c>
    </row>
    <row r="3" spans="1:14">
      <c r="A3" s="481" t="s">
        <v>978</v>
      </c>
      <c r="B3" s="481">
        <v>8.77</v>
      </c>
    </row>
    <row r="4" spans="1:14" hidden="1" outlineLevel="1">
      <c r="A4" s="424"/>
      <c r="B4" s="425"/>
    </row>
    <row r="5" spans="1:14" hidden="1" outlineLevel="1">
      <c r="A5" s="424"/>
      <c r="B5" s="424"/>
    </row>
    <row r="6" spans="1:14" hidden="1" outlineLevel="1">
      <c r="A6" s="408"/>
      <c r="B6" s="424"/>
    </row>
    <row r="7" spans="1:14" hidden="1" outlineLevel="1">
      <c r="A7" s="408"/>
      <c r="B7" s="424"/>
    </row>
    <row r="8" spans="1:14" hidden="1" outlineLevel="1">
      <c r="B8" s="424"/>
    </row>
    <row r="9" spans="1:14" hidden="1" outlineLevel="1">
      <c r="A9" s="424"/>
      <c r="B9" s="424"/>
    </row>
    <row r="10" spans="1:14" hidden="1" outlineLevel="1">
      <c r="A10" s="424"/>
      <c r="B10" s="424"/>
    </row>
    <row r="11" spans="1:14" s="426" customFormat="1" collapsed="1">
      <c r="A11" s="426" t="s">
        <v>1105</v>
      </c>
      <c r="B11" s="427"/>
      <c r="C11" s="428">
        <v>2017</v>
      </c>
      <c r="D11" s="428">
        <v>2018</v>
      </c>
      <c r="E11" s="428">
        <v>2019</v>
      </c>
      <c r="F11" s="428">
        <v>2020</v>
      </c>
      <c r="G11" s="429">
        <v>2021</v>
      </c>
      <c r="H11" s="429">
        <v>2022</v>
      </c>
      <c r="I11" s="429">
        <v>2023</v>
      </c>
      <c r="J11" s="428" t="s">
        <v>1070</v>
      </c>
      <c r="K11" s="428" t="s">
        <v>1071</v>
      </c>
      <c r="L11" s="428" t="s">
        <v>1096</v>
      </c>
      <c r="M11" s="428" t="s">
        <v>1401</v>
      </c>
      <c r="N11" s="428" t="s">
        <v>1551</v>
      </c>
    </row>
    <row r="12" spans="1:14" s="426" customFormat="1">
      <c r="A12" s="426" t="str">
        <f>_xll.QueryTool.Functions.GQRef($A$11, "COMPANY_NAME", "ENG")</f>
        <v>Error: RTD method of WorksheetFunction class failed</v>
      </c>
      <c r="B12" s="427" t="s">
        <v>578</v>
      </c>
      <c r="C12" s="429">
        <v>2017</v>
      </c>
      <c r="D12" s="429">
        <v>2018</v>
      </c>
      <c r="E12" s="429">
        <v>2019</v>
      </c>
      <c r="F12" s="429">
        <v>2020</v>
      </c>
      <c r="G12" s="429">
        <v>2021</v>
      </c>
      <c r="H12" s="429">
        <v>2022</v>
      </c>
      <c r="I12" s="429">
        <v>2023</v>
      </c>
      <c r="J12" s="429">
        <v>2024</v>
      </c>
      <c r="K12" s="429">
        <v>2025</v>
      </c>
      <c r="L12" s="429">
        <v>2026</v>
      </c>
      <c r="M12" s="429">
        <v>2027</v>
      </c>
      <c r="N12" s="429">
        <v>2028</v>
      </c>
    </row>
    <row r="13" spans="1:14">
      <c r="D13" s="422"/>
    </row>
    <row r="14" spans="1:14">
      <c r="A14" s="430" t="s">
        <v>857</v>
      </c>
      <c r="B14" s="423" t="s">
        <v>577</v>
      </c>
      <c r="C14" s="431">
        <f>+Model!C204</f>
        <v>189.7081</v>
      </c>
      <c r="D14" s="431">
        <f>+Model!D204</f>
        <v>194.93967529</v>
      </c>
      <c r="E14" s="431">
        <f>+Model!E204</f>
        <v>1210.98143514</v>
      </c>
      <c r="F14" s="431">
        <f>+Model!F204</f>
        <v>1340.3631529700001</v>
      </c>
      <c r="G14" s="431">
        <f>+Model!G204</f>
        <v>2076.84403767</v>
      </c>
      <c r="H14" s="431">
        <f>+Model!H204</f>
        <v>2026.1051407299999</v>
      </c>
      <c r="I14" s="431">
        <f>+Model!I204</f>
        <v>3281.2696526500004</v>
      </c>
      <c r="J14" s="431">
        <f>+Model!J204</f>
        <v>5789.4085085400002</v>
      </c>
      <c r="K14" s="431">
        <f>+Model!K204</f>
        <v>5614.921295616351</v>
      </c>
      <c r="L14" s="431">
        <f>+Model!L204</f>
        <v>6650.4638669790065</v>
      </c>
      <c r="M14" s="431">
        <f>+Model!M204</f>
        <v>7998.9832318615418</v>
      </c>
      <c r="N14" s="431" t="e">
        <f>+Model!#REF!</f>
        <v>#REF!</v>
      </c>
    </row>
    <row r="15" spans="1:14">
      <c r="A15" s="432" t="s">
        <v>944</v>
      </c>
      <c r="B15" s="423" t="s">
        <v>576</v>
      </c>
      <c r="C15" s="431">
        <f>+Model!C199</f>
        <v>0</v>
      </c>
      <c r="D15" s="431">
        <f>+Model!D199</f>
        <v>-127.01673963999998</v>
      </c>
      <c r="E15" s="431">
        <f>+Model!E199</f>
        <v>502.14020312999997</v>
      </c>
      <c r="F15" s="431">
        <f>+Model!F199</f>
        <v>436.82209419000003</v>
      </c>
      <c r="G15" s="431">
        <f>+Model!G199</f>
        <v>846.89247410999997</v>
      </c>
      <c r="H15" s="431">
        <f>+Model!H199</f>
        <v>521.07324502000006</v>
      </c>
      <c r="I15" s="431">
        <f>+Model!I199</f>
        <v>1114.53539905</v>
      </c>
      <c r="J15" s="431">
        <f>+Model!J199</f>
        <v>2455.2016369199996</v>
      </c>
      <c r="K15" s="431">
        <f>+Model!K199</f>
        <v>636.13752299532587</v>
      </c>
      <c r="L15" s="431">
        <f>+Model!L199</f>
        <v>488.96823288230655</v>
      </c>
      <c r="M15" s="431">
        <f>+Model!M199</f>
        <v>511.15127852292426</v>
      </c>
      <c r="N15" s="431" t="e">
        <f>+Model!#REF!</f>
        <v>#REF!</v>
      </c>
    </row>
    <row r="16" spans="1:14" s="434" customFormat="1">
      <c r="A16" s="433" t="s">
        <v>945</v>
      </c>
      <c r="B16" s="434" t="s">
        <v>575</v>
      </c>
      <c r="C16" s="435">
        <f t="shared" ref="C16:N16" si="0">1-0.25</f>
        <v>0.75</v>
      </c>
      <c r="D16" s="435">
        <f t="shared" si="0"/>
        <v>0.75</v>
      </c>
      <c r="E16" s="435">
        <f t="shared" si="0"/>
        <v>0.75</v>
      </c>
      <c r="F16" s="435">
        <f t="shared" si="0"/>
        <v>0.75</v>
      </c>
      <c r="G16" s="435">
        <f t="shared" si="0"/>
        <v>0.75</v>
      </c>
      <c r="H16" s="435">
        <f t="shared" si="0"/>
        <v>0.75</v>
      </c>
      <c r="I16" s="435">
        <f t="shared" si="0"/>
        <v>0.75</v>
      </c>
      <c r="J16" s="435">
        <f t="shared" si="0"/>
        <v>0.75</v>
      </c>
      <c r="K16" s="435">
        <f t="shared" si="0"/>
        <v>0.75</v>
      </c>
      <c r="L16" s="435">
        <f t="shared" si="0"/>
        <v>0.75</v>
      </c>
      <c r="M16" s="435">
        <f t="shared" si="0"/>
        <v>0.75</v>
      </c>
      <c r="N16" s="435">
        <f t="shared" si="0"/>
        <v>0.75</v>
      </c>
    </row>
    <row r="17" spans="1:14">
      <c r="A17" s="432" t="s">
        <v>946</v>
      </c>
      <c r="B17" s="423" t="s">
        <v>574</v>
      </c>
      <c r="C17" s="431">
        <f>+Model!C38</f>
        <v>-10.454000000000001</v>
      </c>
      <c r="D17" s="431">
        <f>+Model!D38</f>
        <v>-5.0820752200000001</v>
      </c>
      <c r="E17" s="431">
        <f>+Model!E38</f>
        <v>13.965657160000001</v>
      </c>
      <c r="F17" s="431">
        <f>+Model!F38</f>
        <v>15.930939990000001</v>
      </c>
      <c r="G17" s="431">
        <f>+Model!G38</f>
        <v>11.39395732</v>
      </c>
      <c r="H17" s="431">
        <f>+Model!H38</f>
        <v>-41.039483529999998</v>
      </c>
      <c r="I17" s="431">
        <f>+Model!I38</f>
        <v>-2.28561682</v>
      </c>
      <c r="J17" s="431">
        <f>+Model!J38</f>
        <v>190.5357315</v>
      </c>
      <c r="K17" s="431">
        <f>+Model!K38</f>
        <v>139.04710740294567</v>
      </c>
      <c r="L17" s="431">
        <f>+Model!L38</f>
        <v>191.45247511645945</v>
      </c>
      <c r="M17" s="431">
        <f>+Model!M38</f>
        <v>208.22261531516895</v>
      </c>
      <c r="N17" s="431" t="e">
        <f>+Model!#REF!</f>
        <v>#REF!</v>
      </c>
    </row>
    <row r="18" spans="1:14">
      <c r="A18" s="432"/>
      <c r="B18" s="436" t="s">
        <v>573</v>
      </c>
      <c r="C18" s="431"/>
      <c r="D18" s="431"/>
      <c r="E18" s="431"/>
      <c r="F18" s="431"/>
      <c r="G18" s="431"/>
      <c r="H18" s="431"/>
      <c r="I18" s="431"/>
      <c r="J18" s="431"/>
      <c r="K18" s="431"/>
      <c r="L18" s="431"/>
      <c r="M18" s="431"/>
      <c r="N18" s="431"/>
    </row>
    <row r="19" spans="1:14">
      <c r="A19" s="432" t="s">
        <v>947</v>
      </c>
      <c r="B19" s="436" t="s">
        <v>572</v>
      </c>
      <c r="C19" s="431">
        <f>-Model!C195-Model!C180*2%</f>
        <v>0.67141399999999973</v>
      </c>
      <c r="D19" s="431">
        <f>-Model!D195</f>
        <v>0</v>
      </c>
      <c r="E19" s="431">
        <f>-Model!E195</f>
        <v>0</v>
      </c>
      <c r="F19" s="431">
        <f>-Model!F195</f>
        <v>0</v>
      </c>
      <c r="G19" s="431">
        <f>-Model!G195</f>
        <v>0</v>
      </c>
      <c r="H19" s="431">
        <f>-Model!H195</f>
        <v>0</v>
      </c>
      <c r="I19" s="431">
        <f>-Model!I195</f>
        <v>0</v>
      </c>
      <c r="J19" s="431">
        <f>-Model!J195</f>
        <v>0.27984775000000001</v>
      </c>
      <c r="K19" s="431">
        <f>-Model!K195</f>
        <v>0.27984775000000001</v>
      </c>
      <c r="L19" s="431">
        <f>-Model!L195</f>
        <v>0.27984775000000001</v>
      </c>
      <c r="M19" s="431">
        <f>-Model!M195</f>
        <v>0.27984775000000001</v>
      </c>
      <c r="N19" s="431" t="e">
        <f>-Model!#REF!</f>
        <v>#REF!</v>
      </c>
    </row>
    <row r="20" spans="1:14">
      <c r="A20" s="432"/>
      <c r="C20" s="431"/>
      <c r="D20" s="431"/>
      <c r="E20" s="431"/>
      <c r="F20" s="431"/>
      <c r="G20" s="431"/>
      <c r="H20" s="431"/>
      <c r="I20" s="431"/>
      <c r="J20" s="431"/>
      <c r="K20" s="431"/>
      <c r="L20" s="431"/>
      <c r="M20" s="431"/>
      <c r="N20" s="431"/>
    </row>
    <row r="21" spans="1:14">
      <c r="A21" s="437" t="s">
        <v>948</v>
      </c>
      <c r="B21" s="438" t="s">
        <v>554</v>
      </c>
      <c r="C21" s="439">
        <f>IFERROR(((C14-C15)-(C16*C17))-(C18*C16)+C19,"")</f>
        <v>198.22001399999999</v>
      </c>
      <c r="D21" s="439">
        <f>IFERROR(((D14-D15)-(D16*D17))-(D18*D16)+D19,"")</f>
        <v>325.76797134499998</v>
      </c>
      <c r="E21" s="439">
        <f>IFERROR(((E14-E15)-(E16*E17))-(E18*E16)+E19,"")</f>
        <v>698.3669891400001</v>
      </c>
      <c r="F21" s="439">
        <f t="shared" ref="F21:K21" si="1">IFERROR(((F14-F15)-(F16*F17))-(F18*F16)+F19,"")</f>
        <v>891.59285378750008</v>
      </c>
      <c r="G21" s="439">
        <f t="shared" si="1"/>
        <v>1221.4060955700002</v>
      </c>
      <c r="H21" s="439">
        <f t="shared" si="1"/>
        <v>1535.8115083574999</v>
      </c>
      <c r="I21" s="439">
        <f t="shared" si="1"/>
        <v>2168.4484662150007</v>
      </c>
      <c r="J21" s="439">
        <f t="shared" si="1"/>
        <v>3191.5849207450005</v>
      </c>
      <c r="K21" s="439">
        <f t="shared" si="1"/>
        <v>4874.7782898188161</v>
      </c>
      <c r="L21" s="439">
        <f>IFERROR(((L14-L15)-(L16*L17))-(L18*L16)+L19,"")</f>
        <v>6018.1861255093554</v>
      </c>
      <c r="M21" s="439">
        <f>IFERROR(((M14-M15)-(M16*M17))-(M18*M16)+M19,"")</f>
        <v>7331.9448396022408</v>
      </c>
      <c r="N21" s="439" t="str">
        <f>IFERROR(((N14-N15)-(N16*N17))-(N18*N16)+N19,"")</f>
        <v/>
      </c>
    </row>
    <row r="22" spans="1:14" ht="19.5" customHeight="1" outlineLevel="1">
      <c r="A22" s="440" t="s">
        <v>948</v>
      </c>
      <c r="B22" s="441" t="s">
        <v>68</v>
      </c>
      <c r="C22" s="442" t="s">
        <v>1811</v>
      </c>
      <c r="D22" s="442" t="s">
        <v>1811</v>
      </c>
      <c r="E22" s="442" t="s">
        <v>1811</v>
      </c>
      <c r="F22" s="442" t="s">
        <v>1811</v>
      </c>
      <c r="G22" s="442" t="s">
        <v>1811</v>
      </c>
      <c r="H22" s="442" t="s">
        <v>1811</v>
      </c>
      <c r="I22" s="442" t="s">
        <v>1811</v>
      </c>
      <c r="J22" s="442" t="s">
        <v>1811</v>
      </c>
      <c r="K22" s="442" t="s">
        <v>1811</v>
      </c>
      <c r="L22" s="442" t="s">
        <v>1811</v>
      </c>
      <c r="M22" s="442" t="s">
        <v>1811</v>
      </c>
      <c r="N22" s="442" t="s">
        <v>1811</v>
      </c>
    </row>
    <row r="23" spans="1:14" outlineLevel="1">
      <c r="A23" s="440" t="s">
        <v>949</v>
      </c>
      <c r="B23" s="441"/>
      <c r="C23" s="442">
        <f>+Model!C30+Model!C53</f>
        <v>286.65490000000005</v>
      </c>
      <c r="D23" s="442">
        <f>+Model!D30+Model!D53</f>
        <v>268.8361498700001</v>
      </c>
      <c r="E23" s="442">
        <f>+Model!E30+Model!E53</f>
        <v>647.08664176000013</v>
      </c>
      <c r="F23" s="442">
        <f>+Model!F30+Model!F53</f>
        <v>918.08539945000041</v>
      </c>
      <c r="G23" s="442">
        <f>+Model!G30+Model!G53</f>
        <v>1337.0626991699996</v>
      </c>
      <c r="H23" s="442">
        <f>+Model!H30+Model!H53</f>
        <v>1599.6152261299994</v>
      </c>
      <c r="I23" s="442">
        <f>+Model!I30+Model!I53</f>
        <v>2093.6940045600008</v>
      </c>
      <c r="J23" s="442">
        <f>+Model!J30+Model!J53</f>
        <v>3362.2522626100017</v>
      </c>
      <c r="K23" s="442">
        <f>+Model!K30+Model!K53</f>
        <v>4675.3446527880797</v>
      </c>
      <c r="L23" s="442">
        <f>+Model!L30+Model!L53</f>
        <v>5814.6511465502399</v>
      </c>
      <c r="M23" s="442">
        <f>+Model!M30+Model!M53</f>
        <v>7131.8173255934498</v>
      </c>
      <c r="N23" s="442" t="e">
        <f>+Model!#REF!+Model!#REF!</f>
        <v>#REF!</v>
      </c>
    </row>
    <row r="24" spans="1:14" s="446" customFormat="1">
      <c r="A24" s="443"/>
      <c r="B24" s="444"/>
      <c r="C24" s="445">
        <f>C21-C23</f>
        <v>-88.434886000000063</v>
      </c>
      <c r="D24" s="445">
        <f>D21-D23</f>
        <v>56.931821474999879</v>
      </c>
      <c r="E24" s="445">
        <f>E21-E23</f>
        <v>51.280347379999967</v>
      </c>
      <c r="F24" s="445">
        <f t="shared" ref="F24:K24" si="2">F21-F23</f>
        <v>-26.492545662500333</v>
      </c>
      <c r="G24" s="445">
        <f t="shared" si="2"/>
        <v>-115.65660359999947</v>
      </c>
      <c r="H24" s="445">
        <f t="shared" si="2"/>
        <v>-63.803717772499567</v>
      </c>
      <c r="I24" s="445">
        <f t="shared" si="2"/>
        <v>74.754461654999886</v>
      </c>
      <c r="J24" s="445">
        <f t="shared" si="2"/>
        <v>-170.66734186500116</v>
      </c>
      <c r="K24" s="445">
        <f t="shared" si="2"/>
        <v>199.43363703073646</v>
      </c>
      <c r="L24" s="445">
        <f>L21-L23</f>
        <v>203.53497895911551</v>
      </c>
      <c r="M24" s="445">
        <f>M21-M23</f>
        <v>200.12751400879097</v>
      </c>
      <c r="N24" s="445" t="e">
        <f>N21-N23</f>
        <v>#VALUE!</v>
      </c>
    </row>
    <row r="25" spans="1:14" s="446" customFormat="1">
      <c r="A25" s="443"/>
      <c r="B25" s="444"/>
      <c r="C25" s="447" t="e">
        <f>C21-C22</f>
        <v>#VALUE!</v>
      </c>
      <c r="D25" s="447" t="e">
        <f t="shared" ref="D25:I25" si="3">D21-D22</f>
        <v>#VALUE!</v>
      </c>
      <c r="E25" s="448" t="e">
        <f t="shared" si="3"/>
        <v>#VALUE!</v>
      </c>
      <c r="F25" s="448" t="e">
        <f t="shared" si="3"/>
        <v>#VALUE!</v>
      </c>
      <c r="G25" s="448" t="e">
        <f t="shared" si="3"/>
        <v>#VALUE!</v>
      </c>
      <c r="H25" s="448" t="e">
        <f t="shared" si="3"/>
        <v>#VALUE!</v>
      </c>
      <c r="I25" s="448" t="e">
        <f t="shared" si="3"/>
        <v>#VALUE!</v>
      </c>
      <c r="J25" s="448" t="e">
        <f>J21-J22</f>
        <v>#VALUE!</v>
      </c>
      <c r="K25" s="448" t="e">
        <f>K21-K22</f>
        <v>#VALUE!</v>
      </c>
      <c r="L25" s="448" t="e">
        <f>L21-L22</f>
        <v>#VALUE!</v>
      </c>
      <c r="M25" s="448" t="e">
        <f>M21-M22</f>
        <v>#VALUE!</v>
      </c>
      <c r="N25" s="448" t="e">
        <f>N21-N22</f>
        <v>#VALUE!</v>
      </c>
    </row>
    <row r="26" spans="1:14">
      <c r="A26" s="449" t="s">
        <v>950</v>
      </c>
      <c r="B26" s="441"/>
      <c r="C26" s="450">
        <f>+Model!C30+Model!C53</f>
        <v>286.65490000000005</v>
      </c>
      <c r="D26" s="450">
        <f>+Model!D30+Model!D53</f>
        <v>268.8361498700001</v>
      </c>
      <c r="E26" s="450">
        <f>+Model!E30+Model!E53</f>
        <v>647.08664176000013</v>
      </c>
      <c r="F26" s="450">
        <f>+Model!F30+Model!F53</f>
        <v>918.08539945000041</v>
      </c>
      <c r="G26" s="450">
        <f>+Model!G30+Model!G53</f>
        <v>1337.0626991699996</v>
      </c>
      <c r="H26" s="450">
        <f>+Model!H30+Model!H53</f>
        <v>1599.6152261299994</v>
      </c>
      <c r="I26" s="450">
        <f>+Model!I30+Model!I53</f>
        <v>2093.6940045600008</v>
      </c>
      <c r="J26" s="450">
        <f>+Model!J30+Model!J53</f>
        <v>3362.2522626100017</v>
      </c>
      <c r="K26" s="450">
        <f>+Model!K30+Model!K53</f>
        <v>4675.3446527880797</v>
      </c>
      <c r="L26" s="450">
        <f>+Model!L30+Model!L53</f>
        <v>5814.6511465502399</v>
      </c>
      <c r="M26" s="450">
        <f>+Model!M30+Model!M53</f>
        <v>7131.8173255934498</v>
      </c>
      <c r="N26" s="450" t="e">
        <f>+Model!#REF!+Model!#REF!</f>
        <v>#REF!</v>
      </c>
    </row>
    <row r="27" spans="1:14">
      <c r="C27" s="431"/>
      <c r="D27" s="431"/>
      <c r="E27" s="431"/>
      <c r="F27" s="431"/>
      <c r="G27" s="431"/>
      <c r="H27" s="431"/>
      <c r="I27" s="431"/>
      <c r="J27" s="431"/>
      <c r="K27" s="431"/>
      <c r="L27" s="431"/>
      <c r="M27" s="431"/>
      <c r="N27" s="431"/>
    </row>
    <row r="28" spans="1:14">
      <c r="A28" s="430" t="s">
        <v>571</v>
      </c>
      <c r="B28" s="423" t="s">
        <v>570</v>
      </c>
      <c r="C28" s="431"/>
      <c r="D28" s="431"/>
      <c r="E28" s="431"/>
      <c r="F28" s="431"/>
      <c r="G28" s="431"/>
      <c r="H28" s="431"/>
      <c r="I28" s="431"/>
      <c r="J28" s="431"/>
      <c r="K28" s="431"/>
      <c r="L28" s="431"/>
      <c r="M28" s="431"/>
      <c r="N28" s="431"/>
    </row>
    <row r="29" spans="1:14">
      <c r="A29" s="432" t="s">
        <v>853</v>
      </c>
      <c r="B29" s="423" t="s">
        <v>569</v>
      </c>
      <c r="C29" s="431">
        <f>+Capex!D20</f>
        <v>773.91329999999994</v>
      </c>
      <c r="D29" s="431">
        <f>+Capex!E20</f>
        <v>1388.68094763</v>
      </c>
      <c r="E29" s="431">
        <f>+Capex!F20</f>
        <v>1771.8870247699999</v>
      </c>
      <c r="F29" s="431">
        <f>+Capex!G20</f>
        <v>2358.3655599600002</v>
      </c>
      <c r="G29" s="431">
        <f>+Capex!H20</f>
        <v>2751.3717454600001</v>
      </c>
      <c r="H29" s="431">
        <f>+Capex!I20</f>
        <v>3611.6571226800002</v>
      </c>
      <c r="I29" s="431">
        <f>+Capex!J20</f>
        <v>4386.0620579699998</v>
      </c>
      <c r="J29" s="431">
        <f>+Capex!K20</f>
        <v>5624.20797631</v>
      </c>
      <c r="K29" s="431">
        <f>+Capex!L20</f>
        <v>7723.3990266771525</v>
      </c>
      <c r="L29" s="431">
        <f>+Capex!M20</f>
        <v>10263.749873096231</v>
      </c>
      <c r="M29" s="431">
        <f>+Capex!N20</f>
        <v>13242.948532280712</v>
      </c>
      <c r="N29" s="431" t="e">
        <f>+Capex!O20</f>
        <v>#REF!</v>
      </c>
    </row>
    <row r="30" spans="1:14">
      <c r="A30" s="432" t="s">
        <v>854</v>
      </c>
      <c r="B30" s="423" t="s">
        <v>568</v>
      </c>
      <c r="C30" s="431">
        <f>+Capex!D29</f>
        <v>158.21</v>
      </c>
      <c r="D30" s="431">
        <f>+Capex!E29</f>
        <v>154.96627644</v>
      </c>
      <c r="E30" s="431">
        <f>+Capex!F29</f>
        <v>163.55302633000002</v>
      </c>
      <c r="F30" s="431">
        <f>+Capex!G29</f>
        <v>265.46069978999998</v>
      </c>
      <c r="G30" s="431">
        <f>+Capex!H29</f>
        <v>360.35716041000001</v>
      </c>
      <c r="H30" s="431">
        <f>+Capex!I29</f>
        <v>406.38188984000004</v>
      </c>
      <c r="I30" s="431">
        <f>+Capex!J29</f>
        <v>543.90918796000005</v>
      </c>
      <c r="J30" s="431">
        <f>+Capex!K29</f>
        <v>819.81633613999998</v>
      </c>
      <c r="K30" s="431">
        <f>+Capex!L29</f>
        <v>1164.4960175367123</v>
      </c>
      <c r="L30" s="431">
        <f>+Capex!M29</f>
        <v>1556.2090550993594</v>
      </c>
      <c r="M30" s="431">
        <f>+Capex!N29</f>
        <v>1985.7988731652172</v>
      </c>
      <c r="N30" s="431" t="e">
        <f>+Capex!O29</f>
        <v>#REF!</v>
      </c>
    </row>
    <row r="31" spans="1:14">
      <c r="A31" s="432"/>
      <c r="C31" s="431"/>
      <c r="D31" s="431"/>
      <c r="E31" s="431"/>
      <c r="F31" s="431"/>
      <c r="G31" s="431"/>
      <c r="H31" s="431"/>
      <c r="I31" s="431"/>
      <c r="J31" s="431"/>
      <c r="K31" s="431"/>
      <c r="L31" s="431"/>
      <c r="M31" s="431"/>
      <c r="N31" s="431"/>
    </row>
    <row r="32" spans="1:14">
      <c r="C32" s="431"/>
      <c r="D32" s="431"/>
      <c r="E32" s="431"/>
      <c r="F32" s="431"/>
      <c r="G32" s="431"/>
      <c r="H32" s="431"/>
      <c r="I32" s="431"/>
      <c r="J32" s="431"/>
      <c r="K32" s="431"/>
      <c r="L32" s="431"/>
      <c r="M32" s="431"/>
      <c r="N32" s="431"/>
    </row>
    <row r="33" spans="1:14">
      <c r="A33" s="437"/>
      <c r="B33" s="438"/>
      <c r="C33" s="439">
        <f>SUM(C29:C32)</f>
        <v>932.12329999999997</v>
      </c>
      <c r="D33" s="439">
        <f>SUM(D29:D32)</f>
        <v>1543.64722407</v>
      </c>
      <c r="E33" s="439">
        <f>SUM(E29:E32)</f>
        <v>1935.4400510999999</v>
      </c>
      <c r="F33" s="439">
        <f t="shared" ref="F33:K33" si="4">SUM(F29:F32)</f>
        <v>2623.8262597500002</v>
      </c>
      <c r="G33" s="439">
        <f t="shared" si="4"/>
        <v>3111.7289058699998</v>
      </c>
      <c r="H33" s="439">
        <f t="shared" si="4"/>
        <v>4018.0390125200001</v>
      </c>
      <c r="I33" s="439">
        <f t="shared" si="4"/>
        <v>4929.9712459299999</v>
      </c>
      <c r="J33" s="439">
        <f t="shared" si="4"/>
        <v>6444.0243124500003</v>
      </c>
      <c r="K33" s="439">
        <f t="shared" si="4"/>
        <v>8887.8950442138648</v>
      </c>
      <c r="L33" s="439">
        <f>SUM(L29:L32)</f>
        <v>11819.95892819559</v>
      </c>
      <c r="M33" s="439">
        <f>SUM(M29:M32)</f>
        <v>15228.747405445929</v>
      </c>
      <c r="N33" s="439" t="e">
        <f>SUM(N29:N32)</f>
        <v>#REF!</v>
      </c>
    </row>
    <row r="34" spans="1:14">
      <c r="A34" s="432"/>
      <c r="C34" s="431"/>
      <c r="D34" s="431"/>
      <c r="E34" s="431"/>
      <c r="F34" s="431"/>
      <c r="G34" s="431"/>
      <c r="H34" s="431"/>
      <c r="I34" s="431"/>
      <c r="J34" s="431"/>
      <c r="K34" s="431"/>
      <c r="L34" s="431"/>
      <c r="M34" s="431"/>
      <c r="N34" s="431"/>
    </row>
    <row r="35" spans="1:14">
      <c r="A35" s="430" t="s">
        <v>567</v>
      </c>
      <c r="C35" s="431"/>
      <c r="D35" s="431"/>
      <c r="E35" s="431"/>
      <c r="F35" s="431"/>
      <c r="G35" s="431"/>
      <c r="H35" s="431"/>
      <c r="I35" s="431"/>
      <c r="J35" s="431"/>
      <c r="K35" s="431"/>
      <c r="L35" s="431"/>
      <c r="M35" s="431"/>
      <c r="N35" s="431"/>
    </row>
    <row r="36" spans="1:14">
      <c r="A36" s="432" t="s">
        <v>61</v>
      </c>
      <c r="B36" s="423" t="s">
        <v>566</v>
      </c>
      <c r="C36" s="431">
        <f>+Model!C132</f>
        <v>134.75049999999999</v>
      </c>
      <c r="D36" s="431">
        <f>+Model!D132</f>
        <v>119.62862948</v>
      </c>
      <c r="E36" s="431">
        <f>+Model!E132</f>
        <v>214.22814141999999</v>
      </c>
      <c r="F36" s="431">
        <f>+Model!F132</f>
        <v>272.70129147</v>
      </c>
      <c r="G36" s="431">
        <f>+Model!G132</f>
        <v>340.03603963</v>
      </c>
      <c r="H36" s="431">
        <f>+Model!H132</f>
        <v>394.21987751</v>
      </c>
      <c r="I36" s="431">
        <f>+Model!I132</f>
        <v>568.60120574999996</v>
      </c>
      <c r="J36" s="431">
        <f>+Model!J132</f>
        <v>1068.08370694</v>
      </c>
      <c r="K36" s="431">
        <f>+Model!K132</f>
        <v>1412.9909079515915</v>
      </c>
      <c r="L36" s="431">
        <f>+Model!L132</f>
        <v>1679.7075294617184</v>
      </c>
      <c r="M36" s="431">
        <f>+Model!M132</f>
        <v>1957.7301646065439</v>
      </c>
      <c r="N36" s="431" t="e">
        <f>+Model!#REF!</f>
        <v>#REF!</v>
      </c>
    </row>
    <row r="37" spans="1:14">
      <c r="A37" s="432" t="s">
        <v>128</v>
      </c>
      <c r="B37" s="423" t="s">
        <v>565</v>
      </c>
      <c r="C37" s="431">
        <f>+Model!C131</f>
        <v>37.623999999999995</v>
      </c>
      <c r="D37" s="431">
        <f>+Model!D131</f>
        <v>68.890917389999998</v>
      </c>
      <c r="E37" s="431">
        <f>+Model!E131</f>
        <v>43.032292499999997</v>
      </c>
      <c r="F37" s="431">
        <f>+Model!F131</f>
        <v>27.87312988</v>
      </c>
      <c r="G37" s="431">
        <f>+Model!G131</f>
        <v>43.057332849999995</v>
      </c>
      <c r="H37" s="431">
        <f>+Model!H131</f>
        <v>40.773595880000002</v>
      </c>
      <c r="I37" s="431">
        <f>+Model!I131</f>
        <v>88.630687719999997</v>
      </c>
      <c r="J37" s="431">
        <f>+Model!J131</f>
        <v>109.74073278</v>
      </c>
      <c r="K37" s="431">
        <f>+Model!K131</f>
        <v>145.44410580401967</v>
      </c>
      <c r="L37" s="431">
        <f>+Model!L131</f>
        <v>176.01020984787672</v>
      </c>
      <c r="M37" s="431">
        <f>+Model!M131</f>
        <v>206.41612630819623</v>
      </c>
      <c r="N37" s="431" t="e">
        <f>+Model!#REF!</f>
        <v>#REF!</v>
      </c>
    </row>
    <row r="38" spans="1:14">
      <c r="A38" s="432" t="s">
        <v>951</v>
      </c>
      <c r="B38" s="423" t="s">
        <v>564</v>
      </c>
      <c r="C38" s="431">
        <f>+SUM(Model!C133)</f>
        <v>639.22500000000002</v>
      </c>
      <c r="D38" s="431">
        <f>+SUM(Model!D133)</f>
        <v>154.67212176999999</v>
      </c>
      <c r="E38" s="431">
        <f>+SUM(Model!E133)</f>
        <v>249.18382057000002</v>
      </c>
      <c r="F38" s="431">
        <f>+SUM(Model!F133)</f>
        <v>433.54905317000004</v>
      </c>
      <c r="G38" s="431">
        <f>+SUM(Model!G133)</f>
        <v>1449.3293779300002</v>
      </c>
      <c r="H38" s="431">
        <f>+SUM(Model!H133)</f>
        <v>4653.6371568699997</v>
      </c>
      <c r="I38" s="431">
        <f>+SUM(Model!I133)</f>
        <v>2053.6379249600004</v>
      </c>
      <c r="J38" s="431">
        <f>+SUM(Model!J133)</f>
        <v>5875.2498948900011</v>
      </c>
      <c r="K38" s="431">
        <f>+SUM(Model!K133)</f>
        <v>5875.2498948900011</v>
      </c>
      <c r="L38" s="431">
        <f>+SUM(Model!L133)</f>
        <v>5875.2498948900011</v>
      </c>
      <c r="M38" s="431">
        <f>+SUM(Model!M133)</f>
        <v>5875.2498948900011</v>
      </c>
      <c r="N38" s="431" t="e">
        <f>+SUM(Model!#REF!)</f>
        <v>#REF!</v>
      </c>
    </row>
    <row r="39" spans="1:14">
      <c r="A39" s="430" t="s">
        <v>952</v>
      </c>
      <c r="B39" s="423" t="s">
        <v>563</v>
      </c>
      <c r="C39" s="442"/>
      <c r="D39" s="442"/>
      <c r="E39" s="442"/>
      <c r="F39" s="442"/>
      <c r="G39" s="442"/>
      <c r="H39" s="442"/>
      <c r="I39" s="442"/>
      <c r="J39" s="442"/>
      <c r="K39" s="442"/>
      <c r="L39" s="442"/>
      <c r="M39" s="442"/>
      <c r="N39" s="442"/>
    </row>
    <row r="40" spans="1:14">
      <c r="A40" s="432" t="s">
        <v>953</v>
      </c>
      <c r="B40" s="423" t="s">
        <v>562</v>
      </c>
      <c r="C40" s="431">
        <f>+Model!C147+Model!C150</f>
        <v>1014.4001000000001</v>
      </c>
      <c r="D40" s="431">
        <f>+Model!D147</f>
        <v>316.89636641000004</v>
      </c>
      <c r="E40" s="431">
        <f>+Model!E147</f>
        <v>609.48604021000006</v>
      </c>
      <c r="F40" s="431">
        <f>+Model!F147</f>
        <v>521.59918857999992</v>
      </c>
      <c r="G40" s="431">
        <f>+Model!G147</f>
        <v>1428.9803038099999</v>
      </c>
      <c r="H40" s="431">
        <f>+Model!H147</f>
        <v>1799.2834213299998</v>
      </c>
      <c r="I40" s="431">
        <f>+Model!I147</f>
        <v>2250.59003897</v>
      </c>
      <c r="J40" s="431">
        <f>+Model!J147</f>
        <v>3148.5920656799999</v>
      </c>
      <c r="K40" s="431">
        <f>+Model!K147</f>
        <v>4165.340162710937</v>
      </c>
      <c r="L40" s="431">
        <f>+Model!L147</f>
        <v>4951.5911211472276</v>
      </c>
      <c r="M40" s="431">
        <f>+Model!M147</f>
        <v>5771.1709512752968</v>
      </c>
      <c r="N40" s="431" t="e">
        <f>+Model!#REF!</f>
        <v>#REF!</v>
      </c>
    </row>
    <row r="41" spans="1:14">
      <c r="A41" s="432"/>
      <c r="B41" s="436" t="s">
        <v>561</v>
      </c>
      <c r="C41" s="431">
        <f>+Model!C148</f>
        <v>125</v>
      </c>
      <c r="D41" s="431">
        <f>+Model!D148</f>
        <v>154.79784472999998</v>
      </c>
      <c r="E41" s="431">
        <f>+Model!E148</f>
        <v>10</v>
      </c>
      <c r="F41" s="431">
        <f>+Model!F148</f>
        <v>110</v>
      </c>
      <c r="G41" s="431">
        <f>+Model!G148</f>
        <v>623.5</v>
      </c>
      <c r="H41" s="431">
        <f>+Model!H148</f>
        <v>3181.5996330300004</v>
      </c>
      <c r="I41" s="431">
        <f>+Model!I148</f>
        <v>2995.7055691300002</v>
      </c>
      <c r="J41" s="431">
        <f>+Model!J148</f>
        <v>6551.3369212799998</v>
      </c>
      <c r="K41" s="431">
        <f>+Model!K148</f>
        <v>6551.3369212799998</v>
      </c>
      <c r="L41" s="431">
        <f>+Model!L148</f>
        <v>6551.3369212799998</v>
      </c>
      <c r="M41" s="431">
        <f>+Model!M148</f>
        <v>6551.3369212799998</v>
      </c>
      <c r="N41" s="431" t="e">
        <f>+Model!#REF!</f>
        <v>#REF!</v>
      </c>
    </row>
    <row r="42" spans="1:14">
      <c r="A42" s="432"/>
      <c r="C42" s="431"/>
      <c r="D42" s="431"/>
      <c r="E42" s="431"/>
      <c r="F42" s="431"/>
      <c r="G42" s="431"/>
      <c r="H42" s="431"/>
      <c r="I42" s="431"/>
      <c r="J42" s="431"/>
      <c r="K42" s="431"/>
      <c r="L42" s="431"/>
      <c r="M42" s="431"/>
      <c r="N42" s="431"/>
    </row>
    <row r="43" spans="1:14">
      <c r="A43" s="449" t="s">
        <v>954</v>
      </c>
      <c r="C43" s="450">
        <f>C36+C37+C38-C40+C41</f>
        <v>-77.800600000000031</v>
      </c>
      <c r="D43" s="450">
        <f>D36+D37+D38-D40+D41</f>
        <v>181.09314695999993</v>
      </c>
      <c r="E43" s="450">
        <f t="shared" ref="E43:K43" si="5">E36+E37+E38-E40+E41</f>
        <v>-93.041785720000064</v>
      </c>
      <c r="F43" s="450">
        <f t="shared" si="5"/>
        <v>322.52428594000014</v>
      </c>
      <c r="G43" s="450">
        <f t="shared" si="5"/>
        <v>1026.9424466000003</v>
      </c>
      <c r="H43" s="450">
        <f t="shared" si="5"/>
        <v>6470.9468419599998</v>
      </c>
      <c r="I43" s="450">
        <f t="shared" si="5"/>
        <v>3455.9853485900003</v>
      </c>
      <c r="J43" s="450">
        <f t="shared" si="5"/>
        <v>10455.819190210001</v>
      </c>
      <c r="K43" s="450">
        <f t="shared" si="5"/>
        <v>9819.6816672146742</v>
      </c>
      <c r="L43" s="450">
        <f>L36+L37+L38-L40+L41</f>
        <v>9330.7134343323687</v>
      </c>
      <c r="M43" s="450">
        <f>M36+M37+M38-M40+M41</f>
        <v>8819.5621558094444</v>
      </c>
      <c r="N43" s="450" t="e">
        <f>N36+N37+N38-N40+N41</f>
        <v>#REF!</v>
      </c>
    </row>
    <row r="44" spans="1:14">
      <c r="A44" s="449" t="s">
        <v>955</v>
      </c>
      <c r="C44" s="450">
        <f>IF(C43&lt;0,0,C43)</f>
        <v>0</v>
      </c>
      <c r="D44" s="450">
        <f>IF(D43&lt;0,0,D43)</f>
        <v>181.09314695999993</v>
      </c>
      <c r="E44" s="450">
        <f t="shared" ref="E44:K44" si="6">IF(E43&lt;0,0,E43)</f>
        <v>0</v>
      </c>
      <c r="F44" s="450">
        <f t="shared" si="6"/>
        <v>322.52428594000014</v>
      </c>
      <c r="G44" s="450">
        <f t="shared" si="6"/>
        <v>1026.9424466000003</v>
      </c>
      <c r="H44" s="450">
        <f t="shared" si="6"/>
        <v>6470.9468419599998</v>
      </c>
      <c r="I44" s="450">
        <f t="shared" si="6"/>
        <v>3455.9853485900003</v>
      </c>
      <c r="J44" s="450">
        <f t="shared" si="6"/>
        <v>10455.819190210001</v>
      </c>
      <c r="K44" s="450">
        <f t="shared" si="6"/>
        <v>9819.6816672146742</v>
      </c>
      <c r="L44" s="450">
        <f>IF(L43&lt;0,0,L43)</f>
        <v>9330.7134343323687</v>
      </c>
      <c r="M44" s="450">
        <f>IF(M43&lt;0,0,M43)</f>
        <v>8819.5621558094444</v>
      </c>
      <c r="N44" s="450" t="e">
        <f>IF(N43&lt;0,0,N43)</f>
        <v>#REF!</v>
      </c>
    </row>
    <row r="45" spans="1:14">
      <c r="A45" s="432"/>
      <c r="C45" s="431"/>
      <c r="D45" s="431"/>
      <c r="E45" s="431"/>
      <c r="F45" s="431"/>
      <c r="G45" s="431"/>
      <c r="H45" s="431"/>
      <c r="I45" s="431"/>
      <c r="J45" s="431"/>
      <c r="K45" s="431"/>
      <c r="L45" s="431"/>
      <c r="M45" s="431"/>
      <c r="N45" s="431"/>
    </row>
    <row r="46" spans="1:14">
      <c r="A46" s="430" t="s">
        <v>560</v>
      </c>
      <c r="C46" s="431"/>
      <c r="D46" s="431"/>
      <c r="E46" s="431"/>
      <c r="F46" s="431"/>
      <c r="G46" s="431"/>
      <c r="H46" s="431"/>
      <c r="I46" s="431"/>
      <c r="J46" s="431"/>
      <c r="K46" s="431"/>
      <c r="L46" s="431"/>
      <c r="M46" s="431"/>
      <c r="N46" s="431"/>
    </row>
    <row r="47" spans="1:14">
      <c r="A47" s="432" t="s">
        <v>855</v>
      </c>
      <c r="B47" s="423" t="s">
        <v>559</v>
      </c>
      <c r="C47" s="431">
        <f>+Model!C143</f>
        <v>0</v>
      </c>
      <c r="D47" s="431">
        <f>+Model!D143</f>
        <v>0</v>
      </c>
      <c r="E47" s="431">
        <f>+Model!E143</f>
        <v>0</v>
      </c>
      <c r="F47" s="431">
        <f>+Model!F143</f>
        <v>0</v>
      </c>
      <c r="G47" s="431">
        <f>+Model!G143</f>
        <v>0</v>
      </c>
      <c r="H47" s="431">
        <f>+Model!H143</f>
        <v>0</v>
      </c>
      <c r="I47" s="431">
        <f>+Model!I143</f>
        <v>0</v>
      </c>
      <c r="J47" s="431">
        <f>+Model!J143</f>
        <v>0</v>
      </c>
      <c r="K47" s="431">
        <f>+Model!K143</f>
        <v>110</v>
      </c>
      <c r="L47" s="431">
        <f>+Model!L143</f>
        <v>220</v>
      </c>
      <c r="M47" s="431">
        <f>+Model!M143</f>
        <v>330</v>
      </c>
      <c r="N47" s="431" t="e">
        <f>+Model!#REF!</f>
        <v>#REF!</v>
      </c>
    </row>
    <row r="48" spans="1:14">
      <c r="A48" s="432" t="s">
        <v>856</v>
      </c>
      <c r="B48" s="423" t="s">
        <v>558</v>
      </c>
      <c r="C48" s="431">
        <v>0</v>
      </c>
      <c r="D48" s="431">
        <v>0</v>
      </c>
      <c r="E48" s="431">
        <v>0</v>
      </c>
      <c r="F48" s="431">
        <v>0</v>
      </c>
      <c r="G48" s="431">
        <v>0</v>
      </c>
      <c r="H48" s="431">
        <v>0</v>
      </c>
      <c r="I48" s="431">
        <v>0</v>
      </c>
      <c r="J48" s="431">
        <v>0</v>
      </c>
      <c r="K48" s="431">
        <v>0</v>
      </c>
      <c r="L48" s="431">
        <v>0</v>
      </c>
      <c r="M48" s="431">
        <v>0</v>
      </c>
      <c r="N48" s="431">
        <v>0</v>
      </c>
    </row>
    <row r="49" spans="1:16">
      <c r="A49" s="432" t="s">
        <v>956</v>
      </c>
      <c r="B49" s="436" t="s">
        <v>556</v>
      </c>
      <c r="C49" s="431">
        <f>+Model!C130-Model!C148-Model!C153</f>
        <v>33.570699999999988</v>
      </c>
      <c r="D49" s="431">
        <f>+Model!D130-Model!D148-Model!D153</f>
        <v>134.49718389</v>
      </c>
      <c r="E49" s="431">
        <f>+Model!E130-Model!E148-Model!E153</f>
        <v>698.22070113999996</v>
      </c>
      <c r="F49" s="431">
        <f>+Model!F130-Model!F148-Model!F153</f>
        <v>813.12705243000005</v>
      </c>
      <c r="G49" s="431">
        <f>+Model!G130-Model!G148-Model!G153</f>
        <v>369.77904220000011</v>
      </c>
      <c r="H49" s="431">
        <f>+Model!H130-Model!H148-Model!H153</f>
        <v>-1024.0391694200002</v>
      </c>
      <c r="I49" s="431">
        <f>+Model!I130-Model!I148-Model!I153</f>
        <v>2841.98637254</v>
      </c>
      <c r="J49" s="431">
        <f>+Model!J130-Model!J148-Model!J153</f>
        <v>-898.78779811999993</v>
      </c>
      <c r="K49" s="431">
        <f>+Model!K130-Model!K148-Model!K153</f>
        <v>832.05252754930734</v>
      </c>
      <c r="L49" s="431">
        <f>+Model!L130-Model!L148-Model!L153</f>
        <v>1249.2195431068003</v>
      </c>
      <c r="M49" s="431">
        <f>+Model!M130-Model!M148-Model!M153</f>
        <v>1776.2152100069097</v>
      </c>
      <c r="N49" s="431" t="e">
        <f>+Model!#REF!-Model!#REF!-Model!#REF!</f>
        <v>#REF!</v>
      </c>
    </row>
    <row r="50" spans="1:16">
      <c r="A50" s="423" t="s">
        <v>957</v>
      </c>
      <c r="B50" s="423" t="s">
        <v>557</v>
      </c>
      <c r="C50" s="431">
        <f>+Model!C144</f>
        <v>113.71669999999997</v>
      </c>
      <c r="D50" s="431">
        <f>+Model!D144</f>
        <v>162.19106248000003</v>
      </c>
      <c r="E50" s="431">
        <f>+Model!E144</f>
        <v>336.05203494000006</v>
      </c>
      <c r="F50" s="431">
        <f>+Model!F144</f>
        <v>305.08183391999978</v>
      </c>
      <c r="G50" s="431">
        <f>+Model!G144</f>
        <v>2520.13795338</v>
      </c>
      <c r="H50" s="431">
        <f>+Model!H144</f>
        <v>1504.5348819199999</v>
      </c>
      <c r="I50" s="431">
        <f>+Model!I144</f>
        <v>2155.3823604299992</v>
      </c>
      <c r="J50" s="431">
        <f>+Model!J144</f>
        <v>5000.8240952699989</v>
      </c>
      <c r="K50" s="431">
        <f>+Model!K144</f>
        <v>5022.8313781676989</v>
      </c>
      <c r="L50" s="431">
        <f>+Model!L144</f>
        <v>5047.9304903007223</v>
      </c>
      <c r="M50" s="431">
        <f>+Model!M144</f>
        <v>5075.6315654665168</v>
      </c>
      <c r="N50" s="431" t="e">
        <f>+Model!#REF!</f>
        <v>#REF!</v>
      </c>
    </row>
    <row r="51" spans="1:16">
      <c r="A51" s="437" t="s">
        <v>555</v>
      </c>
      <c r="B51" s="438" t="s">
        <v>958</v>
      </c>
      <c r="C51" s="439">
        <f>C33+C44+SUM(C47:C50)</f>
        <v>1079.4106999999999</v>
      </c>
      <c r="D51" s="439">
        <f>D33+D44+SUM(D47:D50)</f>
        <v>2021.4286173999999</v>
      </c>
      <c r="E51" s="439">
        <f t="shared" ref="E51:K51" si="7">E33+E44+SUM(E47:E50)</f>
        <v>2969.7127871799999</v>
      </c>
      <c r="F51" s="439">
        <f t="shared" si="7"/>
        <v>4064.55943204</v>
      </c>
      <c r="G51" s="439">
        <f t="shared" si="7"/>
        <v>7028.5883480499997</v>
      </c>
      <c r="H51" s="439">
        <f t="shared" si="7"/>
        <v>10969.481566980001</v>
      </c>
      <c r="I51" s="439">
        <f t="shared" si="7"/>
        <v>13383.32532749</v>
      </c>
      <c r="J51" s="439">
        <f t="shared" si="7"/>
        <v>21001.879799810002</v>
      </c>
      <c r="K51" s="439">
        <f t="shared" si="7"/>
        <v>24672.460617145545</v>
      </c>
      <c r="L51" s="439">
        <f>L33+L44+SUM(L47:L50)</f>
        <v>27667.82239593548</v>
      </c>
      <c r="M51" s="439">
        <f>M33+M44+SUM(M47:M50)</f>
        <v>31230.1563367288</v>
      </c>
      <c r="N51" s="439" t="e">
        <f>N33+N44+SUM(N47:N50)</f>
        <v>#REF!</v>
      </c>
    </row>
    <row r="52" spans="1:16" outlineLevel="1">
      <c r="A52" s="451" t="s">
        <v>959</v>
      </c>
      <c r="B52" s="452" t="s">
        <v>67</v>
      </c>
      <c r="C52" s="453" t="s">
        <v>1811</v>
      </c>
      <c r="D52" s="453" t="s">
        <v>1811</v>
      </c>
      <c r="E52" s="453" t="s">
        <v>1811</v>
      </c>
      <c r="F52" s="453" t="s">
        <v>1811</v>
      </c>
      <c r="G52" s="453" t="s">
        <v>1811</v>
      </c>
      <c r="H52" s="453" t="s">
        <v>1811</v>
      </c>
      <c r="I52" s="453" t="s">
        <v>1811</v>
      </c>
      <c r="J52" s="453" t="s">
        <v>1811</v>
      </c>
      <c r="K52" s="453" t="s">
        <v>1811</v>
      </c>
      <c r="L52" s="453" t="s">
        <v>1811</v>
      </c>
      <c r="M52" s="453" t="s">
        <v>1811</v>
      </c>
      <c r="N52" s="453" t="s">
        <v>1811</v>
      </c>
    </row>
    <row r="53" spans="1:16">
      <c r="A53" s="437"/>
      <c r="B53" s="438"/>
      <c r="C53" s="455" t="e">
        <f>C51-C52</f>
        <v>#VALUE!</v>
      </c>
      <c r="D53" s="455" t="e">
        <f>D51-D52</f>
        <v>#VALUE!</v>
      </c>
      <c r="E53" s="455" t="e">
        <f>E51-E52</f>
        <v>#VALUE!</v>
      </c>
      <c r="F53" s="455" t="e">
        <f t="shared" ref="F53:K53" si="8">F51-F52</f>
        <v>#VALUE!</v>
      </c>
      <c r="G53" s="455" t="e">
        <f t="shared" si="8"/>
        <v>#VALUE!</v>
      </c>
      <c r="H53" s="455" t="e">
        <f t="shared" si="8"/>
        <v>#VALUE!</v>
      </c>
      <c r="I53" s="455" t="e">
        <f t="shared" si="8"/>
        <v>#VALUE!</v>
      </c>
      <c r="J53" s="455" t="e">
        <f t="shared" si="8"/>
        <v>#VALUE!</v>
      </c>
      <c r="K53" s="455" t="e">
        <f t="shared" si="8"/>
        <v>#VALUE!</v>
      </c>
      <c r="L53" s="455" t="e">
        <f>L51-L52</f>
        <v>#VALUE!</v>
      </c>
      <c r="M53" s="455" t="e">
        <f>M51-M52</f>
        <v>#VALUE!</v>
      </c>
      <c r="N53" s="455" t="e">
        <f>N51-N52</f>
        <v>#REF!</v>
      </c>
    </row>
    <row r="54" spans="1:16">
      <c r="A54" s="437"/>
      <c r="B54" s="438"/>
      <c r="C54" s="454"/>
      <c r="D54" s="454"/>
      <c r="E54" s="454"/>
      <c r="F54" s="454"/>
      <c r="G54" s="454"/>
      <c r="H54" s="454"/>
      <c r="I54" s="454"/>
      <c r="J54" s="454"/>
      <c r="K54" s="454"/>
      <c r="L54" s="454"/>
      <c r="M54" s="454"/>
      <c r="N54" s="454"/>
    </row>
    <row r="55" spans="1:16">
      <c r="A55" s="437" t="s">
        <v>508</v>
      </c>
      <c r="B55" s="438"/>
      <c r="C55" s="456">
        <f>C21/AVERAGE(C51:C51)</f>
        <v>0.18363725132611711</v>
      </c>
      <c r="D55" s="456">
        <f>D21/AVERAGE(C51:D51)</f>
        <v>0.2101159963478216</v>
      </c>
      <c r="E55" s="456">
        <f t="shared" ref="E55:L55" si="9">E21/AVERAGE(D51:E51)</f>
        <v>0.27984259812761891</v>
      </c>
      <c r="F55" s="456">
        <f t="shared" si="9"/>
        <v>0.25349967302981768</v>
      </c>
      <c r="G55" s="456">
        <f t="shared" si="9"/>
        <v>0.22020910922365641</v>
      </c>
      <c r="H55" s="456">
        <f t="shared" si="9"/>
        <v>0.17066402293225452</v>
      </c>
      <c r="I55" s="456">
        <f t="shared" si="9"/>
        <v>0.1780861217034829</v>
      </c>
      <c r="J55" s="456">
        <f t="shared" si="9"/>
        <v>0.18563710229031344</v>
      </c>
      <c r="K55" s="456">
        <f t="shared" si="9"/>
        <v>0.21345807056292673</v>
      </c>
      <c r="L55" s="456">
        <f t="shared" si="9"/>
        <v>0.22996383584724883</v>
      </c>
      <c r="M55" s="456">
        <f>M21/AVERAGE(L51:M51)</f>
        <v>0.2489710172527877</v>
      </c>
      <c r="N55" s="456" t="e">
        <f>N21/AVERAGE(M51:N51)</f>
        <v>#VALUE!</v>
      </c>
    </row>
    <row r="56" spans="1:16" s="460" customFormat="1">
      <c r="A56" s="457" t="s">
        <v>960</v>
      </c>
      <c r="B56" s="458" t="s">
        <v>553</v>
      </c>
      <c r="C56" s="459" t="s">
        <v>1811</v>
      </c>
      <c r="D56" s="459" t="s">
        <v>1811</v>
      </c>
      <c r="E56" s="459" t="s">
        <v>1811</v>
      </c>
      <c r="F56" s="459" t="s">
        <v>1811</v>
      </c>
      <c r="G56" s="459" t="s">
        <v>1811</v>
      </c>
      <c r="H56" s="459" t="s">
        <v>1811</v>
      </c>
      <c r="I56" s="459" t="s">
        <v>1811</v>
      </c>
      <c r="J56" s="459" t="s">
        <v>1811</v>
      </c>
      <c r="K56" s="459" t="s">
        <v>1811</v>
      </c>
      <c r="L56" s="459" t="s">
        <v>1811</v>
      </c>
      <c r="M56" s="459" t="s">
        <v>1811</v>
      </c>
      <c r="N56" s="459" t="s">
        <v>1811</v>
      </c>
    </row>
    <row r="57" spans="1:16" s="461" customFormat="1">
      <c r="C57" s="462"/>
      <c r="D57" s="462"/>
      <c r="E57" s="462"/>
      <c r="F57" s="462"/>
      <c r="G57" s="462"/>
      <c r="H57" s="462"/>
      <c r="I57" s="462"/>
      <c r="J57" s="462"/>
      <c r="K57" s="462"/>
      <c r="L57" s="462"/>
      <c r="M57" s="462"/>
      <c r="N57" s="462"/>
    </row>
    <row r="58" spans="1:16" hidden="1" outlineLevel="1">
      <c r="A58" s="438" t="s">
        <v>961</v>
      </c>
      <c r="B58" s="463"/>
      <c r="C58" s="464"/>
      <c r="D58" s="464"/>
      <c r="E58" s="464"/>
      <c r="F58" s="464"/>
      <c r="G58" s="464"/>
      <c r="H58" s="464"/>
      <c r="I58" s="464"/>
      <c r="J58" s="464"/>
      <c r="K58" s="464"/>
      <c r="L58" s="464"/>
      <c r="M58" s="464"/>
      <c r="N58" s="464"/>
    </row>
    <row r="59" spans="1:16" hidden="1" outlineLevel="1">
      <c r="A59" s="423" t="s">
        <v>962</v>
      </c>
      <c r="C59" s="431">
        <f>+Model!C130</f>
        <v>193.57069999999999</v>
      </c>
      <c r="D59" s="431">
        <f>+Model!D130</f>
        <v>339.29502861999998</v>
      </c>
      <c r="E59" s="431">
        <f>+Model!E130</f>
        <v>945.09570113999996</v>
      </c>
      <c r="F59" s="431">
        <f>+Model!F130</f>
        <v>1224.8536962200001</v>
      </c>
      <c r="G59" s="431">
        <f>+Model!G130</f>
        <v>1019.1040422000001</v>
      </c>
      <c r="H59" s="431">
        <f>+Model!H130</f>
        <v>2157.5604636100002</v>
      </c>
      <c r="I59" s="431">
        <f>+Model!I130</f>
        <v>6057.6919416700002</v>
      </c>
      <c r="J59" s="431">
        <f>+Model!J130</f>
        <v>5652.5491231599999</v>
      </c>
      <c r="K59" s="431">
        <f>+Model!K130</f>
        <v>7383.3894488293072</v>
      </c>
      <c r="L59" s="431">
        <f>+Model!L130</f>
        <v>7800.5564643868001</v>
      </c>
      <c r="M59" s="431">
        <f>+Model!M130</f>
        <v>8327.5521312869096</v>
      </c>
      <c r="N59" s="431" t="e">
        <f>+Model!#REF!</f>
        <v>#REF!</v>
      </c>
    </row>
    <row r="60" spans="1:16" hidden="1" outlineLevel="1">
      <c r="A60" s="423" t="s">
        <v>963</v>
      </c>
      <c r="C60" s="431">
        <v>0</v>
      </c>
      <c r="D60" s="431">
        <v>0</v>
      </c>
      <c r="E60" s="431">
        <v>0</v>
      </c>
      <c r="F60" s="431">
        <v>0</v>
      </c>
      <c r="G60" s="431">
        <v>0</v>
      </c>
      <c r="H60" s="431">
        <v>0</v>
      </c>
      <c r="I60" s="431">
        <v>0</v>
      </c>
      <c r="J60" s="431">
        <v>0</v>
      </c>
      <c r="K60" s="431">
        <v>0</v>
      </c>
      <c r="L60" s="431">
        <v>0</v>
      </c>
      <c r="M60" s="431">
        <v>0</v>
      </c>
      <c r="N60" s="431">
        <v>0</v>
      </c>
      <c r="P60" s="423" t="s">
        <v>977</v>
      </c>
    </row>
    <row r="61" spans="1:16" hidden="1" outlineLevel="1">
      <c r="A61" s="423" t="s">
        <v>964</v>
      </c>
      <c r="C61" s="431">
        <f>+Model!C131</f>
        <v>37.623999999999995</v>
      </c>
      <c r="D61" s="431">
        <f>+Model!D131</f>
        <v>68.890917389999998</v>
      </c>
      <c r="E61" s="431">
        <f>+Model!E131</f>
        <v>43.032292499999997</v>
      </c>
      <c r="F61" s="431">
        <f>+Model!F131</f>
        <v>27.87312988</v>
      </c>
      <c r="G61" s="431">
        <f>+Model!G131</f>
        <v>43.057332849999995</v>
      </c>
      <c r="H61" s="431">
        <f>+Model!H131</f>
        <v>40.773595880000002</v>
      </c>
      <c r="I61" s="431">
        <f>+Model!I131</f>
        <v>88.630687719999997</v>
      </c>
      <c r="J61" s="431">
        <f>+Model!J131</f>
        <v>109.74073278</v>
      </c>
      <c r="K61" s="431">
        <f>+Model!K131</f>
        <v>145.44410580401967</v>
      </c>
      <c r="L61" s="431">
        <f>+Model!L131</f>
        <v>176.01020984787672</v>
      </c>
      <c r="M61" s="431">
        <f>+Model!M131</f>
        <v>206.41612630819623</v>
      </c>
      <c r="N61" s="431" t="e">
        <f>+Model!#REF!</f>
        <v>#REF!</v>
      </c>
    </row>
    <row r="62" spans="1:16" hidden="1" outlineLevel="1">
      <c r="A62" s="423" t="s">
        <v>61</v>
      </c>
      <c r="C62" s="431">
        <f>+Model!C132</f>
        <v>134.75049999999999</v>
      </c>
      <c r="D62" s="431">
        <f>+Model!D132</f>
        <v>119.62862948</v>
      </c>
      <c r="E62" s="431">
        <f>+Model!E132</f>
        <v>214.22814141999999</v>
      </c>
      <c r="F62" s="431">
        <f>+Model!F132</f>
        <v>272.70129147</v>
      </c>
      <c r="G62" s="431">
        <f>+Model!G132</f>
        <v>340.03603963</v>
      </c>
      <c r="H62" s="431">
        <f>+Model!H132</f>
        <v>394.21987751</v>
      </c>
      <c r="I62" s="431">
        <f>+Model!I132</f>
        <v>568.60120574999996</v>
      </c>
      <c r="J62" s="431">
        <f>+Model!J132</f>
        <v>1068.08370694</v>
      </c>
      <c r="K62" s="431">
        <f>+Model!K132</f>
        <v>1412.9909079515915</v>
      </c>
      <c r="L62" s="431">
        <f>+Model!L132</f>
        <v>1679.7075294617184</v>
      </c>
      <c r="M62" s="431">
        <f>+Model!M132</f>
        <v>1957.7301646065439</v>
      </c>
      <c r="N62" s="431" t="e">
        <f>+Model!#REF!</f>
        <v>#REF!</v>
      </c>
    </row>
    <row r="63" spans="1:16" hidden="1" outlineLevel="1">
      <c r="A63" s="423" t="s">
        <v>965</v>
      </c>
      <c r="C63" s="431">
        <f>+Model!C147</f>
        <v>339.79349999999999</v>
      </c>
      <c r="D63" s="431">
        <f>+Model!D147</f>
        <v>316.89636641000004</v>
      </c>
      <c r="E63" s="431">
        <f>+Model!E147</f>
        <v>609.48604021000006</v>
      </c>
      <c r="F63" s="431">
        <f>+Model!F147</f>
        <v>521.59918857999992</v>
      </c>
      <c r="G63" s="431">
        <f>+Model!G147</f>
        <v>1428.9803038099999</v>
      </c>
      <c r="H63" s="431">
        <f>+Model!H147</f>
        <v>1799.2834213299998</v>
      </c>
      <c r="I63" s="431">
        <f>+Model!I147</f>
        <v>2250.59003897</v>
      </c>
      <c r="J63" s="431">
        <f>+Model!J147</f>
        <v>3148.5920656799999</v>
      </c>
      <c r="K63" s="431">
        <f>+Model!K147</f>
        <v>4165.340162710937</v>
      </c>
      <c r="L63" s="431">
        <f>+Model!L147</f>
        <v>4951.5911211472276</v>
      </c>
      <c r="M63" s="431">
        <f>+Model!M147</f>
        <v>5771.1709512752968</v>
      </c>
      <c r="N63" s="431" t="e">
        <f>+Model!#REF!</f>
        <v>#REF!</v>
      </c>
    </row>
    <row r="64" spans="1:16" hidden="1" outlineLevel="1">
      <c r="A64" s="430" t="s">
        <v>548</v>
      </c>
      <c r="B64" s="430"/>
      <c r="C64" s="450">
        <f>+Model!C148+Model!C153</f>
        <v>160</v>
      </c>
      <c r="D64" s="450">
        <f>+Model!D148+Model!D153</f>
        <v>204.79784472999998</v>
      </c>
      <c r="E64" s="450">
        <f>+Model!E148+Model!E153</f>
        <v>246.875</v>
      </c>
      <c r="F64" s="450">
        <f>+Model!F148+Model!F153</f>
        <v>411.72664379000003</v>
      </c>
      <c r="G64" s="450">
        <f>+Model!G148+Model!G153</f>
        <v>649.32500000000005</v>
      </c>
      <c r="H64" s="450">
        <f>+Model!H148+Model!H153</f>
        <v>3181.5996330300004</v>
      </c>
      <c r="I64" s="450">
        <f>+Model!I148+Model!I153</f>
        <v>3215.7055691300002</v>
      </c>
      <c r="J64" s="450">
        <f>+Model!J148+Model!J153</f>
        <v>6551.3369212799998</v>
      </c>
      <c r="K64" s="450">
        <f>+Model!K148+Model!K153</f>
        <v>6551.3369212799998</v>
      </c>
      <c r="L64" s="450">
        <f>+Model!L148+Model!L153</f>
        <v>6551.3369212799998</v>
      </c>
      <c r="M64" s="450">
        <f>+Model!M148+Model!M153</f>
        <v>6551.3369212799998</v>
      </c>
      <c r="N64" s="450" t="e">
        <f>+Model!#REF!+Model!#REF!</f>
        <v>#REF!</v>
      </c>
    </row>
    <row r="65" spans="1:14" hidden="1" outlineLevel="1">
      <c r="A65" s="438" t="s">
        <v>966</v>
      </c>
      <c r="B65" s="430"/>
      <c r="C65" s="439">
        <f>C64-C59-C60-C61-C62+C63</f>
        <v>133.84830000000002</v>
      </c>
      <c r="D65" s="439">
        <f>D64-D59-D60-D61-D62+D63</f>
        <v>-6.1203643499999316</v>
      </c>
      <c r="E65" s="439">
        <f>E64-E59-E60-E61-E62+E63</f>
        <v>-345.99509484999999</v>
      </c>
      <c r="F65" s="439">
        <f t="shared" ref="F65:K65" si="10">F64-F59-F60-F61-F62+F63</f>
        <v>-592.1022852000001</v>
      </c>
      <c r="G65" s="439">
        <f t="shared" si="10"/>
        <v>676.10788912999988</v>
      </c>
      <c r="H65" s="439">
        <f t="shared" si="10"/>
        <v>2388.3291173600001</v>
      </c>
      <c r="I65" s="439">
        <f t="shared" si="10"/>
        <v>-1248.6282270399997</v>
      </c>
      <c r="J65" s="439">
        <f t="shared" si="10"/>
        <v>2869.5554240799997</v>
      </c>
      <c r="K65" s="439">
        <f t="shared" si="10"/>
        <v>1774.8526214060184</v>
      </c>
      <c r="L65" s="439">
        <f>L64-L59-L60-L61-L62+L63</f>
        <v>1846.6538387308319</v>
      </c>
      <c r="M65" s="439">
        <f>M64-M59-M60-M61-M62+M63</f>
        <v>1830.8094503536468</v>
      </c>
      <c r="N65" s="439" t="e">
        <f>N64-N59-N60-N61-N62+N63</f>
        <v>#REF!</v>
      </c>
    </row>
    <row r="66" spans="1:14" hidden="1" outlineLevel="1">
      <c r="A66" s="438"/>
      <c r="C66" s="465"/>
      <c r="D66" s="465"/>
      <c r="E66" s="465"/>
      <c r="F66" s="465"/>
      <c r="G66" s="465"/>
      <c r="H66" s="465"/>
      <c r="I66" s="465"/>
      <c r="J66" s="465"/>
      <c r="K66" s="465"/>
      <c r="L66" s="465"/>
      <c r="M66" s="465"/>
      <c r="N66" s="465"/>
    </row>
    <row r="67" spans="1:14" hidden="1" outlineLevel="1">
      <c r="A67" s="466" t="s">
        <v>967</v>
      </c>
      <c r="C67" s="467"/>
      <c r="D67" s="467"/>
      <c r="E67" s="467"/>
      <c r="F67" s="467"/>
      <c r="G67" s="467"/>
      <c r="H67" s="467"/>
      <c r="I67" s="467"/>
      <c r="J67" s="467"/>
      <c r="K67" s="467"/>
      <c r="L67" s="467"/>
      <c r="M67" s="467"/>
      <c r="N67" s="467"/>
    </row>
    <row r="68" spans="1:14" hidden="1" outlineLevel="1">
      <c r="A68" s="466" t="s">
        <v>968</v>
      </c>
      <c r="C68" s="467"/>
      <c r="D68" s="467"/>
      <c r="E68" s="467"/>
      <c r="F68" s="467"/>
      <c r="G68" s="467"/>
      <c r="H68" s="467"/>
      <c r="I68" s="467"/>
      <c r="J68" s="467"/>
      <c r="K68" s="467"/>
      <c r="L68" s="467"/>
      <c r="M68" s="467"/>
      <c r="N68" s="467"/>
    </row>
    <row r="69" spans="1:14" hidden="1" outlineLevel="1">
      <c r="A69" s="438"/>
      <c r="B69" s="463"/>
      <c r="C69" s="468"/>
      <c r="D69" s="468"/>
      <c r="E69" s="468"/>
      <c r="F69" s="468"/>
      <c r="G69" s="468"/>
      <c r="H69" s="468"/>
      <c r="I69" s="468"/>
      <c r="J69" s="468"/>
      <c r="K69" s="468"/>
      <c r="L69" s="468"/>
      <c r="M69" s="468"/>
      <c r="N69" s="468"/>
    </row>
    <row r="70" spans="1:14" hidden="1" outlineLevel="1">
      <c r="D70" s="422"/>
      <c r="E70" s="422"/>
      <c r="F70" s="422"/>
      <c r="G70" s="422"/>
      <c r="H70" s="422"/>
      <c r="I70" s="422"/>
      <c r="J70" s="422"/>
      <c r="K70" s="422"/>
      <c r="L70" s="422"/>
      <c r="M70" s="422"/>
      <c r="N70" s="422"/>
    </row>
    <row r="71" spans="1:14" hidden="1" outlineLevel="1">
      <c r="A71" s="423" t="s">
        <v>969</v>
      </c>
      <c r="C71" s="469">
        <f t="shared" ref="C71:N71" si="11">$B$4</f>
        <v>0</v>
      </c>
      <c r="D71" s="469">
        <f t="shared" si="11"/>
        <v>0</v>
      </c>
      <c r="E71" s="469">
        <f t="shared" si="11"/>
        <v>0</v>
      </c>
      <c r="F71" s="469">
        <f t="shared" si="11"/>
        <v>0</v>
      </c>
      <c r="G71" s="469">
        <f t="shared" si="11"/>
        <v>0</v>
      </c>
      <c r="H71" s="469">
        <f t="shared" si="11"/>
        <v>0</v>
      </c>
      <c r="I71" s="469">
        <f t="shared" si="11"/>
        <v>0</v>
      </c>
      <c r="J71" s="469">
        <f t="shared" si="11"/>
        <v>0</v>
      </c>
      <c r="K71" s="469">
        <f t="shared" si="11"/>
        <v>0</v>
      </c>
      <c r="L71" s="469">
        <f t="shared" si="11"/>
        <v>0</v>
      </c>
      <c r="M71" s="469">
        <f t="shared" si="11"/>
        <v>0</v>
      </c>
      <c r="N71" s="469">
        <f t="shared" si="11"/>
        <v>0</v>
      </c>
    </row>
    <row r="72" spans="1:14" hidden="1" outlineLevel="1">
      <c r="A72" s="423" t="s">
        <v>970</v>
      </c>
      <c r="C72" s="469">
        <f>+Model!C164</f>
        <v>0</v>
      </c>
      <c r="D72" s="469">
        <f>+Model!D164</f>
        <v>0</v>
      </c>
      <c r="E72" s="469">
        <f>+Model!E164</f>
        <v>0</v>
      </c>
      <c r="F72" s="469">
        <f>+Model!F164</f>
        <v>0</v>
      </c>
      <c r="G72" s="469">
        <f>+Model!G164</f>
        <v>0</v>
      </c>
      <c r="H72" s="469">
        <f>+Model!H164</f>
        <v>0</v>
      </c>
      <c r="I72" s="469">
        <f>+Model!I164</f>
        <v>0</v>
      </c>
      <c r="J72" s="469">
        <f>+Model!J164</f>
        <v>3.77663225</v>
      </c>
      <c r="K72" s="469">
        <f>+Model!K164</f>
        <v>3.4967845</v>
      </c>
      <c r="L72" s="469">
        <f>+Model!L164</f>
        <v>3.2169367499999999</v>
      </c>
      <c r="M72" s="469">
        <f>+Model!M164</f>
        <v>2.9370889999999998</v>
      </c>
      <c r="N72" s="469" t="e">
        <f>+Model!#REF!</f>
        <v>#REF!</v>
      </c>
    </row>
    <row r="73" spans="1:14" hidden="1" outlineLevel="1">
      <c r="A73" s="438" t="s">
        <v>971</v>
      </c>
      <c r="B73" s="438"/>
      <c r="C73" s="439">
        <f>C65+C71+C72</f>
        <v>133.84830000000002</v>
      </c>
      <c r="D73" s="439">
        <f>D65+D71+D72</f>
        <v>-6.1203643499999316</v>
      </c>
      <c r="E73" s="439">
        <f>E65+E71+E72</f>
        <v>-345.99509484999999</v>
      </c>
      <c r="F73" s="439">
        <f t="shared" ref="F73:K73" si="12">F65+F71+F72</f>
        <v>-592.1022852000001</v>
      </c>
      <c r="G73" s="439">
        <f t="shared" si="12"/>
        <v>676.10788912999988</v>
      </c>
      <c r="H73" s="439">
        <f t="shared" si="12"/>
        <v>2388.3291173600001</v>
      </c>
      <c r="I73" s="439">
        <f t="shared" si="12"/>
        <v>-1248.6282270399997</v>
      </c>
      <c r="J73" s="439">
        <f t="shared" si="12"/>
        <v>2873.3320563299999</v>
      </c>
      <c r="K73" s="439">
        <f t="shared" si="12"/>
        <v>1778.3494059060185</v>
      </c>
      <c r="L73" s="439">
        <f>L65+L71+L72</f>
        <v>1849.870775480832</v>
      </c>
      <c r="M73" s="439">
        <f>M65+M71+M72</f>
        <v>1833.7465393536468</v>
      </c>
      <c r="N73" s="439" t="e">
        <f>N65+N71+N72</f>
        <v>#REF!</v>
      </c>
    </row>
    <row r="74" spans="1:14" hidden="1" outlineLevel="1">
      <c r="D74" s="422"/>
      <c r="E74" s="422"/>
      <c r="F74" s="422"/>
      <c r="G74" s="422"/>
      <c r="H74" s="422"/>
      <c r="I74" s="422"/>
      <c r="J74" s="422"/>
      <c r="K74" s="422"/>
      <c r="L74" s="422"/>
      <c r="M74" s="422"/>
      <c r="N74" s="422"/>
    </row>
    <row r="75" spans="1:14" hidden="1" outlineLevel="1">
      <c r="D75" s="422"/>
      <c r="E75" s="422"/>
      <c r="F75" s="422"/>
      <c r="G75" s="422"/>
      <c r="H75" s="422"/>
      <c r="I75" s="422"/>
      <c r="J75" s="422"/>
      <c r="K75" s="422"/>
      <c r="L75" s="422"/>
      <c r="M75" s="422"/>
      <c r="N75" s="422"/>
    </row>
    <row r="76" spans="1:14" hidden="1" outlineLevel="1">
      <c r="A76" s="423" t="s">
        <v>972</v>
      </c>
      <c r="C76" s="470">
        <f>C73/C51</f>
        <v>0.1240012721756418</v>
      </c>
      <c r="D76" s="470">
        <f>D73/D51</f>
        <v>-3.0277420124149926E-3</v>
      </c>
      <c r="E76" s="470">
        <f>E73/E51</f>
        <v>-0.11650793179179875</v>
      </c>
      <c r="F76" s="470">
        <f t="shared" ref="F76:K76" si="13">F73/F51</f>
        <v>-0.14567440705445026</v>
      </c>
      <c r="G76" s="470">
        <f t="shared" si="13"/>
        <v>9.6193980305814636E-2</v>
      </c>
      <c r="H76" s="470">
        <f t="shared" si="13"/>
        <v>0.21772488542660717</v>
      </c>
      <c r="I76" s="470">
        <f t="shared" si="13"/>
        <v>-9.3297308141740878E-2</v>
      </c>
      <c r="J76" s="470">
        <f t="shared" si="13"/>
        <v>0.13681308929098784</v>
      </c>
      <c r="K76" s="470">
        <f t="shared" si="13"/>
        <v>7.2078315718141078E-2</v>
      </c>
      <c r="L76" s="470">
        <f>L73/L51</f>
        <v>6.686000614752341E-2</v>
      </c>
      <c r="M76" s="470">
        <f>M73/M51</f>
        <v>5.8717174502166528E-2</v>
      </c>
      <c r="N76" s="470" t="e">
        <f>N73/N51</f>
        <v>#REF!</v>
      </c>
    </row>
    <row r="77" spans="1:14" s="471" customFormat="1" hidden="1" outlineLevel="1">
      <c r="A77" s="471" t="s">
        <v>973</v>
      </c>
      <c r="C77" s="472">
        <v>1.9346040965223983</v>
      </c>
      <c r="D77" s="472">
        <v>1.9346040965223983</v>
      </c>
      <c r="E77" s="472">
        <v>1.9346040965223983</v>
      </c>
      <c r="F77" s="472">
        <v>1.9346040965223983</v>
      </c>
      <c r="G77" s="472">
        <v>1.9346040965223983</v>
      </c>
      <c r="H77" s="472">
        <v>1.9346040965223983</v>
      </c>
      <c r="I77" s="472">
        <v>1.9346040965223983</v>
      </c>
      <c r="J77" s="472">
        <v>1.9346040965223983</v>
      </c>
      <c r="K77" s="472">
        <v>1.9346040965223983</v>
      </c>
      <c r="L77" s="472">
        <v>1.9346040965223983</v>
      </c>
      <c r="M77" s="472">
        <v>1.9346040965223983</v>
      </c>
      <c r="N77" s="472">
        <v>1.9346040965223983</v>
      </c>
    </row>
    <row r="78" spans="1:14" s="471" customFormat="1" hidden="1" outlineLevel="1">
      <c r="A78" s="473" t="s">
        <v>974</v>
      </c>
      <c r="B78" s="474"/>
      <c r="C78" s="475">
        <f>C76/C77</f>
        <v>6.4096459011197052E-2</v>
      </c>
      <c r="D78" s="475">
        <f>D76/D77</f>
        <v>-1.5650447643823328E-3</v>
      </c>
      <c r="E78" s="475">
        <f>E76/E77</f>
        <v>-6.022313919485172E-2</v>
      </c>
      <c r="F78" s="475">
        <f t="shared" ref="F78:K78" si="14">F76/F77</f>
        <v>-7.5299337635184052E-2</v>
      </c>
      <c r="G78" s="475">
        <f t="shared" si="14"/>
        <v>4.9722824674428644E-2</v>
      </c>
      <c r="H78" s="475">
        <f t="shared" si="14"/>
        <v>0.11254234694219072</v>
      </c>
      <c r="I78" s="475">
        <f t="shared" si="14"/>
        <v>-4.8225530127559466E-2</v>
      </c>
      <c r="J78" s="475">
        <f t="shared" si="14"/>
        <v>7.0718908089215798E-2</v>
      </c>
      <c r="K78" s="475">
        <f t="shared" si="14"/>
        <v>3.7257398476363959E-2</v>
      </c>
      <c r="L78" s="475">
        <f>L76/L77</f>
        <v>3.456004578286042E-2</v>
      </c>
      <c r="M78" s="475">
        <f>M76/M77</f>
        <v>3.035100287842625E-2</v>
      </c>
      <c r="N78" s="475" t="e">
        <f>N76/N77</f>
        <v>#REF!</v>
      </c>
    </row>
    <row r="79" spans="1:14" hidden="1" outlineLevel="1">
      <c r="D79" s="422"/>
      <c r="E79" s="422"/>
      <c r="F79" s="422"/>
      <c r="G79" s="422"/>
      <c r="H79" s="422"/>
      <c r="I79" s="422"/>
      <c r="J79" s="422"/>
      <c r="K79" s="422"/>
      <c r="L79" s="422"/>
      <c r="M79" s="422"/>
      <c r="N79" s="422"/>
    </row>
    <row r="80" spans="1:14" hidden="1" outlineLevel="1">
      <c r="D80" s="422"/>
      <c r="E80" s="422"/>
      <c r="F80" s="422"/>
      <c r="G80" s="422"/>
      <c r="H80" s="422"/>
      <c r="I80" s="422"/>
      <c r="J80" s="422"/>
      <c r="K80" s="422"/>
      <c r="L80" s="422"/>
      <c r="M80" s="422"/>
      <c r="N80" s="422"/>
    </row>
    <row r="81" spans="1:14" collapsed="1">
      <c r="D81" s="422"/>
      <c r="E81" s="422"/>
      <c r="F81" s="422"/>
      <c r="G81" s="422"/>
      <c r="H81" s="422"/>
      <c r="I81" s="422"/>
      <c r="J81" s="422"/>
      <c r="K81" s="422"/>
      <c r="L81" s="422"/>
      <c r="M81" s="422"/>
      <c r="N81" s="422"/>
    </row>
    <row r="82" spans="1:14">
      <c r="A82" s="423" t="s">
        <v>975</v>
      </c>
      <c r="C82" s="476">
        <f>Model!C13/AVERAGE(C51:C51)</f>
        <v>2.6345927458380767</v>
      </c>
      <c r="D82" s="476">
        <f>Model!D13/AVERAGE(C51:D51)</f>
        <v>1.9591702043864185</v>
      </c>
      <c r="E82" s="476">
        <f>Model!E13/AVERAGE(D51:E51)</f>
        <v>1.686479359373775</v>
      </c>
      <c r="F82" s="476">
        <f>Model!F13/AVERAGE(E51:F51)</f>
        <v>1.4098125475388061</v>
      </c>
      <c r="G82" s="476">
        <f>Model!G13/AVERAGE(F51:G51)</f>
        <v>1.2580419215065011</v>
      </c>
      <c r="H82" s="476">
        <f>Model!H13/AVERAGE(G51:H51)</f>
        <v>0.94514464836001533</v>
      </c>
      <c r="I82" s="476">
        <f>Model!I13/AVERAGE(H51:I51)</f>
        <v>0.92496886556822655</v>
      </c>
      <c r="J82" s="476">
        <f>Model!J13/AVERAGE(I51:J51)</f>
        <v>0.92125969699071564</v>
      </c>
      <c r="K82" s="476">
        <f>Model!K13/AVERAGE(J51:K51)</f>
        <v>0.91919928397603168</v>
      </c>
      <c r="L82" s="476">
        <f>Model!L13/AVERAGE(K51:L51)</f>
        <v>0.9707058121119394</v>
      </c>
      <c r="M82" s="476">
        <f>Model!M13/AVERAGE(L51:M51)</f>
        <v>1.0116471645680585</v>
      </c>
      <c r="N82" s="476" t="e">
        <f>Model!#REF!/AVERAGE(M51:N51)</f>
        <v>#REF!</v>
      </c>
    </row>
    <row r="83" spans="1:14">
      <c r="A83" s="477" t="s">
        <v>976</v>
      </c>
      <c r="B83" s="477"/>
      <c r="C83" s="478">
        <f>C21/Model!C13</f>
        <v>6.9702329369961596E-2</v>
      </c>
      <c r="D83" s="478">
        <f>D21/Model!D13</f>
        <v>0.10724744377869233</v>
      </c>
      <c r="E83" s="478">
        <f>E21/Model!E13</f>
        <v>0.16593301102216296</v>
      </c>
      <c r="F83" s="478">
        <f>F21/Model!F13</f>
        <v>0.17981090711128028</v>
      </c>
      <c r="G83" s="478">
        <f>G21/Model!G13</f>
        <v>0.17504115360476757</v>
      </c>
      <c r="H83" s="478">
        <f>H21/Model!H13</f>
        <v>0.18056921046782126</v>
      </c>
      <c r="I83" s="478">
        <f>I21/Model!I13</f>
        <v>0.19253201738209977</v>
      </c>
      <c r="J83" s="478">
        <f>J21/Model!J13</f>
        <v>0.20150355312046642</v>
      </c>
      <c r="K83" s="478">
        <f>K21/Model!K13</f>
        <v>0.23222175461191144</v>
      </c>
      <c r="L83" s="478">
        <f>L21/Model!L13</f>
        <v>0.23690373847347476</v>
      </c>
      <c r="M83" s="478">
        <f>M21/Model!M13</f>
        <v>0.24610459651620775</v>
      </c>
      <c r="N83" s="478" t="e">
        <f>N21/Model!#REF!</f>
        <v>#VALUE!</v>
      </c>
    </row>
    <row r="84" spans="1:14" s="479" customFormat="1">
      <c r="A84" s="479" t="s">
        <v>508</v>
      </c>
      <c r="C84" s="480">
        <f>C82*C83</f>
        <v>0.18363725132611713</v>
      </c>
      <c r="D84" s="480">
        <f>D82*D83</f>
        <v>0.21011599634782158</v>
      </c>
      <c r="E84" s="480">
        <f>E82*E83</f>
        <v>0.27984259812761891</v>
      </c>
      <c r="F84" s="480">
        <f t="shared" ref="F84:K84" si="15">F82*F83</f>
        <v>0.25349967302981768</v>
      </c>
      <c r="G84" s="480">
        <f t="shared" si="15"/>
        <v>0.22020910922365641</v>
      </c>
      <c r="H84" s="480">
        <f t="shared" si="15"/>
        <v>0.17066402293225452</v>
      </c>
      <c r="I84" s="480">
        <f t="shared" si="15"/>
        <v>0.1780861217034829</v>
      </c>
      <c r="J84" s="480">
        <f t="shared" si="15"/>
        <v>0.18563710229031347</v>
      </c>
      <c r="K84" s="480">
        <f t="shared" si="15"/>
        <v>0.21345807056292673</v>
      </c>
      <c r="L84" s="480">
        <f>L82*L83</f>
        <v>0.22996383584724883</v>
      </c>
      <c r="M84" s="480">
        <f>M82*M83</f>
        <v>0.24897101725278764</v>
      </c>
      <c r="N84" s="480" t="e">
        <f>N82*N83</f>
        <v>#REF!</v>
      </c>
    </row>
  </sheetData>
  <pageMargins left="0.7" right="0.7" top="0.75" bottom="0.75" header="0.3" footer="0.3"/>
  <pageSetup paperSize="177" scale="24" orientation="portrait" r:id="rId1"/>
  <customProperties>
    <customPr name="Qube.Worksheet.ID" r:id="rId2"/>
    <customPr name="Qube.Worksheet.Visibility" r:id="rId3"/>
  </customProperties>
  <drawing r:id="rId4"/>
  <legacyDrawing r:id="rId5"/>
  <controls>
    <mc:AlternateContent xmlns:mc="http://schemas.openxmlformats.org/markup-compatibility/2006">
      <mc:Choice Requires="x14">
        <control shapeId="27649" r:id="rId6" name="XLDataChannel1">
          <controlPr defaultSize="0" print="0" autoLine="0" linkedCell="A1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3876675</xdr:colOff>
                <xdr:row>1</xdr:row>
                <xdr:rowOff>0</xdr:rowOff>
              </to>
            </anchor>
          </controlPr>
        </control>
      </mc:Choice>
      <mc:Fallback>
        <control shapeId="27649" r:id="rId6" name="XLDataChannel1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7">
    <tabColor theme="9"/>
  </sheetPr>
  <dimension ref="A1:GX369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" defaultRowHeight="12.75"/>
  <cols>
    <col min="1" max="1" width="3" style="67" customWidth="1"/>
    <col min="2" max="2" width="48" style="67" bestFit="1" customWidth="1"/>
    <col min="3" max="10" width="9" style="66" customWidth="1"/>
    <col min="11" max="11" width="9.5" style="66" customWidth="1"/>
    <col min="12" max="18" width="8" style="66" customWidth="1"/>
    <col min="19" max="19" width="8.5" style="66" bestFit="1" customWidth="1"/>
    <col min="20" max="33" width="8" style="66" customWidth="1"/>
    <col min="34" max="76" width="9" style="66" customWidth="1"/>
    <col min="77" max="16384" width="9" style="66"/>
  </cols>
  <sheetData>
    <row r="1" spans="1:33" s="67" customFormat="1">
      <c r="A1" s="96" t="s">
        <v>136</v>
      </c>
      <c r="C1" s="301"/>
      <c r="D1" s="301"/>
      <c r="E1" s="301"/>
      <c r="F1" s="301"/>
      <c r="G1" s="301"/>
      <c r="H1" s="301"/>
      <c r="I1" s="301"/>
      <c r="J1" s="301"/>
    </row>
    <row r="2" spans="1:33" s="67" customFormat="1" ht="15.75">
      <c r="A2" s="875" t="s">
        <v>1106</v>
      </c>
      <c r="B2" s="875"/>
      <c r="C2" s="876"/>
      <c r="D2" s="876"/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6"/>
      <c r="U2" s="876"/>
      <c r="V2" s="876"/>
      <c r="W2" s="876"/>
      <c r="X2" s="876"/>
      <c r="Y2" s="876"/>
      <c r="Z2" s="876"/>
      <c r="AA2" s="876"/>
      <c r="AB2" s="876"/>
      <c r="AC2" s="876"/>
      <c r="AD2" s="876"/>
      <c r="AE2" s="876"/>
      <c r="AF2" s="876"/>
      <c r="AG2" s="876"/>
    </row>
    <row r="3" spans="1:33" s="67" customFormat="1" ht="15.75">
      <c r="A3" s="877" t="s">
        <v>1105</v>
      </c>
      <c r="B3" s="878"/>
      <c r="C3" s="876"/>
      <c r="D3" s="876"/>
      <c r="E3" s="876"/>
      <c r="F3" s="876"/>
      <c r="G3" s="876"/>
      <c r="H3" s="876"/>
      <c r="I3" s="876"/>
      <c r="J3" s="876"/>
      <c r="K3" s="876"/>
      <c r="L3" s="876"/>
      <c r="M3" s="876"/>
      <c r="N3" s="876"/>
      <c r="O3" s="876"/>
      <c r="P3" s="876"/>
      <c r="Q3" s="876"/>
      <c r="R3" s="876"/>
      <c r="S3" s="876"/>
      <c r="T3" s="876"/>
      <c r="U3" s="876"/>
      <c r="V3" s="876"/>
      <c r="W3" s="876"/>
      <c r="X3" s="876"/>
      <c r="Y3" s="876"/>
      <c r="Z3" s="876"/>
      <c r="AA3" s="876"/>
      <c r="AB3" s="876"/>
      <c r="AC3" s="876"/>
      <c r="AD3" s="876"/>
      <c r="AE3" s="876"/>
      <c r="AF3" s="876"/>
      <c r="AG3" s="876"/>
    </row>
    <row r="4" spans="1:33" s="286" customFormat="1" ht="15">
      <c r="A4" s="986"/>
      <c r="B4" s="986"/>
      <c r="C4" s="987">
        <v>2017</v>
      </c>
      <c r="D4" s="987">
        <v>2018</v>
      </c>
      <c r="E4" s="987">
        <v>2019</v>
      </c>
      <c r="F4" s="987">
        <v>2020</v>
      </c>
      <c r="G4" s="987">
        <v>2021</v>
      </c>
      <c r="H4" s="987">
        <v>2022</v>
      </c>
      <c r="I4" s="987">
        <v>2023</v>
      </c>
      <c r="J4" s="987">
        <v>2024</v>
      </c>
      <c r="L4" s="987" t="s">
        <v>1059</v>
      </c>
      <c r="M4" s="987" t="s">
        <v>1067</v>
      </c>
      <c r="N4" s="987" t="s">
        <v>1069</v>
      </c>
      <c r="O4" s="987">
        <v>2020</v>
      </c>
      <c r="P4" s="987" t="s">
        <v>1076</v>
      </c>
      <c r="Q4" s="987" t="s">
        <v>1094</v>
      </c>
      <c r="R4" s="987" t="s">
        <v>1208</v>
      </c>
      <c r="S4" s="987">
        <v>2021</v>
      </c>
      <c r="T4" s="987" t="s">
        <v>1209</v>
      </c>
      <c r="U4" s="987" t="s">
        <v>1210</v>
      </c>
      <c r="V4" s="987" t="s">
        <v>1230</v>
      </c>
      <c r="W4" s="987">
        <v>2022</v>
      </c>
      <c r="X4" s="987" t="s">
        <v>1273</v>
      </c>
      <c r="Y4" s="987" t="s">
        <v>1240</v>
      </c>
      <c r="Z4" s="987" t="s">
        <v>1274</v>
      </c>
      <c r="AA4" s="987">
        <v>2023</v>
      </c>
      <c r="AB4" s="987" t="s">
        <v>1275</v>
      </c>
      <c r="AC4" s="987" t="s">
        <v>1476</v>
      </c>
      <c r="AD4" s="987" t="s">
        <v>1548</v>
      </c>
      <c r="AE4" s="987">
        <v>2024</v>
      </c>
      <c r="AF4" s="987" t="s">
        <v>1758</v>
      </c>
      <c r="AG4" s="987" t="s">
        <v>1751</v>
      </c>
    </row>
    <row r="5" spans="1:33" s="277" customFormat="1">
      <c r="B5" s="67"/>
    </row>
    <row r="6" spans="1:33" s="286" customFormat="1" ht="15">
      <c r="A6" s="986"/>
      <c r="B6" s="986" t="s">
        <v>228</v>
      </c>
      <c r="C6" s="987">
        <f t="shared" ref="C6:I6" si="0">C4</f>
        <v>2017</v>
      </c>
      <c r="D6" s="987">
        <f t="shared" si="0"/>
        <v>2018</v>
      </c>
      <c r="E6" s="987">
        <f t="shared" si="0"/>
        <v>2019</v>
      </c>
      <c r="F6" s="987">
        <f t="shared" si="0"/>
        <v>2020</v>
      </c>
      <c r="G6" s="987">
        <f t="shared" si="0"/>
        <v>2021</v>
      </c>
      <c r="H6" s="987">
        <f t="shared" si="0"/>
        <v>2022</v>
      </c>
      <c r="I6" s="987">
        <f t="shared" si="0"/>
        <v>2023</v>
      </c>
      <c r="J6" s="987">
        <f>J4</f>
        <v>2024</v>
      </c>
      <c r="L6" s="987" t="str">
        <f t="shared" ref="L6:R6" si="1">L4</f>
        <v>1Q20</v>
      </c>
      <c r="M6" s="987" t="str">
        <f t="shared" si="1"/>
        <v>1H20</v>
      </c>
      <c r="N6" s="987" t="str">
        <f t="shared" si="1"/>
        <v>9M20</v>
      </c>
      <c r="O6" s="987">
        <f t="shared" si="1"/>
        <v>2020</v>
      </c>
      <c r="P6" s="987" t="str">
        <f t="shared" si="1"/>
        <v>1Q21</v>
      </c>
      <c r="Q6" s="987" t="str">
        <f t="shared" si="1"/>
        <v>1H21</v>
      </c>
      <c r="R6" s="987" t="str">
        <f t="shared" si="1"/>
        <v>9M21</v>
      </c>
      <c r="S6" s="987">
        <f t="shared" ref="S6:AB6" si="2">S4</f>
        <v>2021</v>
      </c>
      <c r="T6" s="987" t="str">
        <f t="shared" si="2"/>
        <v>1Q22</v>
      </c>
      <c r="U6" s="987" t="str">
        <f t="shared" si="2"/>
        <v>1H22</v>
      </c>
      <c r="V6" s="987" t="str">
        <f t="shared" si="2"/>
        <v>9M22</v>
      </c>
      <c r="W6" s="987">
        <f t="shared" si="2"/>
        <v>2022</v>
      </c>
      <c r="X6" s="987" t="str">
        <f t="shared" si="2"/>
        <v>1Q23</v>
      </c>
      <c r="Y6" s="987" t="str">
        <f t="shared" si="2"/>
        <v>1H23</v>
      </c>
      <c r="Z6" s="987" t="str">
        <f t="shared" si="2"/>
        <v>9M23</v>
      </c>
      <c r="AA6" s="987">
        <f t="shared" si="2"/>
        <v>2023</v>
      </c>
      <c r="AB6" s="987" t="str">
        <f t="shared" si="2"/>
        <v>1Q24</v>
      </c>
      <c r="AC6" s="987" t="str">
        <f>AC4</f>
        <v>1H24</v>
      </c>
      <c r="AD6" s="987" t="str">
        <f>AD4</f>
        <v>9M24</v>
      </c>
      <c r="AE6" s="987">
        <f>AE4</f>
        <v>2024</v>
      </c>
      <c r="AF6" s="987" t="str">
        <f t="shared" ref="AF6" si="3">AF4</f>
        <v>1Q25</v>
      </c>
      <c r="AG6" s="987" t="str">
        <f t="shared" ref="AG6" si="4">AG4</f>
        <v>1H25</v>
      </c>
    </row>
    <row r="7" spans="1:33" s="85" customFormat="1">
      <c r="A7" s="276"/>
      <c r="B7" s="149"/>
    </row>
    <row r="8" spans="1:33" s="85" customFormat="1">
      <c r="A8" s="276"/>
      <c r="B8" s="149" t="s">
        <v>851</v>
      </c>
      <c r="C8" s="278">
        <f>Wind!U7</f>
        <v>2843.8076000000001</v>
      </c>
      <c r="D8" s="278">
        <f>Wind!V7</f>
        <v>3037.53599962</v>
      </c>
      <c r="E8" s="278">
        <f>Wind!W7</f>
        <v>4208.7284792700002</v>
      </c>
      <c r="F8" s="278">
        <f>Wind!X7</f>
        <v>4958.50261873</v>
      </c>
      <c r="G8" s="278">
        <f>Wind!Y7</f>
        <v>6977.8224744099998</v>
      </c>
      <c r="H8" s="278">
        <f>Wind!Z7</f>
        <v>8505.3897304999991</v>
      </c>
      <c r="I8" s="278">
        <f>Wind!AA7</f>
        <v>11262.79408329</v>
      </c>
      <c r="J8" s="278">
        <f>Wind!AB7</f>
        <v>15838.851828270001</v>
      </c>
      <c r="K8" s="278"/>
      <c r="L8" s="278">
        <f>Wind!CB7</f>
        <v>933.21618977999992</v>
      </c>
      <c r="M8" s="278">
        <f>Wind!CC7</f>
        <v>2469.4627</v>
      </c>
      <c r="N8" s="278">
        <f>Wind!CD7</f>
        <v>4043.5969274300001</v>
      </c>
      <c r="O8" s="278">
        <f>Wind!CE7</f>
        <v>4958.50261873</v>
      </c>
      <c r="P8" s="278">
        <f>Wind!CF7</f>
        <v>1711.2617271900001</v>
      </c>
      <c r="Q8" s="278">
        <f>Wind!CG7</f>
        <v>3682.2617543400002</v>
      </c>
      <c r="R8" s="278">
        <f>Wind!CH7</f>
        <v>5560.2124574199997</v>
      </c>
      <c r="S8" s="278">
        <f>Wind!CI7</f>
        <v>6977.8224744099998</v>
      </c>
      <c r="T8" s="278">
        <f>Wind!CJ7</f>
        <v>2006.5428683299999</v>
      </c>
      <c r="U8" s="278">
        <f>Wind!CK7</f>
        <v>4291.2739970599996</v>
      </c>
      <c r="V8" s="278">
        <f>Wind!CL7</f>
        <v>6644.3478153799997</v>
      </c>
      <c r="W8" s="278">
        <f>Wind!CM7</f>
        <v>8505.3897304999991</v>
      </c>
      <c r="X8" s="278">
        <f>Wind!CN7</f>
        <v>2490.8660470100003</v>
      </c>
      <c r="Y8" s="278">
        <f>Wind!CO7</f>
        <v>5460.1849288999992</v>
      </c>
      <c r="Z8" s="278">
        <f>Wind!CP7</f>
        <v>8640.9123699200009</v>
      </c>
      <c r="AA8" s="278">
        <f>Wind!CQ7</f>
        <v>11262.79408329</v>
      </c>
      <c r="AB8" s="278">
        <f>Wind!CR7</f>
        <v>3482.1677627899999</v>
      </c>
      <c r="AC8" s="278">
        <f>Wind!CS7</f>
        <v>7873.2878521000002</v>
      </c>
      <c r="AD8" s="278">
        <f>Wind!CT7</f>
        <v>12558.281502260001</v>
      </c>
      <c r="AE8" s="278">
        <f>Wind!CU7</f>
        <v>15838.851828270001</v>
      </c>
      <c r="AF8" s="278">
        <f>Wind!CV7</f>
        <v>4848.0717046300006</v>
      </c>
      <c r="AG8" s="278">
        <f>Wind!CW7</f>
        <v>10736.627858450001</v>
      </c>
    </row>
    <row r="9" spans="1:33" s="273" customFormat="1">
      <c r="A9" s="274"/>
      <c r="B9" s="275" t="s">
        <v>657</v>
      </c>
    </row>
    <row r="10" spans="1:33">
      <c r="A10" s="277"/>
      <c r="C10" s="279"/>
      <c r="D10" s="279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279"/>
      <c r="Q10" s="279"/>
      <c r="R10" s="279"/>
      <c r="S10" s="279"/>
      <c r="T10" s="279"/>
      <c r="U10" s="279"/>
      <c r="V10" s="279"/>
      <c r="W10" s="279"/>
      <c r="X10" s="279"/>
      <c r="Y10" s="279"/>
      <c r="Z10" s="279"/>
      <c r="AA10" s="279"/>
      <c r="AB10" s="279"/>
      <c r="AC10" s="279"/>
      <c r="AD10" s="279"/>
      <c r="AE10" s="279"/>
      <c r="AF10" s="279"/>
      <c r="AG10" s="279"/>
    </row>
    <row r="11" spans="1:33">
      <c r="A11" s="277"/>
      <c r="B11" s="140" t="s">
        <v>850</v>
      </c>
      <c r="C11" s="279"/>
      <c r="D11" s="279"/>
      <c r="E11" s="279"/>
      <c r="F11" s="279"/>
      <c r="G11" s="279"/>
      <c r="H11" s="279"/>
      <c r="I11" s="279"/>
      <c r="J11" s="279"/>
      <c r="K11" s="279"/>
      <c r="L11" s="279"/>
      <c r="M11" s="279"/>
      <c r="N11" s="279"/>
      <c r="O11" s="279"/>
      <c r="P11" s="279"/>
      <c r="Q11" s="279"/>
      <c r="R11" s="279"/>
      <c r="S11" s="279"/>
      <c r="T11" s="279"/>
      <c r="U11" s="279"/>
      <c r="V11" s="279"/>
      <c r="W11" s="279"/>
      <c r="X11" s="279"/>
      <c r="Y11" s="279"/>
      <c r="Z11" s="279"/>
      <c r="AA11" s="279"/>
      <c r="AB11" s="279"/>
      <c r="AC11" s="279"/>
      <c r="AD11" s="279"/>
      <c r="AE11" s="279"/>
      <c r="AF11" s="279"/>
      <c r="AG11" s="279"/>
    </row>
    <row r="12" spans="1:33">
      <c r="A12" s="277"/>
      <c r="B12" s="140" t="s">
        <v>849</v>
      </c>
      <c r="C12" s="279"/>
      <c r="D12" s="279"/>
      <c r="E12" s="279"/>
      <c r="F12" s="279"/>
      <c r="G12" s="279"/>
      <c r="H12" s="279"/>
      <c r="I12" s="279"/>
      <c r="J12" s="279"/>
      <c r="K12" s="279"/>
      <c r="L12" s="279"/>
      <c r="M12" s="279"/>
      <c r="N12" s="279"/>
      <c r="O12" s="279"/>
      <c r="P12" s="279"/>
      <c r="Q12" s="279"/>
      <c r="R12" s="279"/>
      <c r="S12" s="279"/>
      <c r="T12" s="279"/>
      <c r="U12" s="279"/>
      <c r="V12" s="279"/>
      <c r="W12" s="279"/>
      <c r="X12" s="279"/>
      <c r="Y12" s="279"/>
      <c r="Z12" s="279"/>
      <c r="AA12" s="279"/>
      <c r="AB12" s="279"/>
      <c r="AC12" s="279"/>
      <c r="AD12" s="279"/>
      <c r="AE12" s="279"/>
      <c r="AF12" s="279"/>
      <c r="AG12" s="279"/>
    </row>
    <row r="13" spans="1:33">
      <c r="A13" s="277"/>
      <c r="B13" s="140" t="s">
        <v>848</v>
      </c>
      <c r="C13" s="279"/>
      <c r="D13" s="279"/>
      <c r="E13" s="279"/>
      <c r="F13" s="279"/>
      <c r="G13" s="279"/>
      <c r="H13" s="279"/>
      <c r="I13" s="279"/>
      <c r="J13" s="279"/>
      <c r="K13" s="279"/>
      <c r="L13" s="279"/>
      <c r="M13" s="279"/>
      <c r="N13" s="279"/>
      <c r="O13" s="279"/>
      <c r="P13" s="279"/>
      <c r="Q13" s="279"/>
      <c r="R13" s="279"/>
      <c r="S13" s="279"/>
      <c r="T13" s="279"/>
      <c r="U13" s="279"/>
      <c r="V13" s="279"/>
      <c r="W13" s="279"/>
      <c r="X13" s="279"/>
      <c r="Y13" s="279"/>
      <c r="Z13" s="279"/>
      <c r="AA13" s="279"/>
      <c r="AB13" s="279"/>
      <c r="AC13" s="279"/>
      <c r="AD13" s="279"/>
      <c r="AE13" s="279"/>
      <c r="AF13" s="279"/>
      <c r="AG13" s="279"/>
    </row>
    <row r="14" spans="1:33">
      <c r="A14" s="277"/>
      <c r="B14" s="140" t="s">
        <v>667</v>
      </c>
      <c r="C14" s="279"/>
      <c r="D14" s="279"/>
      <c r="E14" s="279"/>
      <c r="F14" s="279"/>
      <c r="G14" s="279"/>
      <c r="H14" s="279"/>
      <c r="I14" s="279"/>
      <c r="J14" s="279"/>
      <c r="K14" s="279"/>
      <c r="L14" s="279"/>
      <c r="M14" s="279"/>
      <c r="N14" s="279"/>
      <c r="O14" s="279"/>
      <c r="P14" s="279"/>
      <c r="Q14" s="279"/>
      <c r="R14" s="279"/>
      <c r="S14" s="279"/>
      <c r="T14" s="279"/>
      <c r="U14" s="279"/>
      <c r="V14" s="279"/>
      <c r="W14" s="279"/>
      <c r="X14" s="279"/>
      <c r="Y14" s="279"/>
      <c r="Z14" s="279"/>
      <c r="AA14" s="279"/>
      <c r="AB14" s="279"/>
      <c r="AC14" s="279"/>
      <c r="AD14" s="279"/>
      <c r="AE14" s="279"/>
      <c r="AF14" s="279"/>
      <c r="AG14" s="279"/>
    </row>
    <row r="15" spans="1:33" s="85" customFormat="1">
      <c r="A15" s="276"/>
      <c r="B15" s="282" t="s">
        <v>49</v>
      </c>
      <c r="C15" s="284">
        <f>-Wind!U13</f>
        <v>-1480.9947999999999</v>
      </c>
      <c r="D15" s="284">
        <f>-Wind!V13</f>
        <v>-1641.2420573099998</v>
      </c>
      <c r="E15" s="284">
        <f>-Wind!W13</f>
        <v>-2241.7192595500001</v>
      </c>
      <c r="F15" s="284">
        <f>-Wind!X13</f>
        <v>-2647.8475059899997</v>
      </c>
      <c r="G15" s="284">
        <f>-Wind!Y13</f>
        <v>-3881.56479257</v>
      </c>
      <c r="H15" s="284">
        <f>-Wind!Z13</f>
        <v>-4905.4613287299999</v>
      </c>
      <c r="I15" s="284">
        <f>-Wind!AA13</f>
        <v>-6411.6537601099999</v>
      </c>
      <c r="J15" s="284">
        <f>-Wind!AB13</f>
        <v>-8741.5610026499999</v>
      </c>
      <c r="K15" s="284"/>
      <c r="L15" s="284">
        <f>-Wind!CB13</f>
        <v>-474.49274026999996</v>
      </c>
      <c r="M15" s="284">
        <f>-Wind!CC13</f>
        <v>-1322.65</v>
      </c>
      <c r="N15" s="284">
        <f>-Wind!CD13</f>
        <v>-2151.0041473000001</v>
      </c>
      <c r="O15" s="284">
        <f>-Wind!CE13</f>
        <v>-2647.8475059899997</v>
      </c>
      <c r="P15" s="284">
        <f>-Wind!CF13</f>
        <v>-863.46210910000002</v>
      </c>
      <c r="Q15" s="284">
        <f>-Wind!CG13</f>
        <v>-1852.9146081700001</v>
      </c>
      <c r="R15" s="284">
        <f>-Wind!CH13</f>
        <v>-2864.0381742600002</v>
      </c>
      <c r="S15" s="284">
        <f>-Wind!CI13</f>
        <v>-3881.56479257</v>
      </c>
      <c r="T15" s="284">
        <f>-Wind!CJ13</f>
        <v>-1139.9789286800001</v>
      </c>
      <c r="U15" s="284">
        <f>-Wind!CK13</f>
        <v>-2459.742307</v>
      </c>
      <c r="V15" s="284">
        <f>-Wind!CL13</f>
        <v>-3870.3752746199998</v>
      </c>
      <c r="W15" s="284">
        <f>-Wind!CM13</f>
        <v>-4905.4613287299999</v>
      </c>
      <c r="X15" s="284">
        <f>-Wind!CN13</f>
        <v>-1406.6463015300001</v>
      </c>
      <c r="Y15" s="284">
        <f>-Wind!CO13</f>
        <v>-3106.6108371999999</v>
      </c>
      <c r="Z15" s="284">
        <f>-Wind!CP13</f>
        <v>-4967.0087160100002</v>
      </c>
      <c r="AA15" s="284">
        <f>-Wind!CQ13</f>
        <v>-6411.6537601099999</v>
      </c>
      <c r="AB15" s="284">
        <f>-Wind!CR13</f>
        <v>-1992.8200776600002</v>
      </c>
      <c r="AC15" s="284">
        <f>-Wind!CS13</f>
        <v>-4361.7439749599998</v>
      </c>
      <c r="AD15" s="284">
        <f>-Wind!CT13</f>
        <v>-6900.7663555099998</v>
      </c>
      <c r="AE15" s="284">
        <f>-Wind!CU13</f>
        <v>-8741.5610026499999</v>
      </c>
      <c r="AF15" s="284">
        <f>-Wind!CV13</f>
        <v>-2692.1916942500002</v>
      </c>
      <c r="AG15" s="284">
        <f>-Wind!CW13</f>
        <v>-5889.4142337799994</v>
      </c>
    </row>
    <row r="16" spans="1:33">
      <c r="A16" s="277"/>
      <c r="B16" s="149" t="s">
        <v>847</v>
      </c>
      <c r="C16" s="279">
        <v>0</v>
      </c>
      <c r="D16" s="279">
        <v>0</v>
      </c>
      <c r="E16" s="279">
        <v>0</v>
      </c>
      <c r="F16" s="279">
        <v>0</v>
      </c>
      <c r="G16" s="279">
        <v>0</v>
      </c>
      <c r="H16" s="279"/>
      <c r="I16" s="279"/>
      <c r="J16" s="279"/>
      <c r="K16" s="279"/>
      <c r="L16" s="279">
        <v>0</v>
      </c>
      <c r="M16" s="279">
        <v>0</v>
      </c>
      <c r="N16" s="279">
        <v>0</v>
      </c>
      <c r="O16" s="279">
        <v>0</v>
      </c>
      <c r="P16" s="279">
        <v>0</v>
      </c>
      <c r="Q16" s="279">
        <v>0</v>
      </c>
      <c r="R16" s="279">
        <v>0</v>
      </c>
      <c r="S16" s="279">
        <v>0</v>
      </c>
      <c r="T16" s="279">
        <v>0</v>
      </c>
      <c r="U16" s="279">
        <v>0</v>
      </c>
      <c r="V16" s="279">
        <v>0</v>
      </c>
      <c r="W16" s="279">
        <v>0</v>
      </c>
      <c r="X16" s="279">
        <v>0</v>
      </c>
      <c r="Y16" s="279">
        <v>0</v>
      </c>
      <c r="Z16" s="279">
        <v>0</v>
      </c>
      <c r="AA16" s="279">
        <v>0</v>
      </c>
      <c r="AB16" s="279"/>
      <c r="AC16" s="279"/>
      <c r="AD16" s="279"/>
      <c r="AE16" s="279"/>
      <c r="AF16" s="279"/>
      <c r="AG16" s="279"/>
    </row>
    <row r="17" spans="1:33">
      <c r="A17" s="277"/>
      <c r="B17" s="149"/>
      <c r="C17" s="279"/>
      <c r="D17" s="279"/>
      <c r="E17" s="279"/>
      <c r="F17" s="279"/>
      <c r="G17" s="279"/>
      <c r="H17" s="279"/>
      <c r="I17" s="279"/>
      <c r="J17" s="279"/>
      <c r="K17" s="279"/>
      <c r="L17" s="279"/>
      <c r="M17" s="279"/>
      <c r="N17" s="279"/>
      <c r="O17" s="279"/>
      <c r="P17" s="279"/>
      <c r="Q17" s="279"/>
      <c r="R17" s="279"/>
      <c r="S17" s="279"/>
      <c r="T17" s="279"/>
      <c r="U17" s="279"/>
      <c r="V17" s="279"/>
      <c r="W17" s="279"/>
      <c r="X17" s="279"/>
      <c r="Y17" s="279"/>
      <c r="Z17" s="279"/>
      <c r="AA17" s="279"/>
      <c r="AB17" s="279"/>
      <c r="AC17" s="279"/>
      <c r="AD17" s="279"/>
      <c r="AE17" s="279"/>
      <c r="AF17" s="279"/>
      <c r="AG17" s="279"/>
    </row>
    <row r="18" spans="1:33" s="85" customFormat="1">
      <c r="A18" s="276"/>
      <c r="B18" s="282" t="s">
        <v>58</v>
      </c>
      <c r="C18" s="281">
        <f t="shared" ref="C18:I18" si="5">C8+C15+C16</f>
        <v>1362.8128000000002</v>
      </c>
      <c r="D18" s="281">
        <f t="shared" si="5"/>
        <v>1396.2939423100001</v>
      </c>
      <c r="E18" s="281">
        <f t="shared" si="5"/>
        <v>1967.0092197200001</v>
      </c>
      <c r="F18" s="281">
        <f t="shared" si="5"/>
        <v>2310.6551127400003</v>
      </c>
      <c r="G18" s="281">
        <f t="shared" si="5"/>
        <v>3096.2576818399998</v>
      </c>
      <c r="H18" s="281">
        <f t="shared" si="5"/>
        <v>3599.9284017699993</v>
      </c>
      <c r="I18" s="281">
        <f t="shared" si="5"/>
        <v>4851.1403231800005</v>
      </c>
      <c r="J18" s="281">
        <f>J8+J15+J16</f>
        <v>7097.2908256200008</v>
      </c>
      <c r="K18" s="281"/>
      <c r="L18" s="281">
        <f t="shared" ref="L18:R18" si="6">L8+L15+L16</f>
        <v>458.72344950999997</v>
      </c>
      <c r="M18" s="281">
        <f t="shared" si="6"/>
        <v>1146.8126999999999</v>
      </c>
      <c r="N18" s="281">
        <f t="shared" si="6"/>
        <v>1892.5927801299999</v>
      </c>
      <c r="O18" s="281">
        <f t="shared" si="6"/>
        <v>2310.6551127400003</v>
      </c>
      <c r="P18" s="281">
        <f t="shared" si="6"/>
        <v>847.79961809000008</v>
      </c>
      <c r="Q18" s="281">
        <f t="shared" si="6"/>
        <v>1829.3471461700001</v>
      </c>
      <c r="R18" s="281">
        <f t="shared" si="6"/>
        <v>2696.1742831599995</v>
      </c>
      <c r="S18" s="281">
        <f t="shared" ref="S18:AB18" si="7">S8+S15+S16</f>
        <v>3096.2576818399998</v>
      </c>
      <c r="T18" s="281">
        <f t="shared" si="7"/>
        <v>866.56393964999984</v>
      </c>
      <c r="U18" s="281">
        <f t="shared" si="7"/>
        <v>1831.5316900599996</v>
      </c>
      <c r="V18" s="281">
        <f t="shared" si="7"/>
        <v>2773.9725407599999</v>
      </c>
      <c r="W18" s="281">
        <f t="shared" si="7"/>
        <v>3599.9284017699993</v>
      </c>
      <c r="X18" s="281">
        <f t="shared" si="7"/>
        <v>1084.2197454800003</v>
      </c>
      <c r="Y18" s="281">
        <f t="shared" si="7"/>
        <v>2353.5740916999994</v>
      </c>
      <c r="Z18" s="281">
        <f t="shared" si="7"/>
        <v>3673.9036539100007</v>
      </c>
      <c r="AA18" s="281">
        <f t="shared" si="7"/>
        <v>4851.1403231800005</v>
      </c>
      <c r="AB18" s="281">
        <f t="shared" si="7"/>
        <v>1489.3476851299997</v>
      </c>
      <c r="AC18" s="281">
        <f>AC8+AC15+AC16</f>
        <v>3511.5438771400004</v>
      </c>
      <c r="AD18" s="281">
        <f>AD8+AD15+AD16</f>
        <v>5657.5151467500009</v>
      </c>
      <c r="AE18" s="281">
        <f>AE8+AE15+AE16</f>
        <v>7097.2908256200008</v>
      </c>
      <c r="AF18" s="281">
        <f t="shared" ref="AF18" si="8">AF8+AF15+AF16</f>
        <v>2155.8800103800004</v>
      </c>
      <c r="AG18" s="281">
        <f t="shared" ref="AG18" si="9">AG8+AG15+AG16</f>
        <v>4847.213624670002</v>
      </c>
    </row>
    <row r="19" spans="1:33">
      <c r="A19" s="277"/>
      <c r="B19" s="149"/>
      <c r="C19" s="279"/>
      <c r="D19" s="279"/>
      <c r="E19" s="279"/>
      <c r="F19" s="279"/>
      <c r="G19" s="279"/>
      <c r="H19" s="279"/>
      <c r="I19" s="279"/>
      <c r="J19" s="279"/>
      <c r="K19" s="279"/>
      <c r="L19" s="279"/>
      <c r="M19" s="279"/>
      <c r="N19" s="279"/>
      <c r="O19" s="279"/>
      <c r="P19" s="279"/>
      <c r="Q19" s="279"/>
      <c r="R19" s="279"/>
      <c r="S19" s="279"/>
      <c r="T19" s="279"/>
      <c r="U19" s="279"/>
      <c r="V19" s="279"/>
      <c r="W19" s="279"/>
      <c r="X19" s="279"/>
      <c r="Y19" s="279"/>
      <c r="Z19" s="279"/>
      <c r="AA19" s="279"/>
      <c r="AB19" s="279"/>
      <c r="AC19" s="279"/>
      <c r="AD19" s="279"/>
      <c r="AE19" s="279"/>
      <c r="AF19" s="279"/>
      <c r="AG19" s="279"/>
    </row>
    <row r="20" spans="1:33">
      <c r="A20" s="277"/>
      <c r="B20" s="140" t="s">
        <v>96</v>
      </c>
      <c r="C20" s="280">
        <f>-Wind!U21</f>
        <v>-45.944600000000001</v>
      </c>
      <c r="D20" s="280">
        <f>-Wind!V21</f>
        <v>-39.569061850000004</v>
      </c>
      <c r="E20" s="280">
        <f>-Wind!W21</f>
        <v>-44.306298130000002</v>
      </c>
      <c r="F20" s="280">
        <f>-Wind!X21</f>
        <v>-50.357577460000002</v>
      </c>
      <c r="G20" s="280">
        <f>-Wind!Y21</f>
        <v>-76.810518270000003</v>
      </c>
      <c r="H20" s="280">
        <f>-Wind!Z21</f>
        <v>-92.639167099999995</v>
      </c>
      <c r="I20" s="280">
        <f>-Wind!AA21</f>
        <v>-121.0108417</v>
      </c>
      <c r="J20" s="280">
        <f>-Wind!AB21</f>
        <v>-159.79274697</v>
      </c>
      <c r="K20" s="280"/>
      <c r="L20" s="279">
        <f>-Wind!CB21</f>
        <v>-6.7925628600000003</v>
      </c>
      <c r="M20" s="279">
        <f>-Wind!CC21</f>
        <v>-23.738</v>
      </c>
      <c r="N20" s="279">
        <f>-Wind!CD21</f>
        <v>-39.601016619999996</v>
      </c>
      <c r="O20" s="279">
        <f>-Wind!CE21</f>
        <v>-50.357577460000002</v>
      </c>
      <c r="P20" s="279">
        <f>-Wind!CF21</f>
        <v>-18.12164478</v>
      </c>
      <c r="Q20" s="279">
        <f>-Wind!CG21</f>
        <v>-41.581896969999995</v>
      </c>
      <c r="R20" s="279">
        <f>-Wind!CH21</f>
        <v>-60.121040299999997</v>
      </c>
      <c r="S20" s="279">
        <f>-Wind!CI21</f>
        <v>-76.810518270000003</v>
      </c>
      <c r="T20" s="279">
        <f>-Wind!CJ21</f>
        <v>-20.785871149999998</v>
      </c>
      <c r="U20" s="279">
        <f>-Wind!CK21</f>
        <v>-47.650708159999994</v>
      </c>
      <c r="V20" s="279">
        <f>-Wind!CL21</f>
        <v>-69.053892090000005</v>
      </c>
      <c r="W20" s="279">
        <f>-Wind!CM21</f>
        <v>-92.639167099999995</v>
      </c>
      <c r="X20" s="279">
        <f>-Wind!CN21</f>
        <v>-25.100383230000002</v>
      </c>
      <c r="Y20" s="279">
        <f>-Wind!CO21</f>
        <v>-59.469350920000004</v>
      </c>
      <c r="Z20" s="279">
        <f>-Wind!CP21</f>
        <v>-92.832681940000001</v>
      </c>
      <c r="AA20" s="279">
        <f>-Wind!CQ21</f>
        <v>-121.0108417</v>
      </c>
      <c r="AB20" s="279">
        <f>-Wind!CR21</f>
        <v>-36.832629600000004</v>
      </c>
      <c r="AC20" s="279">
        <f>-Wind!CS21</f>
        <v>-84.274324879999995</v>
      </c>
      <c r="AD20" s="279">
        <f>-Wind!CT21</f>
        <v>-123.70692592</v>
      </c>
      <c r="AE20" s="279">
        <f>-Wind!CU21</f>
        <v>-159.79274697</v>
      </c>
      <c r="AF20" s="279">
        <f>-Wind!CV21</f>
        <v>-46.761731420000004</v>
      </c>
      <c r="AG20" s="279">
        <f>-Wind!CW21</f>
        <v>-109.32921087999999</v>
      </c>
    </row>
    <row r="21" spans="1:33">
      <c r="A21" s="277"/>
      <c r="B21" s="140" t="s">
        <v>63</v>
      </c>
      <c r="C21" s="280">
        <f>-Wind!U22</f>
        <v>-825.24980000000005</v>
      </c>
      <c r="D21" s="280">
        <f>-Wind!V22</f>
        <v>-969.45033685999999</v>
      </c>
      <c r="E21" s="280">
        <f>-Wind!W22</f>
        <v>-983.59316214</v>
      </c>
      <c r="F21" s="280">
        <f>-Wind!X22</f>
        <v>-1040.3472948200001</v>
      </c>
      <c r="G21" s="280">
        <f>-Wind!Y22</f>
        <v>-1368.3843670599999</v>
      </c>
      <c r="H21" s="280">
        <f>-Wind!Z22</f>
        <v>-1449.2760845799999</v>
      </c>
      <c r="I21" s="280">
        <f>-Wind!AA22</f>
        <v>-1955.6713750699998</v>
      </c>
      <c r="J21" s="280">
        <f>-Wind!AB22</f>
        <v>-2681.0797873299998</v>
      </c>
      <c r="K21" s="280"/>
      <c r="L21" s="279">
        <f>-Wind!CB22</f>
        <v>-201.55927403000001</v>
      </c>
      <c r="M21" s="279">
        <f>-Wind!CC22</f>
        <v>-452.20800000000003</v>
      </c>
      <c r="N21" s="279">
        <f>-Wind!CD22</f>
        <v>-812.57818244000009</v>
      </c>
      <c r="O21" s="279">
        <f>-Wind!CE22</f>
        <v>-1040.3472948200001</v>
      </c>
      <c r="P21" s="279">
        <f>-Wind!CF22</f>
        <v>-336.21724452999996</v>
      </c>
      <c r="Q21" s="279">
        <f>-Wind!CG22</f>
        <v>-798.65826103999996</v>
      </c>
      <c r="R21" s="279">
        <f>-Wind!CH22</f>
        <v>-1197.90143653</v>
      </c>
      <c r="S21" s="279">
        <f>-Wind!CI22</f>
        <v>-1368.3843670599999</v>
      </c>
      <c r="T21" s="279">
        <f>-Wind!CJ22</f>
        <v>-337.96501925999996</v>
      </c>
      <c r="U21" s="279">
        <f>-Wind!CK22</f>
        <v>-702.69818498000006</v>
      </c>
      <c r="V21" s="279">
        <f>-Wind!CL22</f>
        <v>-1085.6043498499998</v>
      </c>
      <c r="W21" s="279">
        <f>-Wind!CM22</f>
        <v>-1449.2760845799999</v>
      </c>
      <c r="X21" s="279">
        <f>-Wind!CN22</f>
        <v>-390.70786656999996</v>
      </c>
      <c r="Y21" s="279">
        <f>-Wind!CO22</f>
        <v>-863.23476495</v>
      </c>
      <c r="Z21" s="279">
        <f>-Wind!CP22</f>
        <v>-1420.90595061</v>
      </c>
      <c r="AA21" s="279">
        <f>-Wind!CQ22</f>
        <v>-1955.6713750699998</v>
      </c>
      <c r="AB21" s="279">
        <f>-Wind!CR22</f>
        <v>-595.94921475000001</v>
      </c>
      <c r="AC21" s="279">
        <f>-Wind!CS22</f>
        <v>-1225.0040971800001</v>
      </c>
      <c r="AD21" s="279">
        <f>-Wind!CT22</f>
        <v>-2061.92453045</v>
      </c>
      <c r="AE21" s="279">
        <f>-Wind!CU22</f>
        <v>-2681.0797873299998</v>
      </c>
      <c r="AF21" s="279">
        <f>-Wind!CV22</f>
        <v>-808.75510908000001</v>
      </c>
      <c r="AG21" s="279">
        <f>-Wind!CW22</f>
        <v>-1681.5190578499999</v>
      </c>
    </row>
    <row r="22" spans="1:33">
      <c r="A22" s="277"/>
      <c r="B22" s="140" t="s">
        <v>93</v>
      </c>
      <c r="C22" s="280">
        <f>-Wind!U23-Wind!U24</f>
        <v>-110.78879999999999</v>
      </c>
      <c r="D22" s="280">
        <f>-Wind!V23-Wind!V24</f>
        <v>-143.62835716000001</v>
      </c>
      <c r="E22" s="280">
        <f>-Wind!W23-Wind!W24</f>
        <v>-229.257563</v>
      </c>
      <c r="F22" s="280">
        <f>-Wind!X23-Wind!X24</f>
        <v>-219.43897251999999</v>
      </c>
      <c r="G22" s="280">
        <f>-Wind!Y23-Wind!Y24</f>
        <v>-294.44154993999996</v>
      </c>
      <c r="H22" s="280">
        <f>-Wind!Z23-Wind!Z24</f>
        <v>-299.27980732999998</v>
      </c>
      <c r="I22" s="280">
        <f>-Wind!AA23-Wind!AA24</f>
        <v>-422.98510952000004</v>
      </c>
      <c r="J22" s="280">
        <f>-Wind!AB23-Wind!AB24</f>
        <v>-488.32507577000001</v>
      </c>
      <c r="K22" s="280"/>
      <c r="L22" s="279">
        <f>-Wind!CB23-Wind!CB24</f>
        <v>-45.432064320000002</v>
      </c>
      <c r="M22" s="279">
        <f>-Wind!CC23-Wind!CC24</f>
        <v>-103.3502</v>
      </c>
      <c r="N22" s="279">
        <f>-Wind!CD23-Wind!CD24</f>
        <v>-156.76432782000001</v>
      </c>
      <c r="O22" s="279">
        <f>-Wind!CE23-Wind!CE24</f>
        <v>-219.43897251999999</v>
      </c>
      <c r="P22" s="279">
        <f>-Wind!CF23-Wind!CF24</f>
        <v>-63.642068700000003</v>
      </c>
      <c r="Q22" s="279">
        <f>-Wind!CG23-Wind!CG24</f>
        <v>-152.51555503</v>
      </c>
      <c r="R22" s="279">
        <f>-Wind!CH23-Wind!CH24</f>
        <v>-224.04517149</v>
      </c>
      <c r="S22" s="279">
        <f>-Wind!CI23-Wind!CI24</f>
        <v>-294.44154993999996</v>
      </c>
      <c r="T22" s="279">
        <f>-Wind!CJ23-Wind!CJ24</f>
        <v>-78.921320660000006</v>
      </c>
      <c r="U22" s="279">
        <f>-Wind!CK23-Wind!CK24</f>
        <v>-151.35686418</v>
      </c>
      <c r="V22" s="279">
        <f>-Wind!CL23-Wind!CL24</f>
        <v>-235.54134443000001</v>
      </c>
      <c r="W22" s="279">
        <f>-Wind!CM23-Wind!CM24</f>
        <v>-299.27980732999998</v>
      </c>
      <c r="X22" s="279">
        <f>-Wind!CN23-Wind!CN24</f>
        <v>-91.260641199999995</v>
      </c>
      <c r="Y22" s="279">
        <f>-Wind!CO23-Wind!CO24</f>
        <v>-189.1672738</v>
      </c>
      <c r="Z22" s="279">
        <f>-Wind!CP23-Wind!CP24</f>
        <v>-301.47768686000001</v>
      </c>
      <c r="AA22" s="279">
        <f>-Wind!CQ23-Wind!CQ24</f>
        <v>-422.98510952000004</v>
      </c>
      <c r="AB22" s="279">
        <f>-Wind!CR23-Wind!CR24</f>
        <v>-113.74836514</v>
      </c>
      <c r="AC22" s="279">
        <f>-Wind!CS23-Wind!CS24</f>
        <v>-222.83853340999997</v>
      </c>
      <c r="AD22" s="279">
        <f>-Wind!CT23-Wind!CT24</f>
        <v>-356.38188281999999</v>
      </c>
      <c r="AE22" s="279">
        <f>-Wind!CU23-Wind!CU24</f>
        <v>-488.32507577000001</v>
      </c>
      <c r="AF22" s="279">
        <f>-Wind!CV23-Wind!CV24</f>
        <v>-136.94042983</v>
      </c>
      <c r="AG22" s="279">
        <f>-Wind!CW23-Wind!CW24</f>
        <v>-291.43502235</v>
      </c>
    </row>
    <row r="23" spans="1:33" s="85" customFormat="1">
      <c r="A23" s="276"/>
      <c r="B23" s="282" t="s">
        <v>47</v>
      </c>
      <c r="C23" s="281">
        <f t="shared" ref="C23:I23" si="10">SUM(C20:C22)</f>
        <v>-981.98320000000012</v>
      </c>
      <c r="D23" s="281">
        <f t="shared" si="10"/>
        <v>-1152.6477558700001</v>
      </c>
      <c r="E23" s="281">
        <f t="shared" si="10"/>
        <v>-1257.1570232700001</v>
      </c>
      <c r="F23" s="281">
        <f t="shared" si="10"/>
        <v>-1310.1438447999999</v>
      </c>
      <c r="G23" s="281">
        <f t="shared" si="10"/>
        <v>-1739.63643527</v>
      </c>
      <c r="H23" s="281">
        <f t="shared" si="10"/>
        <v>-1841.1950590099998</v>
      </c>
      <c r="I23" s="281">
        <f t="shared" si="10"/>
        <v>-2499.6673262899999</v>
      </c>
      <c r="J23" s="281">
        <f>SUM(J20:J22)</f>
        <v>-3329.1976100699994</v>
      </c>
      <c r="K23" s="281"/>
      <c r="L23" s="281">
        <f t="shared" ref="L23:R23" si="11">SUM(L20:L22)</f>
        <v>-253.78390121000001</v>
      </c>
      <c r="M23" s="281">
        <f t="shared" si="11"/>
        <v>-579.2962</v>
      </c>
      <c r="N23" s="281">
        <f t="shared" si="11"/>
        <v>-1008.94352688</v>
      </c>
      <c r="O23" s="281">
        <f t="shared" si="11"/>
        <v>-1310.1438447999999</v>
      </c>
      <c r="P23" s="281">
        <f t="shared" si="11"/>
        <v>-417.98095800999994</v>
      </c>
      <c r="Q23" s="281">
        <f t="shared" si="11"/>
        <v>-992.75571303999993</v>
      </c>
      <c r="R23" s="281">
        <f t="shared" si="11"/>
        <v>-1482.06764832</v>
      </c>
      <c r="S23" s="281">
        <f t="shared" ref="S23:AB23" si="12">SUM(S20:S22)</f>
        <v>-1739.63643527</v>
      </c>
      <c r="T23" s="281">
        <f t="shared" si="12"/>
        <v>-437.67221106999995</v>
      </c>
      <c r="U23" s="281">
        <f t="shared" si="12"/>
        <v>-901.70575732000009</v>
      </c>
      <c r="V23" s="281">
        <f t="shared" si="12"/>
        <v>-1390.1995863699999</v>
      </c>
      <c r="W23" s="281">
        <f t="shared" si="12"/>
        <v>-1841.1950590099998</v>
      </c>
      <c r="X23" s="281">
        <f t="shared" si="12"/>
        <v>-507.06889099999995</v>
      </c>
      <c r="Y23" s="281">
        <f t="shared" si="12"/>
        <v>-1111.8713896700001</v>
      </c>
      <c r="Z23" s="281">
        <f t="shared" si="12"/>
        <v>-1815.2163194099999</v>
      </c>
      <c r="AA23" s="281">
        <f t="shared" si="12"/>
        <v>-2499.6673262899999</v>
      </c>
      <c r="AB23" s="281">
        <f t="shared" si="12"/>
        <v>-746.53020949000006</v>
      </c>
      <c r="AC23" s="281">
        <f>SUM(AC20:AC22)</f>
        <v>-1532.11695547</v>
      </c>
      <c r="AD23" s="281">
        <f>SUM(AD20:AD22)</f>
        <v>-2542.0133391899999</v>
      </c>
      <c r="AE23" s="281">
        <f>SUM(AE20:AE22)</f>
        <v>-3329.1976100699994</v>
      </c>
      <c r="AF23" s="281">
        <f t="shared" ref="AF23:AG23" si="13">SUM(AF20:AF22)</f>
        <v>-992.45727033000003</v>
      </c>
      <c r="AG23" s="281">
        <f t="shared" si="13"/>
        <v>-2082.2832910799998</v>
      </c>
    </row>
    <row r="24" spans="1:33">
      <c r="A24" s="277"/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O24" s="279"/>
      <c r="P24" s="279"/>
      <c r="Q24" s="279"/>
      <c r="R24" s="279"/>
      <c r="S24" s="279"/>
      <c r="T24" s="279"/>
      <c r="U24" s="279"/>
      <c r="V24" s="279"/>
      <c r="W24" s="279"/>
      <c r="X24" s="279"/>
      <c r="Y24" s="279"/>
      <c r="Z24" s="279"/>
      <c r="AA24" s="279"/>
      <c r="AB24" s="279"/>
      <c r="AC24" s="279"/>
      <c r="AD24" s="279"/>
      <c r="AE24" s="279"/>
      <c r="AF24" s="279"/>
      <c r="AG24" s="279"/>
    </row>
    <row r="25" spans="1:33">
      <c r="A25" s="277"/>
      <c r="B25" s="140" t="s">
        <v>846</v>
      </c>
      <c r="C25" s="280">
        <f>-Wind!U26</f>
        <v>-0.53539999999999999</v>
      </c>
      <c r="D25" s="280">
        <f>-Wind!V26</f>
        <v>-2.2846108799999998</v>
      </c>
      <c r="E25" s="280">
        <f>Wind!W26+Wind!W27</f>
        <v>-6.5609849000000002</v>
      </c>
      <c r="F25" s="280">
        <f>Wind!X26+Wind!X27</f>
        <v>0.61752069999999992</v>
      </c>
      <c r="G25" s="280">
        <f>Wind!Y26+Wind!Y27</f>
        <v>-0.78503443999999989</v>
      </c>
      <c r="H25" s="280">
        <f>Wind!Z26+Wind!Z27</f>
        <v>-0.35814104999999996</v>
      </c>
      <c r="I25" s="280">
        <f>Wind!AA26+Wind!AA27</f>
        <v>-1.6924195800000001</v>
      </c>
      <c r="J25" s="280">
        <f>Wind!AB26+Wind!AB27</f>
        <v>-0.95792707999999993</v>
      </c>
      <c r="K25" s="280"/>
      <c r="L25" s="280">
        <f>-Wind!CB26</f>
        <v>0</v>
      </c>
      <c r="M25" s="280">
        <f>-Wind!CC26</f>
        <v>0</v>
      </c>
      <c r="N25" s="280">
        <f>-Wind!CD26</f>
        <v>0</v>
      </c>
      <c r="O25" s="280">
        <f>-Wind!CE26</f>
        <v>0</v>
      </c>
      <c r="P25" s="280">
        <f>-Wind!CF26</f>
        <v>0</v>
      </c>
      <c r="Q25" s="280">
        <f>-Wind!CG26</f>
        <v>0</v>
      </c>
      <c r="R25" s="280">
        <f>-Wind!CH26</f>
        <v>0</v>
      </c>
      <c r="S25" s="280">
        <f>-Wind!CI26</f>
        <v>0</v>
      </c>
      <c r="T25" s="280">
        <f>-Wind!CJ26</f>
        <v>0</v>
      </c>
      <c r="U25" s="280">
        <f>-Wind!CK26</f>
        <v>0</v>
      </c>
      <c r="V25" s="280">
        <f>-Wind!CL26</f>
        <v>0</v>
      </c>
      <c r="W25" s="280">
        <f>-Wind!CM26</f>
        <v>0</v>
      </c>
      <c r="X25" s="280">
        <f>-Wind!CN26</f>
        <v>0</v>
      </c>
      <c r="Y25" s="280">
        <f>-Wind!CO26</f>
        <v>0</v>
      </c>
      <c r="Z25" s="280">
        <f>-Wind!CP26</f>
        <v>0</v>
      </c>
      <c r="AA25" s="280">
        <f>-Wind!CQ26</f>
        <v>0</v>
      </c>
      <c r="AB25" s="280">
        <f>-Wind!CR26</f>
        <v>0</v>
      </c>
      <c r="AC25" s="280">
        <f>-Wind!CS26</f>
        <v>0</v>
      </c>
      <c r="AD25" s="280">
        <f>-Wind!CT26</f>
        <v>0</v>
      </c>
      <c r="AE25" s="280">
        <f>-Wind!CU26</f>
        <v>0</v>
      </c>
      <c r="AF25" s="280">
        <f>-Wind!CV26</f>
        <v>0</v>
      </c>
      <c r="AG25" s="280">
        <f>-Wind!CW26</f>
        <v>0</v>
      </c>
    </row>
    <row r="26" spans="1:33">
      <c r="A26" s="277"/>
      <c r="B26" s="140" t="s">
        <v>1082</v>
      </c>
      <c r="C26" s="280">
        <f>Wind!U29</f>
        <v>0</v>
      </c>
      <c r="D26" s="280">
        <f>Wind!V29</f>
        <v>0</v>
      </c>
      <c r="E26" s="280">
        <f>Wind!W29</f>
        <v>0</v>
      </c>
      <c r="F26" s="280">
        <f>Wind!X29</f>
        <v>0</v>
      </c>
      <c r="G26" s="280">
        <f>Wind!Y29</f>
        <v>116.67008993</v>
      </c>
      <c r="H26" s="280">
        <f>Wind!Z29</f>
        <v>12.7878311</v>
      </c>
      <c r="I26" s="280">
        <f>Wind!AA29</f>
        <v>29.3724329</v>
      </c>
      <c r="J26" s="280">
        <f>Wind!AB29</f>
        <v>32.948581670000003</v>
      </c>
      <c r="K26" s="280"/>
      <c r="L26" s="280">
        <f>Wind!CB29</f>
        <v>0</v>
      </c>
      <c r="M26" s="280">
        <f>Wind!CC29</f>
        <v>0</v>
      </c>
      <c r="N26" s="280">
        <f>Wind!CD29</f>
        <v>0</v>
      </c>
      <c r="O26" s="280">
        <f>Wind!CE29</f>
        <v>0</v>
      </c>
      <c r="P26" s="280">
        <f>Wind!CF29</f>
        <v>0</v>
      </c>
      <c r="Q26" s="280">
        <f>Wind!CG29</f>
        <v>6.2103795100000001</v>
      </c>
      <c r="R26" s="280">
        <f>Wind!CH29</f>
        <v>18.405171070000002</v>
      </c>
      <c r="S26" s="280">
        <f>Wind!CI29</f>
        <v>116.67008993</v>
      </c>
      <c r="T26" s="280">
        <f>Wind!CJ29</f>
        <v>9.0390022499999993</v>
      </c>
      <c r="U26" s="280">
        <f>Wind!CK29</f>
        <v>32.879002479999997</v>
      </c>
      <c r="V26" s="280">
        <f>Wind!CL29</f>
        <v>44.929165900000001</v>
      </c>
      <c r="W26" s="280">
        <f>Wind!CM29</f>
        <v>12.7878311</v>
      </c>
      <c r="X26" s="280">
        <f>Wind!CN29</f>
        <v>31.60465378</v>
      </c>
      <c r="Y26" s="280">
        <f>Wind!CO29</f>
        <v>72.317929159999991</v>
      </c>
      <c r="Z26" s="280">
        <f>Wind!CP29</f>
        <v>62.836852110000002</v>
      </c>
      <c r="AA26" s="280">
        <f>Wind!CQ29</f>
        <v>29.3724329</v>
      </c>
      <c r="AB26" s="280">
        <f>Wind!CR29</f>
        <v>27.353914769999999</v>
      </c>
      <c r="AC26" s="280">
        <f>Wind!CS29</f>
        <v>14.529543929999999</v>
      </c>
      <c r="AD26" s="280">
        <f>Wind!CT29</f>
        <v>29.774980199999998</v>
      </c>
      <c r="AE26" s="280">
        <f>Wind!CU29</f>
        <v>32.948581670000003</v>
      </c>
      <c r="AF26" s="280">
        <f>Wind!CV29</f>
        <v>22.160317339999999</v>
      </c>
      <c r="AG26" s="280">
        <f>Wind!CW29</f>
        <v>79.295974889999997</v>
      </c>
    </row>
    <row r="27" spans="1:33" s="85" customFormat="1">
      <c r="A27" s="276"/>
      <c r="B27" s="282" t="s">
        <v>845</v>
      </c>
      <c r="C27" s="281">
        <f t="shared" ref="C27:I27" si="14">SUM(C25:C26)</f>
        <v>-0.53539999999999999</v>
      </c>
      <c r="D27" s="281">
        <f t="shared" si="14"/>
        <v>-2.2846108799999998</v>
      </c>
      <c r="E27" s="281">
        <f t="shared" si="14"/>
        <v>-6.5609849000000002</v>
      </c>
      <c r="F27" s="281">
        <f t="shared" si="14"/>
        <v>0.61752069999999992</v>
      </c>
      <c r="G27" s="281">
        <f t="shared" si="14"/>
        <v>115.88505549</v>
      </c>
      <c r="H27" s="281">
        <f t="shared" si="14"/>
        <v>12.42969005</v>
      </c>
      <c r="I27" s="281">
        <f t="shared" si="14"/>
        <v>27.68001332</v>
      </c>
      <c r="J27" s="281">
        <f>SUM(J25:J26)</f>
        <v>31.990654590000002</v>
      </c>
      <c r="K27" s="281"/>
      <c r="L27" s="281">
        <f t="shared" ref="L27:R27" si="15">SUM(L25:L26)</f>
        <v>0</v>
      </c>
      <c r="M27" s="281">
        <f t="shared" si="15"/>
        <v>0</v>
      </c>
      <c r="N27" s="281">
        <f t="shared" si="15"/>
        <v>0</v>
      </c>
      <c r="O27" s="281">
        <f t="shared" si="15"/>
        <v>0</v>
      </c>
      <c r="P27" s="281">
        <f t="shared" si="15"/>
        <v>0</v>
      </c>
      <c r="Q27" s="281">
        <f t="shared" si="15"/>
        <v>6.2103795100000001</v>
      </c>
      <c r="R27" s="281">
        <f t="shared" si="15"/>
        <v>18.405171070000002</v>
      </c>
      <c r="S27" s="281">
        <f t="shared" ref="S27:AB27" si="16">SUM(S25:S26)</f>
        <v>116.67008993</v>
      </c>
      <c r="T27" s="281">
        <f t="shared" si="16"/>
        <v>9.0390022499999993</v>
      </c>
      <c r="U27" s="281">
        <f t="shared" si="16"/>
        <v>32.879002479999997</v>
      </c>
      <c r="V27" s="281">
        <f t="shared" si="16"/>
        <v>44.929165900000001</v>
      </c>
      <c r="W27" s="281">
        <f t="shared" si="16"/>
        <v>12.7878311</v>
      </c>
      <c r="X27" s="281">
        <f t="shared" si="16"/>
        <v>31.60465378</v>
      </c>
      <c r="Y27" s="281">
        <f t="shared" si="16"/>
        <v>72.317929159999991</v>
      </c>
      <c r="Z27" s="281">
        <f t="shared" si="16"/>
        <v>62.836852110000002</v>
      </c>
      <c r="AA27" s="281">
        <f t="shared" si="16"/>
        <v>29.3724329</v>
      </c>
      <c r="AB27" s="281">
        <f t="shared" si="16"/>
        <v>27.353914769999999</v>
      </c>
      <c r="AC27" s="281">
        <f>SUM(AC25:AC26)</f>
        <v>14.529543929999999</v>
      </c>
      <c r="AD27" s="281">
        <f>SUM(AD25:AD26)</f>
        <v>29.774980199999998</v>
      </c>
      <c r="AE27" s="281">
        <f>SUM(AE25:AE26)</f>
        <v>32.948581670000003</v>
      </c>
      <c r="AF27" s="281">
        <f t="shared" ref="AF27:AG27" si="17">SUM(AF25:AF26)</f>
        <v>22.160317339999999</v>
      </c>
      <c r="AG27" s="281">
        <f t="shared" si="17"/>
        <v>79.295974889999997</v>
      </c>
    </row>
    <row r="28" spans="1:33">
      <c r="A28" s="277"/>
      <c r="C28" s="279"/>
      <c r="D28" s="279"/>
      <c r="E28" s="279"/>
      <c r="F28" s="279"/>
      <c r="G28" s="279"/>
      <c r="H28" s="279"/>
      <c r="I28" s="279"/>
      <c r="J28" s="279"/>
      <c r="K28" s="279"/>
      <c r="L28" s="279"/>
      <c r="M28" s="279"/>
      <c r="N28" s="279"/>
      <c r="O28" s="279"/>
      <c r="P28" s="279"/>
      <c r="Q28" s="279"/>
      <c r="R28" s="279"/>
      <c r="S28" s="279"/>
      <c r="T28" s="279"/>
      <c r="U28" s="279"/>
      <c r="V28" s="279"/>
      <c r="W28" s="279"/>
      <c r="X28" s="279"/>
      <c r="Y28" s="279"/>
      <c r="Z28" s="279"/>
      <c r="AA28" s="279"/>
      <c r="AB28" s="279"/>
      <c r="AC28" s="279"/>
      <c r="AD28" s="279"/>
      <c r="AE28" s="279"/>
      <c r="AF28" s="279"/>
      <c r="AG28" s="279"/>
    </row>
    <row r="29" spans="1:33" s="85" customFormat="1">
      <c r="A29" s="276"/>
      <c r="B29" s="282" t="s">
        <v>35</v>
      </c>
      <c r="C29" s="281">
        <f t="shared" ref="C29:I29" si="18">C18+C23+C27</f>
        <v>380.29420000000005</v>
      </c>
      <c r="D29" s="281">
        <f t="shared" si="18"/>
        <v>241.36157556000006</v>
      </c>
      <c r="E29" s="281">
        <f t="shared" si="18"/>
        <v>703.29121155000007</v>
      </c>
      <c r="F29" s="281">
        <f t="shared" si="18"/>
        <v>1001.1287886400004</v>
      </c>
      <c r="G29" s="281">
        <f t="shared" si="18"/>
        <v>1472.5063020599998</v>
      </c>
      <c r="H29" s="281">
        <f t="shared" si="18"/>
        <v>1771.1630328099995</v>
      </c>
      <c r="I29" s="281">
        <f t="shared" si="18"/>
        <v>2379.1530102100005</v>
      </c>
      <c r="J29" s="281">
        <f>J18+J23+J27</f>
        <v>3800.0838701400012</v>
      </c>
      <c r="K29" s="281"/>
      <c r="L29" s="281">
        <f t="shared" ref="L29:R29" si="19">L18+L23+L27</f>
        <v>204.93954829999996</v>
      </c>
      <c r="M29" s="281">
        <f t="shared" si="19"/>
        <v>567.51649999999995</v>
      </c>
      <c r="N29" s="281">
        <f t="shared" si="19"/>
        <v>883.6492532499999</v>
      </c>
      <c r="O29" s="281">
        <f t="shared" si="19"/>
        <v>1000.5112679400004</v>
      </c>
      <c r="P29" s="281">
        <f t="shared" si="19"/>
        <v>429.81866008000014</v>
      </c>
      <c r="Q29" s="281">
        <f t="shared" si="19"/>
        <v>842.80181264000021</v>
      </c>
      <c r="R29" s="281">
        <f t="shared" si="19"/>
        <v>1232.5118059099996</v>
      </c>
      <c r="S29" s="281">
        <f t="shared" ref="S29:AB29" si="20">S18+S23+S27</f>
        <v>1473.2913364999997</v>
      </c>
      <c r="T29" s="281">
        <f t="shared" si="20"/>
        <v>437.9307308299999</v>
      </c>
      <c r="U29" s="281">
        <f t="shared" si="20"/>
        <v>962.70493521999947</v>
      </c>
      <c r="V29" s="281">
        <f t="shared" si="20"/>
        <v>1428.70212029</v>
      </c>
      <c r="W29" s="281">
        <f t="shared" si="20"/>
        <v>1771.5211738599994</v>
      </c>
      <c r="X29" s="281">
        <f t="shared" si="20"/>
        <v>608.7555082600004</v>
      </c>
      <c r="Y29" s="281">
        <f t="shared" si="20"/>
        <v>1314.0206311899992</v>
      </c>
      <c r="Z29" s="281">
        <f t="shared" si="20"/>
        <v>1921.5241866100009</v>
      </c>
      <c r="AA29" s="281">
        <f t="shared" si="20"/>
        <v>2380.8454297900007</v>
      </c>
      <c r="AB29" s="281">
        <f t="shared" si="20"/>
        <v>770.17139040999962</v>
      </c>
      <c r="AC29" s="281">
        <f>AC18+AC23+AC27</f>
        <v>1993.9564656000005</v>
      </c>
      <c r="AD29" s="281">
        <f>AD18+AD23+AD27</f>
        <v>3145.2767877600008</v>
      </c>
      <c r="AE29" s="281">
        <f>AE18+AE23+AE27</f>
        <v>3801.0417972200012</v>
      </c>
      <c r="AF29" s="281">
        <f t="shared" ref="AF29" si="21">AF18+AF23+AF27</f>
        <v>1185.5830573900002</v>
      </c>
      <c r="AG29" s="281">
        <f t="shared" ref="AG29" si="22">AG18+AG23+AG27</f>
        <v>2844.226308480002</v>
      </c>
    </row>
    <row r="30" spans="1:33">
      <c r="A30" s="277"/>
      <c r="C30" s="279"/>
      <c r="D30" s="279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O30" s="279"/>
      <c r="P30" s="279"/>
      <c r="Q30" s="279"/>
      <c r="R30" s="279"/>
      <c r="S30" s="279"/>
      <c r="T30" s="279"/>
      <c r="U30" s="279"/>
      <c r="V30" s="279"/>
      <c r="W30" s="279"/>
      <c r="X30" s="279"/>
      <c r="Y30" s="279"/>
      <c r="Z30" s="279"/>
      <c r="AA30" s="279"/>
      <c r="AB30" s="279"/>
      <c r="AC30" s="279"/>
      <c r="AD30" s="279"/>
      <c r="AE30" s="279"/>
      <c r="AF30" s="279"/>
      <c r="AG30" s="279"/>
    </row>
    <row r="31" spans="1:33" s="85" customFormat="1">
      <c r="A31" s="276"/>
      <c r="B31" s="140" t="s">
        <v>40</v>
      </c>
      <c r="C31" s="85">
        <f t="shared" ref="C31:I31" si="23">-SUM(C228:C233)</f>
        <v>0</v>
      </c>
      <c r="D31" s="85">
        <f t="shared" si="23"/>
        <v>-77.859574969999997</v>
      </c>
      <c r="E31" s="85">
        <f t="shared" si="23"/>
        <v>-102.17591390000001</v>
      </c>
      <c r="F31" s="85">
        <f t="shared" si="23"/>
        <v>-124.58530337000001</v>
      </c>
      <c r="G31" s="85">
        <f t="shared" si="23"/>
        <v>-173.10489672</v>
      </c>
      <c r="H31" s="85">
        <f t="shared" si="23"/>
        <v>-211.9910213</v>
      </c>
      <c r="I31" s="85">
        <f t="shared" si="23"/>
        <v>-241.69913559</v>
      </c>
      <c r="J31" s="85">
        <f>-SUM(J228:J233)</f>
        <v>-325.93171645999996</v>
      </c>
      <c r="L31" s="85">
        <f t="shared" ref="L31:R31" si="24">-SUM(L228:L233)</f>
        <v>-28.306063089999999</v>
      </c>
      <c r="M31" s="85">
        <f t="shared" si="24"/>
        <v>0</v>
      </c>
      <c r="N31" s="85">
        <f t="shared" si="24"/>
        <v>0</v>
      </c>
      <c r="O31" s="85">
        <f t="shared" si="24"/>
        <v>-124.58530337000001</v>
      </c>
      <c r="P31" s="85">
        <f t="shared" si="24"/>
        <v>-37.137888789999998</v>
      </c>
      <c r="Q31" s="85">
        <f t="shared" si="24"/>
        <v>-79.766064379999989</v>
      </c>
      <c r="R31" s="85">
        <f t="shared" si="24"/>
        <v>0</v>
      </c>
      <c r="S31" s="85">
        <f t="shared" ref="S31:AB31" si="25">-SUM(S228:S233)</f>
        <v>-173.10489672</v>
      </c>
      <c r="T31" s="85">
        <f t="shared" si="25"/>
        <v>0</v>
      </c>
      <c r="U31" s="85">
        <f t="shared" si="25"/>
        <v>-99.823009129999988</v>
      </c>
      <c r="V31" s="85">
        <f t="shared" si="25"/>
        <v>0</v>
      </c>
      <c r="W31" s="85">
        <f t="shared" si="25"/>
        <v>-211.9910213</v>
      </c>
      <c r="X31" s="85">
        <f t="shared" si="25"/>
        <v>0</v>
      </c>
      <c r="Y31" s="85">
        <f t="shared" si="25"/>
        <v>-114.75821863</v>
      </c>
      <c r="Z31" s="85">
        <f t="shared" si="25"/>
        <v>0</v>
      </c>
      <c r="AA31" s="85">
        <f t="shared" si="25"/>
        <v>-241.69913559</v>
      </c>
      <c r="AB31" s="85">
        <f t="shared" si="25"/>
        <v>0</v>
      </c>
      <c r="AC31" s="85">
        <f>-SUM(AC228:AC233)</f>
        <v>-154.38296821</v>
      </c>
      <c r="AD31" s="85">
        <f>-SUM(AD228:AD233)</f>
        <v>0</v>
      </c>
      <c r="AE31" s="85">
        <f>-SUM(AE228:AE233)</f>
        <v>-325.93171645999996</v>
      </c>
      <c r="AF31" s="85">
        <f t="shared" ref="AF31" si="26">-SUM(AF228:AF233)</f>
        <v>0</v>
      </c>
      <c r="AG31" s="85">
        <f t="shared" ref="AG31" si="27">-SUM(AG228:AG233)</f>
        <v>-202.23706357</v>
      </c>
    </row>
    <row r="32" spans="1:33" s="85" customFormat="1">
      <c r="A32" s="276"/>
      <c r="B32" s="140" t="s">
        <v>38</v>
      </c>
      <c r="C32" s="85">
        <f t="shared" ref="C32:I32" si="28">-SUM(C226:C227)</f>
        <v>0</v>
      </c>
      <c r="D32" s="85">
        <f t="shared" si="28"/>
        <v>-7.1119130899999998</v>
      </c>
      <c r="E32" s="85">
        <f t="shared" si="28"/>
        <v>-7.5485511800000005</v>
      </c>
      <c r="F32" s="85">
        <f t="shared" si="28"/>
        <v>-9.8574460500000001</v>
      </c>
      <c r="G32" s="85">
        <f t="shared" si="28"/>
        <v>-12.007907210000001</v>
      </c>
      <c r="H32" s="85">
        <f t="shared" si="28"/>
        <v>-11.950350090000001</v>
      </c>
      <c r="I32" s="85">
        <f t="shared" si="28"/>
        <v>-12.33999043</v>
      </c>
      <c r="J32" s="85">
        <f>-SUM(J226:J227)</f>
        <v>-17.11997002</v>
      </c>
      <c r="L32" s="85">
        <f t="shared" ref="L32:R32" si="29">-SUM(L226:L227)</f>
        <v>-2.2813830199999998</v>
      </c>
      <c r="M32" s="85">
        <f t="shared" si="29"/>
        <v>0</v>
      </c>
      <c r="N32" s="85">
        <f t="shared" si="29"/>
        <v>0</v>
      </c>
      <c r="O32" s="85">
        <f t="shared" si="29"/>
        <v>-9.8574460500000001</v>
      </c>
      <c r="P32" s="85">
        <f t="shared" si="29"/>
        <v>-2.9029220200000001</v>
      </c>
      <c r="Q32" s="85">
        <f t="shared" si="29"/>
        <v>-5.7767922900000013</v>
      </c>
      <c r="R32" s="85">
        <f t="shared" si="29"/>
        <v>0</v>
      </c>
      <c r="S32" s="85">
        <f t="shared" ref="S32:AB32" si="30">-SUM(S226:S227)</f>
        <v>-12.007907210000001</v>
      </c>
      <c r="T32" s="85">
        <f t="shared" si="30"/>
        <v>0</v>
      </c>
      <c r="U32" s="85">
        <f t="shared" si="30"/>
        <v>-8.9058229400000002</v>
      </c>
      <c r="V32" s="85">
        <f t="shared" si="30"/>
        <v>0</v>
      </c>
      <c r="W32" s="85">
        <f t="shared" si="30"/>
        <v>-11.950350090000001</v>
      </c>
      <c r="X32" s="85">
        <f t="shared" si="30"/>
        <v>0</v>
      </c>
      <c r="Y32" s="85">
        <f t="shared" si="30"/>
        <v>-6.7320968900000002</v>
      </c>
      <c r="Z32" s="85">
        <f t="shared" si="30"/>
        <v>0</v>
      </c>
      <c r="AA32" s="85">
        <f t="shared" si="30"/>
        <v>-12.33999043</v>
      </c>
      <c r="AB32" s="85">
        <f t="shared" si="30"/>
        <v>0</v>
      </c>
      <c r="AC32" s="85">
        <f>-SUM(AC226:AC227)</f>
        <v>-9.3876388099999986</v>
      </c>
      <c r="AD32" s="85">
        <f>-SUM(AD226:AD227)</f>
        <v>0</v>
      </c>
      <c r="AE32" s="85">
        <f>-SUM(AE226:AE227)</f>
        <v>-17.11997002</v>
      </c>
      <c r="AF32" s="85">
        <f t="shared" ref="AF32" si="31">-SUM(AF226:AF227)</f>
        <v>0</v>
      </c>
      <c r="AG32" s="85">
        <f t="shared" ref="AG32" si="32">-SUM(AG226:AG227)</f>
        <v>-17.380852340000001</v>
      </c>
    </row>
    <row r="33" spans="1:33" s="85" customFormat="1">
      <c r="A33" s="276"/>
      <c r="B33" s="282" t="s">
        <v>844</v>
      </c>
      <c r="C33" s="281">
        <f t="shared" ref="C33:I33" si="33">SUM(C31:C32)</f>
        <v>0</v>
      </c>
      <c r="D33" s="281">
        <f t="shared" si="33"/>
        <v>-84.971488059999999</v>
      </c>
      <c r="E33" s="281">
        <f t="shared" si="33"/>
        <v>-109.72446508000002</v>
      </c>
      <c r="F33" s="281">
        <f t="shared" si="33"/>
        <v>-134.44274942000001</v>
      </c>
      <c r="G33" s="281">
        <f t="shared" si="33"/>
        <v>-185.11280393000001</v>
      </c>
      <c r="H33" s="281">
        <f t="shared" si="33"/>
        <v>-223.94137139</v>
      </c>
      <c r="I33" s="281">
        <f t="shared" si="33"/>
        <v>-254.03912602</v>
      </c>
      <c r="J33" s="281">
        <f>SUM(J31:J32)</f>
        <v>-343.05168647999994</v>
      </c>
      <c r="K33" s="281"/>
      <c r="L33" s="281">
        <f t="shared" ref="L33:R33" si="34">SUM(L31:L32)</f>
        <v>-30.587446109999998</v>
      </c>
      <c r="M33" s="281">
        <f t="shared" si="34"/>
        <v>0</v>
      </c>
      <c r="N33" s="281">
        <f t="shared" si="34"/>
        <v>0</v>
      </c>
      <c r="O33" s="281">
        <f t="shared" si="34"/>
        <v>-134.44274942000001</v>
      </c>
      <c r="P33" s="281">
        <f t="shared" si="34"/>
        <v>-40.040810809999996</v>
      </c>
      <c r="Q33" s="281">
        <f t="shared" si="34"/>
        <v>-85.542856669999992</v>
      </c>
      <c r="R33" s="281">
        <f t="shared" si="34"/>
        <v>0</v>
      </c>
      <c r="S33" s="281">
        <f t="shared" ref="S33:AB33" si="35">SUM(S31:S32)</f>
        <v>-185.11280393000001</v>
      </c>
      <c r="T33" s="281">
        <f t="shared" si="35"/>
        <v>0</v>
      </c>
      <c r="U33" s="281">
        <f t="shared" si="35"/>
        <v>-108.72883206999998</v>
      </c>
      <c r="V33" s="281">
        <f t="shared" si="35"/>
        <v>0</v>
      </c>
      <c r="W33" s="281">
        <f t="shared" si="35"/>
        <v>-223.94137139</v>
      </c>
      <c r="X33" s="281">
        <f t="shared" si="35"/>
        <v>0</v>
      </c>
      <c r="Y33" s="281">
        <f t="shared" si="35"/>
        <v>-121.49031552</v>
      </c>
      <c r="Z33" s="281">
        <f t="shared" si="35"/>
        <v>0</v>
      </c>
      <c r="AA33" s="281">
        <f t="shared" si="35"/>
        <v>-254.03912602</v>
      </c>
      <c r="AB33" s="281">
        <f t="shared" si="35"/>
        <v>0</v>
      </c>
      <c r="AC33" s="281">
        <f>SUM(AC31:AC32)</f>
        <v>-163.77060702</v>
      </c>
      <c r="AD33" s="281">
        <f>SUM(AD31:AD32)</f>
        <v>0</v>
      </c>
      <c r="AE33" s="281">
        <f>SUM(AE31:AE32)</f>
        <v>-343.05168647999994</v>
      </c>
      <c r="AF33" s="281">
        <f t="shared" ref="AF33:AG33" si="36">SUM(AF31:AF32)</f>
        <v>0</v>
      </c>
      <c r="AG33" s="281">
        <f t="shared" si="36"/>
        <v>-219.61791590999999</v>
      </c>
    </row>
    <row r="34" spans="1:33">
      <c r="A34" s="277"/>
      <c r="C34" s="279"/>
      <c r="D34" s="279"/>
      <c r="E34" s="279"/>
      <c r="F34" s="279"/>
      <c r="G34" s="279"/>
      <c r="H34" s="279"/>
      <c r="I34" s="279"/>
      <c r="J34" s="279"/>
      <c r="K34" s="279"/>
      <c r="L34" s="279"/>
      <c r="M34" s="279"/>
      <c r="N34" s="279"/>
      <c r="O34" s="279"/>
      <c r="P34" s="279"/>
      <c r="Q34" s="279"/>
      <c r="R34" s="279"/>
      <c r="S34" s="279"/>
      <c r="T34" s="279"/>
      <c r="U34" s="279"/>
      <c r="V34" s="279"/>
      <c r="W34" s="279"/>
      <c r="X34" s="279"/>
      <c r="Y34" s="279"/>
      <c r="Z34" s="279"/>
      <c r="AA34" s="279"/>
      <c r="AB34" s="279"/>
      <c r="AC34" s="279"/>
      <c r="AD34" s="279"/>
      <c r="AE34" s="279"/>
      <c r="AF34" s="279"/>
      <c r="AG34" s="279"/>
    </row>
    <row r="35" spans="1:33" s="85" customFormat="1">
      <c r="A35" s="276"/>
      <c r="B35" s="282" t="s">
        <v>42</v>
      </c>
      <c r="C35" s="281">
        <f t="shared" ref="C35:I35" si="37">C29-SUM(C31:C32)</f>
        <v>380.29420000000005</v>
      </c>
      <c r="D35" s="281">
        <f t="shared" si="37"/>
        <v>326.33306362000008</v>
      </c>
      <c r="E35" s="281">
        <f t="shared" si="37"/>
        <v>813.01567663000014</v>
      </c>
      <c r="F35" s="281">
        <f t="shared" si="37"/>
        <v>1135.5715380600004</v>
      </c>
      <c r="G35" s="281">
        <f t="shared" si="37"/>
        <v>1657.6191059899998</v>
      </c>
      <c r="H35" s="281">
        <f t="shared" si="37"/>
        <v>1995.1044041999996</v>
      </c>
      <c r="I35" s="281">
        <f t="shared" si="37"/>
        <v>2633.1921362300004</v>
      </c>
      <c r="J35" s="281">
        <f>J29-SUM(J31:J32)</f>
        <v>4143.1355566200009</v>
      </c>
      <c r="K35" s="281"/>
      <c r="L35" s="281">
        <f t="shared" ref="L35:R35" si="38">L29-SUM(L31:L32)</f>
        <v>235.52699440999996</v>
      </c>
      <c r="M35" s="281">
        <f t="shared" si="38"/>
        <v>567.51649999999995</v>
      </c>
      <c r="N35" s="281">
        <f t="shared" si="38"/>
        <v>883.6492532499999</v>
      </c>
      <c r="O35" s="281">
        <f t="shared" si="38"/>
        <v>1134.9540173600003</v>
      </c>
      <c r="P35" s="281">
        <f t="shared" si="38"/>
        <v>469.85947089000013</v>
      </c>
      <c r="Q35" s="281">
        <f t="shared" si="38"/>
        <v>928.3446693100002</v>
      </c>
      <c r="R35" s="281">
        <f t="shared" si="38"/>
        <v>1232.5118059099996</v>
      </c>
      <c r="S35" s="281">
        <f t="shared" ref="S35:AB35" si="39">S29-SUM(S31:S32)</f>
        <v>1658.4041404299996</v>
      </c>
      <c r="T35" s="281">
        <f t="shared" si="39"/>
        <v>437.9307308299999</v>
      </c>
      <c r="U35" s="281">
        <f t="shared" si="39"/>
        <v>1071.4337672899994</v>
      </c>
      <c r="V35" s="281">
        <f t="shared" si="39"/>
        <v>1428.70212029</v>
      </c>
      <c r="W35" s="281">
        <f t="shared" si="39"/>
        <v>1995.4625452499995</v>
      </c>
      <c r="X35" s="281">
        <f t="shared" si="39"/>
        <v>608.7555082600004</v>
      </c>
      <c r="Y35" s="281">
        <f t="shared" si="39"/>
        <v>1435.5109467099992</v>
      </c>
      <c r="Z35" s="281">
        <f t="shared" si="39"/>
        <v>1921.5241866100009</v>
      </c>
      <c r="AA35" s="281">
        <f t="shared" si="39"/>
        <v>2634.8845558100006</v>
      </c>
      <c r="AB35" s="281">
        <f t="shared" si="39"/>
        <v>770.17139040999962</v>
      </c>
      <c r="AC35" s="281">
        <f>AC29-SUM(AC31:AC32)</f>
        <v>2157.7270726200004</v>
      </c>
      <c r="AD35" s="281">
        <f>AD29-SUM(AD31:AD32)</f>
        <v>3145.2767877600008</v>
      </c>
      <c r="AE35" s="281">
        <f>AE29-SUM(AE31:AE32)</f>
        <v>4144.0934837000013</v>
      </c>
      <c r="AF35" s="281">
        <f t="shared" ref="AF35" si="40">AF29-SUM(AF31:AF32)</f>
        <v>1185.5830573900002</v>
      </c>
      <c r="AG35" s="281">
        <f t="shared" ref="AG35" si="41">AG29-SUM(AG31:AG32)</f>
        <v>3063.8442243900022</v>
      </c>
    </row>
    <row r="36" spans="1:33" s="273" customFormat="1">
      <c r="A36" s="274"/>
      <c r="B36" s="275" t="s">
        <v>657</v>
      </c>
    </row>
    <row r="37" spans="1:33">
      <c r="A37" s="277"/>
      <c r="C37" s="279"/>
      <c r="D37" s="279"/>
      <c r="E37" s="279"/>
      <c r="F37" s="279"/>
      <c r="G37" s="279"/>
      <c r="H37" s="279"/>
      <c r="I37" s="279"/>
      <c r="J37" s="279"/>
      <c r="K37" s="279"/>
      <c r="L37" s="279"/>
      <c r="M37" s="279"/>
      <c r="N37" s="279"/>
      <c r="O37" s="279"/>
      <c r="P37" s="279"/>
      <c r="Q37" s="279"/>
      <c r="R37" s="279"/>
      <c r="S37" s="279"/>
      <c r="T37" s="279"/>
      <c r="U37" s="279"/>
      <c r="V37" s="279"/>
      <c r="W37" s="279"/>
      <c r="X37" s="279"/>
      <c r="Y37" s="279"/>
      <c r="Z37" s="279"/>
      <c r="AA37" s="279"/>
      <c r="AB37" s="279"/>
      <c r="AC37" s="279"/>
      <c r="AD37" s="279"/>
      <c r="AE37" s="279"/>
      <c r="AF37" s="279"/>
      <c r="AG37" s="279"/>
    </row>
    <row r="38" spans="1:33" s="85" customFormat="1">
      <c r="A38" s="276"/>
      <c r="B38" s="140" t="s">
        <v>34</v>
      </c>
      <c r="C38" s="300">
        <f>Wind!U273</f>
        <v>0</v>
      </c>
      <c r="D38" s="300">
        <f>Wind!V273</f>
        <v>2.7387297599999996</v>
      </c>
      <c r="E38" s="300">
        <f>Wind!W273</f>
        <v>20.080900679999999</v>
      </c>
      <c r="F38" s="278">
        <f>Wind!X273</f>
        <v>26.04038886</v>
      </c>
      <c r="G38" s="1340">
        <f>Wind!Y273</f>
        <v>29.262542249999999</v>
      </c>
      <c r="H38" s="278">
        <f>Wind!Z273</f>
        <v>19.820947690000001</v>
      </c>
      <c r="I38" s="278">
        <f>Wind!AA273</f>
        <v>122.48630601000001</v>
      </c>
      <c r="J38" s="278">
        <f>Wind!AB273</f>
        <v>260.35606838999996</v>
      </c>
      <c r="K38" s="278"/>
      <c r="L38" s="300">
        <f>Wind!CB273</f>
        <v>5.2134532199999999</v>
      </c>
      <c r="M38" s="300">
        <f>Wind!CC273</f>
        <v>0</v>
      </c>
      <c r="N38" s="300">
        <f>Wind!CD273</f>
        <v>0</v>
      </c>
      <c r="O38" s="300">
        <f>Wind!CE273</f>
        <v>26.04038886</v>
      </c>
      <c r="P38" s="300">
        <f>Wind!CF273</f>
        <v>5.9658977999999996</v>
      </c>
      <c r="Q38" s="300">
        <f>Wind!CG273</f>
        <v>11.67165172</v>
      </c>
      <c r="R38" s="300">
        <f>Wind!CH273</f>
        <v>0</v>
      </c>
      <c r="S38" s="300">
        <f>Wind!CI273</f>
        <v>29.262542249999999</v>
      </c>
      <c r="T38" s="300">
        <f>Wind!CJ273</f>
        <v>0</v>
      </c>
      <c r="U38" s="300">
        <f>Wind!CK273</f>
        <v>6.7554892899999999</v>
      </c>
      <c r="V38" s="300">
        <f>Wind!CL273</f>
        <v>0</v>
      </c>
      <c r="W38" s="300">
        <f>Wind!CM273</f>
        <v>19.820947690000001</v>
      </c>
      <c r="X38" s="300">
        <f>Wind!CN273</f>
        <v>0</v>
      </c>
      <c r="Y38" s="300">
        <f>Wind!CO273</f>
        <v>39.203202060000002</v>
      </c>
      <c r="Z38" s="300">
        <f>Wind!CP273</f>
        <v>0</v>
      </c>
      <c r="AA38" s="300">
        <f>Wind!CQ273</f>
        <v>122.48630601000001</v>
      </c>
      <c r="AB38" s="300">
        <f>Wind!CR273</f>
        <v>0</v>
      </c>
      <c r="AC38" s="300">
        <f>Wind!CS273</f>
        <v>137.10662600000001</v>
      </c>
      <c r="AD38" s="300">
        <f>Wind!CT273</f>
        <v>0</v>
      </c>
      <c r="AE38" s="300">
        <f>Wind!CU273</f>
        <v>260.35606838999996</v>
      </c>
      <c r="AF38" s="300">
        <f>Wind!CV273</f>
        <v>0</v>
      </c>
      <c r="AG38" s="300">
        <f>Wind!CW273</f>
        <v>0</v>
      </c>
    </row>
    <row r="39" spans="1:33" s="85" customFormat="1">
      <c r="A39" s="276"/>
      <c r="B39" s="140" t="s">
        <v>843</v>
      </c>
      <c r="C39" s="300">
        <f>-Wind!U272</f>
        <v>0</v>
      </c>
      <c r="D39" s="300">
        <f>-Wind!V272</f>
        <v>-6.9068464699999996</v>
      </c>
      <c r="E39" s="300">
        <f>-Wind!W272</f>
        <v>-5.40212936</v>
      </c>
      <c r="F39" s="278">
        <f>-Wind!X272</f>
        <v>-9.7758555000000005</v>
      </c>
      <c r="G39" s="1340">
        <f>-Wind!Y272</f>
        <v>-13.615900460000001</v>
      </c>
      <c r="H39" s="278">
        <f>-Wind!Z272</f>
        <v>-52.681527880000004</v>
      </c>
      <c r="I39" s="278">
        <f>-Wind!AA272</f>
        <v>-80.086467639999995</v>
      </c>
      <c r="J39" s="278">
        <f>-Wind!AB272</f>
        <v>-97.913830869999998</v>
      </c>
      <c r="K39" s="278"/>
      <c r="L39" s="300">
        <f>Wind!CB272</f>
        <v>1.4244545100000001</v>
      </c>
      <c r="M39" s="300">
        <f>Wind!CC272</f>
        <v>0</v>
      </c>
      <c r="N39" s="300">
        <f>Wind!CD272</f>
        <v>0</v>
      </c>
      <c r="O39" s="300">
        <f>Wind!CE272</f>
        <v>9.7758555000000005</v>
      </c>
      <c r="P39" s="300">
        <f>Wind!CF272</f>
        <v>3.55783184</v>
      </c>
      <c r="Q39" s="300">
        <f>Wind!CG272</f>
        <v>8.4956241899999991</v>
      </c>
      <c r="R39" s="300">
        <f>Wind!CH272</f>
        <v>0</v>
      </c>
      <c r="S39" s="300">
        <f>Wind!CI272</f>
        <v>13.615900460000001</v>
      </c>
      <c r="T39" s="300">
        <f>Wind!CJ272</f>
        <v>0</v>
      </c>
      <c r="U39" s="300">
        <f>Wind!CK272</f>
        <v>21.900270729999999</v>
      </c>
      <c r="V39" s="300">
        <f>Wind!CL272</f>
        <v>0</v>
      </c>
      <c r="W39" s="300">
        <f>Wind!CM272</f>
        <v>52.681527880000004</v>
      </c>
      <c r="X39" s="300">
        <f>Wind!CN272</f>
        <v>0</v>
      </c>
      <c r="Y39" s="300">
        <f>Wind!CO272</f>
        <v>38.274048759999999</v>
      </c>
      <c r="Z39" s="300">
        <f>Wind!CP272</f>
        <v>0</v>
      </c>
      <c r="AA39" s="300">
        <f>Wind!CQ272</f>
        <v>80.086467639999995</v>
      </c>
      <c r="AB39" s="300">
        <f>Wind!CR272</f>
        <v>0</v>
      </c>
      <c r="AC39" s="300">
        <f>Wind!CS272</f>
        <v>42.293783380000001</v>
      </c>
      <c r="AD39" s="300">
        <f>Wind!CT272</f>
        <v>0</v>
      </c>
      <c r="AE39" s="300">
        <f>Wind!CU272</f>
        <v>97.913830869999998</v>
      </c>
      <c r="AF39" s="300">
        <f>Wind!CV272</f>
        <v>0</v>
      </c>
      <c r="AG39" s="300">
        <f>Wind!CW272</f>
        <v>0</v>
      </c>
    </row>
    <row r="40" spans="1:33">
      <c r="A40" s="277"/>
      <c r="B40" s="140" t="s">
        <v>222</v>
      </c>
      <c r="C40" s="299">
        <f>-Wind!U274</f>
        <v>0</v>
      </c>
      <c r="D40" s="299">
        <f>-Wind!V274</f>
        <v>0</v>
      </c>
      <c r="E40" s="299">
        <f>-Wind!W274</f>
        <v>0</v>
      </c>
      <c r="F40" s="280">
        <f>-Wind!X274</f>
        <v>0</v>
      </c>
      <c r="G40" s="1341">
        <f>-Wind!Y274</f>
        <v>-1.1902858000000001</v>
      </c>
      <c r="H40" s="280">
        <f>-Wind!Z274</f>
        <v>-0.78293142000000004</v>
      </c>
      <c r="I40" s="280">
        <f>-Wind!AA274</f>
        <v>-40.865640899999995</v>
      </c>
      <c r="J40" s="280">
        <f>-Wind!AB274</f>
        <v>44.716060729999995</v>
      </c>
      <c r="K40" s="280"/>
      <c r="L40" s="299">
        <f>Wind!CB274</f>
        <v>0</v>
      </c>
      <c r="M40" s="299">
        <f>Wind!CC274</f>
        <v>0</v>
      </c>
      <c r="N40" s="299">
        <f>Wind!CD274</f>
        <v>0</v>
      </c>
      <c r="O40" s="299">
        <f>Wind!CE274</f>
        <v>0</v>
      </c>
      <c r="P40" s="299">
        <f>Wind!CF274</f>
        <v>0</v>
      </c>
      <c r="Q40" s="299">
        <f>Wind!CG274</f>
        <v>0</v>
      </c>
      <c r="R40" s="299">
        <f>Wind!CH274</f>
        <v>0</v>
      </c>
      <c r="S40" s="299">
        <f>Wind!CI274</f>
        <v>0</v>
      </c>
      <c r="T40" s="299">
        <f>Wind!CJ274</f>
        <v>0</v>
      </c>
      <c r="U40" s="299">
        <f>Wind!CK274</f>
        <v>0</v>
      </c>
      <c r="V40" s="299">
        <f>Wind!CL274</f>
        <v>0</v>
      </c>
      <c r="W40" s="299">
        <f>Wind!CM274</f>
        <v>0.78293142000000004</v>
      </c>
      <c r="X40" s="299">
        <f>Wind!CN274</f>
        <v>0</v>
      </c>
      <c r="Y40" s="299">
        <f>Wind!CO274</f>
        <v>-5.7868291200000002</v>
      </c>
      <c r="Z40" s="299">
        <f>Wind!CP274</f>
        <v>0</v>
      </c>
      <c r="AA40" s="299">
        <f>Wind!CQ274</f>
        <v>40.865640899999995</v>
      </c>
      <c r="AB40" s="299">
        <f>Wind!CR274</f>
        <v>0</v>
      </c>
      <c r="AC40" s="299">
        <f>Wind!CS274</f>
        <v>-16.38750683</v>
      </c>
      <c r="AD40" s="299">
        <f>Wind!CT274</f>
        <v>0</v>
      </c>
      <c r="AE40" s="299">
        <f>Wind!CU274</f>
        <v>-44.716060729999995</v>
      </c>
      <c r="AF40" s="299">
        <f>Wind!CV274</f>
        <v>0</v>
      </c>
      <c r="AG40" s="299">
        <f>Wind!CW274</f>
        <v>0</v>
      </c>
    </row>
    <row r="41" spans="1:33">
      <c r="A41" s="277"/>
      <c r="B41" s="140" t="s">
        <v>221</v>
      </c>
      <c r="C41" s="299">
        <f>-Wind!U275-Wind!U276</f>
        <v>0</v>
      </c>
      <c r="D41" s="299">
        <f>-Wind!V275-Wind!V276</f>
        <v>-0.91395851000000006</v>
      </c>
      <c r="E41" s="299">
        <f>-Wind!W275-Wind!W276</f>
        <v>-0.71311416000000005</v>
      </c>
      <c r="F41" s="280">
        <f>-Wind!X275-Wind!X276</f>
        <v>-0.33359337</v>
      </c>
      <c r="G41" s="1341">
        <f>-Wind!Y275-Wind!Y276</f>
        <v>-3.0623986699999999</v>
      </c>
      <c r="H41" s="280">
        <f>-Wind!Z275-Wind!Z276</f>
        <v>-7.39597192</v>
      </c>
      <c r="I41" s="280">
        <f>-Wind!AA275-Wind!AA276</f>
        <v>-3.8198142900000001</v>
      </c>
      <c r="J41" s="280">
        <f>-Wind!AB275-Wind!AB276</f>
        <v>-16.622566750000001</v>
      </c>
      <c r="K41" s="280"/>
      <c r="L41" s="299">
        <f>Wind!CB275+Wind!CB276</f>
        <v>6.204606E-2</v>
      </c>
      <c r="M41" s="299">
        <f>Wind!CC275+Wind!CC276</f>
        <v>0</v>
      </c>
      <c r="N41" s="299">
        <f>Wind!CD275+Wind!CD276</f>
        <v>0</v>
      </c>
      <c r="O41" s="299">
        <f>Wind!CE275+Wind!CE276</f>
        <v>0.33359337</v>
      </c>
      <c r="P41" s="299">
        <f>Wind!CF275+Wind!CF276</f>
        <v>9.7719609999999998E-2</v>
      </c>
      <c r="Q41" s="299">
        <f>Wind!CG275+Wind!CG276</f>
        <v>0.18177984</v>
      </c>
      <c r="R41" s="299">
        <f>Wind!CH275+Wind!CH276</f>
        <v>0</v>
      </c>
      <c r="S41" s="299">
        <f>Wind!CI275+Wind!CI276</f>
        <v>3.0623986699999999</v>
      </c>
      <c r="T41" s="299">
        <f>Wind!CJ275+Wind!CJ276</f>
        <v>0</v>
      </c>
      <c r="U41" s="299">
        <f>Wind!CK275+Wind!CK276</f>
        <v>5.6226065900000002</v>
      </c>
      <c r="V41" s="299">
        <f>Wind!CL275+Wind!CL276</f>
        <v>0</v>
      </c>
      <c r="W41" s="299">
        <f>Wind!CM275+Wind!CM276</f>
        <v>7.39597192</v>
      </c>
      <c r="X41" s="299">
        <f>Wind!CN275+Wind!CN276</f>
        <v>0</v>
      </c>
      <c r="Y41" s="299">
        <f>Wind!CO275+Wind!CO276</f>
        <v>1.42290658</v>
      </c>
      <c r="Z41" s="299">
        <f>Wind!CP275+Wind!CP276</f>
        <v>0</v>
      </c>
      <c r="AA41" s="299">
        <f>Wind!CQ275+Wind!CQ276</f>
        <v>3.8198142900000001</v>
      </c>
      <c r="AB41" s="299">
        <f>Wind!CR275+Wind!CR276</f>
        <v>0</v>
      </c>
      <c r="AC41" s="299">
        <f>Wind!CS275+Wind!CS276</f>
        <v>6.7559122900000004</v>
      </c>
      <c r="AD41" s="299">
        <f>Wind!CT275+Wind!CT276</f>
        <v>0</v>
      </c>
      <c r="AE41" s="299">
        <f>Wind!CU275+Wind!CU276</f>
        <v>16.622566750000001</v>
      </c>
      <c r="AF41" s="299">
        <f>Wind!CV275+Wind!CV276</f>
        <v>0</v>
      </c>
      <c r="AG41" s="299">
        <f>Wind!CW275+Wind!CW276</f>
        <v>0</v>
      </c>
    </row>
    <row r="42" spans="1:33">
      <c r="A42" s="277"/>
      <c r="B42" s="282" t="s">
        <v>842</v>
      </c>
      <c r="C42" s="1153">
        <f>-Wind!U25</f>
        <v>-10.454000000000001</v>
      </c>
      <c r="D42" s="1153">
        <f>-Wind!V25</f>
        <v>-5.0820752200000001</v>
      </c>
      <c r="E42" s="1153">
        <f>-Wind!W25</f>
        <v>13.965657160000001</v>
      </c>
      <c r="F42" s="1153">
        <f>-Wind!X25</f>
        <v>15.930939990000001</v>
      </c>
      <c r="G42" s="1153">
        <f>-Wind!Y25</f>
        <v>11.39395732</v>
      </c>
      <c r="H42" s="1153">
        <f>-Wind!Z25</f>
        <v>-41.039483529999998</v>
      </c>
      <c r="I42" s="1153">
        <f>-Wind!AA25</f>
        <v>-2.28561682</v>
      </c>
      <c r="J42" s="1153">
        <f>-Wind!AB25</f>
        <v>190.5357315</v>
      </c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298"/>
    </row>
    <row r="43" spans="1:33">
      <c r="A43" s="277"/>
      <c r="B43" s="275" t="s">
        <v>657</v>
      </c>
      <c r="C43" s="733">
        <f t="shared" ref="C43:I43" si="42">+C42-SUM(C38:C41)</f>
        <v>-10.454000000000001</v>
      </c>
      <c r="D43" s="733">
        <f t="shared" si="42"/>
        <v>0</v>
      </c>
      <c r="E43" s="733">
        <f t="shared" si="42"/>
        <v>0</v>
      </c>
      <c r="F43" s="733">
        <f t="shared" si="42"/>
        <v>0</v>
      </c>
      <c r="G43" s="1339">
        <f t="shared" si="42"/>
        <v>0</v>
      </c>
      <c r="H43" s="733">
        <f t="shared" si="42"/>
        <v>0</v>
      </c>
      <c r="I43" s="733">
        <f t="shared" si="42"/>
        <v>-1.6431300764452317E-14</v>
      </c>
      <c r="J43" s="733">
        <f>+J42-SUM(J38:J41)</f>
        <v>0</v>
      </c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</row>
    <row r="44" spans="1:33">
      <c r="A44" s="277"/>
      <c r="B44" s="140" t="s">
        <v>1081</v>
      </c>
      <c r="C44" s="280">
        <f>Wind!U30</f>
        <v>19.021000000000001</v>
      </c>
      <c r="D44" s="280">
        <f>Wind!V30</f>
        <v>13.060715949999999</v>
      </c>
      <c r="E44" s="280">
        <f>Wind!W30</f>
        <v>7.1893000999999996</v>
      </c>
      <c r="F44" s="280">
        <f>Wind!X30</f>
        <v>9.8371245799999993</v>
      </c>
      <c r="G44" s="280">
        <f>Wind!Y30</f>
        <v>22.52671557</v>
      </c>
      <c r="H44" s="280">
        <f>Wind!Z30</f>
        <v>70.018458499999994</v>
      </c>
      <c r="I44" s="280">
        <f>Wind!AA30</f>
        <v>141.56359981</v>
      </c>
      <c r="J44" s="280">
        <f>Wind!AB30</f>
        <v>95.315854420000008</v>
      </c>
      <c r="K44" s="280"/>
      <c r="L44" s="280">
        <f>Wind!CB30</f>
        <v>1.09064915</v>
      </c>
      <c r="M44" s="280">
        <f>Wind!CC30</f>
        <v>3.9174000000000002</v>
      </c>
      <c r="N44" s="280">
        <f>Wind!CD30</f>
        <v>6.3418718299999997</v>
      </c>
      <c r="O44" s="280">
        <f>Wind!CE30</f>
        <v>9.8371245799999993</v>
      </c>
      <c r="P44" s="280">
        <f>Wind!CF30</f>
        <v>3.9421580199999999</v>
      </c>
      <c r="Q44" s="280">
        <f>Wind!CG30</f>
        <v>9.5305684100000008</v>
      </c>
      <c r="R44" s="280">
        <f>Wind!CH30</f>
        <v>16.088007919999999</v>
      </c>
      <c r="S44" s="280">
        <f>Wind!CI30</f>
        <v>22.52671557</v>
      </c>
      <c r="T44" s="280">
        <f>Wind!CJ30</f>
        <v>4.6209256999999999</v>
      </c>
      <c r="U44" s="280">
        <f>Wind!CK30</f>
        <v>15.019116070000001</v>
      </c>
      <c r="V44" s="280">
        <f>Wind!CL30</f>
        <v>47.335365039999999</v>
      </c>
      <c r="W44" s="280">
        <f>Wind!CM30</f>
        <v>70.018458499999994</v>
      </c>
      <c r="X44" s="280">
        <f>Wind!CN30</f>
        <v>19.176182390000001</v>
      </c>
      <c r="Y44" s="280">
        <f>Wind!CO30</f>
        <v>72.838272590000003</v>
      </c>
      <c r="Z44" s="280">
        <f>Wind!CP30</f>
        <v>121.15671401</v>
      </c>
      <c r="AA44" s="280">
        <f>Wind!CQ30</f>
        <v>141.56359981</v>
      </c>
      <c r="AB44" s="280">
        <f>Wind!CR30</f>
        <v>8.6223378800000017</v>
      </c>
      <c r="AC44" s="280">
        <f>Wind!CS30</f>
        <v>35.853332039999998</v>
      </c>
      <c r="AD44" s="280">
        <f>Wind!CT30</f>
        <v>66.712738590000001</v>
      </c>
      <c r="AE44" s="280">
        <f>Wind!CU30</f>
        <v>95.315854420000008</v>
      </c>
      <c r="AF44" s="280">
        <f>Wind!CV30</f>
        <v>26.18870961</v>
      </c>
      <c r="AG44" s="280">
        <f>Wind!CW30</f>
        <v>56.706210219999996</v>
      </c>
    </row>
    <row r="45" spans="1:33" s="85" customFormat="1">
      <c r="A45" s="276"/>
      <c r="B45" s="141" t="s">
        <v>841</v>
      </c>
      <c r="C45" s="280">
        <f>Wind!U31</f>
        <v>0</v>
      </c>
      <c r="D45" s="280">
        <f>Wind!V31</f>
        <v>0</v>
      </c>
      <c r="E45" s="280">
        <f>Wind!W31</f>
        <v>0</v>
      </c>
      <c r="F45" s="280">
        <f>Wind!X31</f>
        <v>0</v>
      </c>
      <c r="G45" s="280">
        <f>Wind!Y31</f>
        <v>0</v>
      </c>
      <c r="H45" s="280">
        <f>Wind!Z31</f>
        <v>0</v>
      </c>
      <c r="I45" s="280">
        <f>Wind!AA31</f>
        <v>0</v>
      </c>
      <c r="J45" s="280">
        <f>Wind!AB31</f>
        <v>0</v>
      </c>
      <c r="K45" s="280"/>
      <c r="L45" s="280">
        <f>Wind!CB31</f>
        <v>0</v>
      </c>
      <c r="M45" s="280">
        <f>Wind!CC31</f>
        <v>0</v>
      </c>
      <c r="N45" s="280">
        <f>Wind!CD31</f>
        <v>0</v>
      </c>
      <c r="O45" s="280">
        <f>Wind!CE31</f>
        <v>0</v>
      </c>
      <c r="P45" s="280">
        <f>Wind!CF31</f>
        <v>0</v>
      </c>
      <c r="Q45" s="280">
        <f>Wind!CG31</f>
        <v>0</v>
      </c>
      <c r="R45" s="280">
        <f>Wind!CH31</f>
        <v>0</v>
      </c>
      <c r="S45" s="280">
        <f>Wind!CI31</f>
        <v>0</v>
      </c>
      <c r="T45" s="280">
        <f>Wind!CJ31</f>
        <v>0</v>
      </c>
      <c r="U45" s="280">
        <f>Wind!CK31</f>
        <v>0</v>
      </c>
      <c r="V45" s="280">
        <f>Wind!CL31</f>
        <v>0</v>
      </c>
      <c r="W45" s="280">
        <f>Wind!CM31</f>
        <v>0</v>
      </c>
      <c r="X45" s="280">
        <f>Wind!CN31</f>
        <v>0</v>
      </c>
      <c r="Y45" s="280">
        <f>Wind!CO31</f>
        <v>0</v>
      </c>
      <c r="Z45" s="280">
        <f>Wind!CP31</f>
        <v>0</v>
      </c>
      <c r="AA45" s="280">
        <f>Wind!CQ31</f>
        <v>0</v>
      </c>
      <c r="AB45" s="280">
        <f>Wind!CR31</f>
        <v>0</v>
      </c>
      <c r="AC45" s="280">
        <f>Wind!CS31</f>
        <v>0</v>
      </c>
      <c r="AD45" s="280">
        <f>Wind!CT31</f>
        <v>0</v>
      </c>
      <c r="AE45" s="280">
        <f>Wind!CU31</f>
        <v>0</v>
      </c>
      <c r="AF45" s="280">
        <f>Wind!CV31</f>
        <v>0</v>
      </c>
      <c r="AG45" s="280">
        <f>Wind!CW31</f>
        <v>0</v>
      </c>
    </row>
    <row r="46" spans="1:33">
      <c r="A46" s="277"/>
      <c r="B46" s="126" t="s">
        <v>220</v>
      </c>
      <c r="C46" s="279">
        <f t="shared" ref="C46:I46" si="43">C44-C45</f>
        <v>19.021000000000001</v>
      </c>
      <c r="D46" s="279">
        <f t="shared" si="43"/>
        <v>13.060715949999999</v>
      </c>
      <c r="E46" s="279">
        <f t="shared" si="43"/>
        <v>7.1893000999999996</v>
      </c>
      <c r="F46" s="279">
        <f t="shared" si="43"/>
        <v>9.8371245799999993</v>
      </c>
      <c r="G46" s="279">
        <f t="shared" si="43"/>
        <v>22.52671557</v>
      </c>
      <c r="H46" s="279">
        <f t="shared" si="43"/>
        <v>70.018458499999994</v>
      </c>
      <c r="I46" s="279">
        <f t="shared" si="43"/>
        <v>141.56359981</v>
      </c>
      <c r="J46" s="279">
        <f>J44-J45</f>
        <v>95.315854420000008</v>
      </c>
      <c r="K46" s="279"/>
      <c r="L46" s="279">
        <f t="shared" ref="L46:R46" si="44">L44-L45</f>
        <v>1.09064915</v>
      </c>
      <c r="M46" s="279">
        <f t="shared" si="44"/>
        <v>3.9174000000000002</v>
      </c>
      <c r="N46" s="279">
        <f t="shared" si="44"/>
        <v>6.3418718299999997</v>
      </c>
      <c r="O46" s="279">
        <f t="shared" si="44"/>
        <v>9.8371245799999993</v>
      </c>
      <c r="P46" s="279">
        <f t="shared" si="44"/>
        <v>3.9421580199999999</v>
      </c>
      <c r="Q46" s="279">
        <f t="shared" si="44"/>
        <v>9.5305684100000008</v>
      </c>
      <c r="R46" s="279">
        <f t="shared" si="44"/>
        <v>16.088007919999999</v>
      </c>
      <c r="S46" s="279">
        <f t="shared" ref="S46:AB46" si="45">S44-S45</f>
        <v>22.52671557</v>
      </c>
      <c r="T46" s="279">
        <f t="shared" si="45"/>
        <v>4.6209256999999999</v>
      </c>
      <c r="U46" s="279">
        <f t="shared" si="45"/>
        <v>15.019116070000001</v>
      </c>
      <c r="V46" s="279">
        <f t="shared" si="45"/>
        <v>47.335365039999999</v>
      </c>
      <c r="W46" s="279">
        <f t="shared" si="45"/>
        <v>70.018458499999994</v>
      </c>
      <c r="X46" s="279">
        <f t="shared" si="45"/>
        <v>19.176182390000001</v>
      </c>
      <c r="Y46" s="279">
        <f t="shared" si="45"/>
        <v>72.838272590000003</v>
      </c>
      <c r="Z46" s="279">
        <f t="shared" si="45"/>
        <v>121.15671401</v>
      </c>
      <c r="AA46" s="279">
        <f t="shared" si="45"/>
        <v>141.56359981</v>
      </c>
      <c r="AB46" s="279">
        <f t="shared" si="45"/>
        <v>8.6223378800000017</v>
      </c>
      <c r="AC46" s="279">
        <f>AC44-AC45</f>
        <v>35.853332039999998</v>
      </c>
      <c r="AD46" s="279">
        <f>AD44-AD45</f>
        <v>66.712738590000001</v>
      </c>
      <c r="AE46" s="279">
        <f>AE44-AE45</f>
        <v>95.315854420000008</v>
      </c>
      <c r="AF46" s="279">
        <f t="shared" ref="AF46:AG46" si="46">AF44-AF45</f>
        <v>26.18870961</v>
      </c>
      <c r="AG46" s="279">
        <f t="shared" si="46"/>
        <v>56.706210219999996</v>
      </c>
    </row>
    <row r="47" spans="1:33">
      <c r="A47" s="277"/>
      <c r="B47" s="140" t="s">
        <v>82</v>
      </c>
      <c r="C47" s="280">
        <f>Wind!U37+Wind!U40</f>
        <v>0.7278</v>
      </c>
      <c r="D47" s="280">
        <f>Wind!V37+Wind!V40</f>
        <v>1.41045581</v>
      </c>
      <c r="E47" s="280">
        <f>Wind!W37+Wind!W40</f>
        <v>1.79897818</v>
      </c>
      <c r="F47" s="280">
        <f>Wind!X37+Wind!X40</f>
        <v>1.97485548</v>
      </c>
      <c r="G47" s="280">
        <f>Wind!Y37+Wind!Y40</f>
        <v>2.1570988600000001</v>
      </c>
      <c r="H47" s="280">
        <f>Wind!Z37+Wind!Z40</f>
        <v>2.3318254900000004</v>
      </c>
      <c r="I47" s="280">
        <f>Wind!AA37+Wind!AA40</f>
        <v>2.1691309400000001</v>
      </c>
      <c r="J47" s="280">
        <f>Wind!AB37+Wind!AB40</f>
        <v>2.15025055</v>
      </c>
      <c r="K47" s="280"/>
      <c r="L47" s="280">
        <f>Wind!CB37</f>
        <v>9.1178549999999997E-2</v>
      </c>
      <c r="M47" s="280">
        <f>Wind!CC37</f>
        <v>0.63549999999999995</v>
      </c>
      <c r="N47" s="280">
        <f>Wind!CD37</f>
        <v>1.4577511200000002</v>
      </c>
      <c r="O47" s="280">
        <f>Wind!CE37</f>
        <v>1.97485548</v>
      </c>
      <c r="P47" s="280">
        <f>Wind!CF37</f>
        <v>0.51280652999999998</v>
      </c>
      <c r="Q47" s="280">
        <f>Wind!CG37</f>
        <v>1.1791737900000001</v>
      </c>
      <c r="R47" s="280">
        <f>Wind!CH37</f>
        <v>1.72826093</v>
      </c>
      <c r="S47" s="280">
        <f>Wind!CI37</f>
        <v>2.1570988600000001</v>
      </c>
      <c r="T47" s="280">
        <f>Wind!CJ37</f>
        <v>0.41052686999999999</v>
      </c>
      <c r="U47" s="280">
        <f>Wind!CK37</f>
        <v>1.16757292</v>
      </c>
      <c r="V47" s="280">
        <f>Wind!CL37</f>
        <v>2.0073235299999999</v>
      </c>
      <c r="W47" s="280">
        <f>Wind!CM37</f>
        <v>2.3318254900000004</v>
      </c>
      <c r="X47" s="280">
        <f>Wind!CN37</f>
        <v>0.42915087000000002</v>
      </c>
      <c r="Y47" s="280">
        <f>Wind!CO37</f>
        <v>1.2054724800000001</v>
      </c>
      <c r="Z47" s="280">
        <f>Wind!CP37</f>
        <v>1.7073035300000001</v>
      </c>
      <c r="AA47" s="280">
        <f>Wind!CQ37</f>
        <v>2.1691309400000001</v>
      </c>
      <c r="AB47" s="280">
        <f>Wind!CR37</f>
        <v>0.43900358</v>
      </c>
      <c r="AC47" s="280">
        <f>Wind!CS37</f>
        <v>0.93164347999999997</v>
      </c>
      <c r="AD47" s="280">
        <f>Wind!CT37</f>
        <v>1.51370498</v>
      </c>
      <c r="AE47" s="280">
        <f>Wind!CU37</f>
        <v>2.15025055</v>
      </c>
      <c r="AF47" s="280">
        <f>Wind!CV37</f>
        <v>1.4393161399999999</v>
      </c>
      <c r="AG47" s="280">
        <f>Wind!CW37</f>
        <v>4.3003498499999999</v>
      </c>
    </row>
    <row r="48" spans="1:33">
      <c r="A48" s="277"/>
      <c r="B48" s="140" t="s">
        <v>80</v>
      </c>
      <c r="C48" s="280">
        <f>-Wind!U38</f>
        <v>-10.0839</v>
      </c>
      <c r="D48" s="280">
        <f>-Wind!V38</f>
        <v>-2.9899178900000001</v>
      </c>
      <c r="E48" s="280">
        <f>-Wind!W38</f>
        <v>-5.9285022999999999</v>
      </c>
      <c r="F48" s="280">
        <f>-Wind!X38</f>
        <v>-22.725754260000002</v>
      </c>
      <c r="G48" s="280">
        <f>-Wind!Y38</f>
        <v>-17.197589010000002</v>
      </c>
      <c r="H48" s="280">
        <f>-Wind!Z38</f>
        <v>-20.588743179999998</v>
      </c>
      <c r="I48" s="280">
        <f>-Wind!AA38</f>
        <v>-11.26593523</v>
      </c>
      <c r="J48" s="280">
        <f>-Wind!AB38</f>
        <v>-39.607987569999999</v>
      </c>
      <c r="K48" s="280"/>
      <c r="L48" s="280">
        <f>-Wind!CB38</f>
        <v>-12.992520369999999</v>
      </c>
      <c r="M48" s="280">
        <f>-Wind!CC38</f>
        <v>-19.886600000000001</v>
      </c>
      <c r="N48" s="280">
        <f>-Wind!CD38</f>
        <v>-20.922125229999999</v>
      </c>
      <c r="O48" s="280">
        <f>-Wind!CE38</f>
        <v>-22.725754260000002</v>
      </c>
      <c r="P48" s="280">
        <f>-Wind!CF38</f>
        <v>-1.1763711399999999</v>
      </c>
      <c r="Q48" s="280">
        <f>-Wind!CG38</f>
        <v>-8.4275833900000006</v>
      </c>
      <c r="R48" s="280">
        <f>-Wind!CH38</f>
        <v>-11.61116634</v>
      </c>
      <c r="S48" s="280">
        <f>-Wind!CI38</f>
        <v>-17.197589010000002</v>
      </c>
      <c r="T48" s="280">
        <f>-Wind!CJ38</f>
        <v>-0.70651444999999991</v>
      </c>
      <c r="U48" s="280">
        <f>-Wind!CK38</f>
        <v>-5.3736754800000002</v>
      </c>
      <c r="V48" s="280">
        <f>-Wind!CL38</f>
        <v>-16.258208070000002</v>
      </c>
      <c r="W48" s="280">
        <f>-Wind!CM38</f>
        <v>-20.588743179999998</v>
      </c>
      <c r="X48" s="280">
        <f>-Wind!CN38</f>
        <v>-2.2665029999999999E-2</v>
      </c>
      <c r="Y48" s="280">
        <f>-Wind!CO38</f>
        <v>-0.41130435999999998</v>
      </c>
      <c r="Z48" s="280">
        <f>-Wind!CP38</f>
        <v>-9.6258042100000001</v>
      </c>
      <c r="AA48" s="280">
        <f>-Wind!CQ38</f>
        <v>-11.26593523</v>
      </c>
      <c r="AB48" s="280">
        <f>-Wind!CR38</f>
        <v>-5.4413695199999994</v>
      </c>
      <c r="AC48" s="280">
        <f>-Wind!CS38</f>
        <v>-8.7711849499999985</v>
      </c>
      <c r="AD48" s="280">
        <f>-Wind!CT38</f>
        <v>-15.485800019999999</v>
      </c>
      <c r="AE48" s="280">
        <f>-Wind!CU38</f>
        <v>-39.607987569999999</v>
      </c>
      <c r="AF48" s="280">
        <f>-Wind!CV38</f>
        <v>-6.7696148899999997</v>
      </c>
      <c r="AG48" s="280">
        <f>-Wind!CW38</f>
        <v>-9.49775539</v>
      </c>
    </row>
    <row r="49" spans="1:33" s="85" customFormat="1">
      <c r="A49" s="276"/>
      <c r="B49" s="282" t="s">
        <v>840</v>
      </c>
      <c r="C49" s="281">
        <f t="shared" ref="C49:I49" si="47">SUM(C47:C48)</f>
        <v>-9.3560999999999996</v>
      </c>
      <c r="D49" s="281">
        <f t="shared" si="47"/>
        <v>-1.5794620800000001</v>
      </c>
      <c r="E49" s="281">
        <f t="shared" si="47"/>
        <v>-4.1295241200000001</v>
      </c>
      <c r="F49" s="281">
        <f t="shared" si="47"/>
        <v>-20.750898780000004</v>
      </c>
      <c r="G49" s="281">
        <f t="shared" si="47"/>
        <v>-15.040490150000002</v>
      </c>
      <c r="H49" s="281">
        <f t="shared" si="47"/>
        <v>-18.256917689999998</v>
      </c>
      <c r="I49" s="281">
        <f t="shared" si="47"/>
        <v>-9.0968042899999997</v>
      </c>
      <c r="J49" s="281">
        <f>SUM(J47:J48)</f>
        <v>-37.457737019999996</v>
      </c>
      <c r="K49" s="281"/>
      <c r="L49" s="281">
        <f t="shared" ref="L49:R49" si="48">SUM(L47:L48)</f>
        <v>-12.901341819999999</v>
      </c>
      <c r="M49" s="281">
        <f t="shared" si="48"/>
        <v>-19.251100000000001</v>
      </c>
      <c r="N49" s="281">
        <f t="shared" si="48"/>
        <v>-19.464374109999998</v>
      </c>
      <c r="O49" s="281">
        <f t="shared" si="48"/>
        <v>-20.750898780000004</v>
      </c>
      <c r="P49" s="281">
        <f t="shared" si="48"/>
        <v>-0.66356460999999989</v>
      </c>
      <c r="Q49" s="281">
        <f t="shared" si="48"/>
        <v>-7.2484096000000005</v>
      </c>
      <c r="R49" s="281">
        <f t="shared" si="48"/>
        <v>-9.8829054100000011</v>
      </c>
      <c r="S49" s="281">
        <f t="shared" ref="S49:AB49" si="49">SUM(S47:S48)</f>
        <v>-15.040490150000002</v>
      </c>
      <c r="T49" s="281">
        <f t="shared" si="49"/>
        <v>-0.29598757999999992</v>
      </c>
      <c r="U49" s="281">
        <f t="shared" si="49"/>
        <v>-4.2061025599999997</v>
      </c>
      <c r="V49" s="281">
        <f t="shared" si="49"/>
        <v>-14.250884540000001</v>
      </c>
      <c r="W49" s="281">
        <f t="shared" si="49"/>
        <v>-18.256917689999998</v>
      </c>
      <c r="X49" s="281">
        <f t="shared" si="49"/>
        <v>0.40648584000000004</v>
      </c>
      <c r="Y49" s="281">
        <f t="shared" si="49"/>
        <v>0.79416812000000014</v>
      </c>
      <c r="Z49" s="281">
        <f t="shared" si="49"/>
        <v>-7.9185006800000002</v>
      </c>
      <c r="AA49" s="281">
        <f t="shared" si="49"/>
        <v>-9.0968042899999997</v>
      </c>
      <c r="AB49" s="281">
        <f t="shared" si="49"/>
        <v>-5.0023659399999998</v>
      </c>
      <c r="AC49" s="281">
        <f>SUM(AC47:AC48)</f>
        <v>-7.8395414699999986</v>
      </c>
      <c r="AD49" s="281">
        <f>SUM(AD47:AD48)</f>
        <v>-13.972095039999999</v>
      </c>
      <c r="AE49" s="281">
        <f>SUM(AE47:AE48)</f>
        <v>-37.457737019999996</v>
      </c>
      <c r="AF49" s="281">
        <f t="shared" ref="AF49:AG49" si="50">SUM(AF47:AF48)</f>
        <v>-5.3302987499999999</v>
      </c>
      <c r="AG49" s="281">
        <f t="shared" si="50"/>
        <v>-5.1974055400000001</v>
      </c>
    </row>
    <row r="50" spans="1:33">
      <c r="A50" s="277"/>
      <c r="C50" s="279"/>
      <c r="D50" s="279"/>
      <c r="E50" s="279"/>
      <c r="F50" s="279"/>
      <c r="G50" s="279"/>
      <c r="H50" s="279"/>
      <c r="I50" s="279"/>
      <c r="J50" s="279"/>
      <c r="K50" s="279"/>
      <c r="L50" s="279"/>
      <c r="M50" s="279"/>
      <c r="N50" s="279"/>
      <c r="O50" s="279"/>
      <c r="P50" s="279"/>
      <c r="Q50" s="279"/>
      <c r="R50" s="279"/>
      <c r="S50" s="279"/>
      <c r="T50" s="279"/>
      <c r="U50" s="279"/>
      <c r="V50" s="279"/>
      <c r="W50" s="279"/>
      <c r="X50" s="279"/>
      <c r="Y50" s="279"/>
      <c r="Z50" s="279"/>
      <c r="AA50" s="279"/>
      <c r="AB50" s="279"/>
      <c r="AC50" s="279"/>
      <c r="AD50" s="279"/>
      <c r="AE50" s="279"/>
      <c r="AF50" s="279"/>
      <c r="AG50" s="279"/>
    </row>
    <row r="51" spans="1:33" s="85" customFormat="1">
      <c r="A51" s="276"/>
      <c r="B51" s="282" t="s">
        <v>839</v>
      </c>
      <c r="C51" s="1153">
        <f>Wind!U42</f>
        <v>389.8082</v>
      </c>
      <c r="D51" s="1153">
        <f>Wind!V42</f>
        <v>273.32789243999997</v>
      </c>
      <c r="E51" s="1153">
        <f>Wind!W42</f>
        <v>736.50293046000002</v>
      </c>
      <c r="F51" s="1153">
        <f>Wind!X42</f>
        <v>1029.5496495899999</v>
      </c>
      <c r="G51" s="1153">
        <f>Wind!Y42</f>
        <v>1513.5168144100001</v>
      </c>
      <c r="H51" s="1153">
        <f>Wind!Z42</f>
        <v>1836.0097494300001</v>
      </c>
      <c r="I51" s="1153">
        <f>Wind!AA42</f>
        <v>2579.2709355900001</v>
      </c>
      <c r="J51" s="1153">
        <f>Wind!AB42</f>
        <v>4107.3122986999997</v>
      </c>
      <c r="K51" s="1154"/>
      <c r="L51" s="1153">
        <f>Wind!CB42</f>
        <v>198.12074183000001</v>
      </c>
      <c r="M51" s="1153">
        <f>Wind!CC42</f>
        <v>564.93989999999997</v>
      </c>
      <c r="N51" s="1153">
        <f>Wind!CD42</f>
        <v>897.71600450999995</v>
      </c>
      <c r="O51" s="1153">
        <f>Wind!CE42</f>
        <v>1029.5496495899999</v>
      </c>
      <c r="P51" s="1153">
        <f>Wind!CF42</f>
        <v>438.29790216000004</v>
      </c>
      <c r="Q51" s="1153">
        <f>Wind!CG42</f>
        <v>859.86617842999999</v>
      </c>
      <c r="R51" s="1153">
        <f>Wind!CH42</f>
        <v>1263.2795053900002</v>
      </c>
      <c r="S51" s="1153">
        <f>Wind!CI42</f>
        <v>1513.5168144100001</v>
      </c>
      <c r="T51" s="1153">
        <f>Wind!CJ42</f>
        <v>439.35791008999996</v>
      </c>
      <c r="U51" s="1153">
        <f>Wind!CK42</f>
        <v>961.01138064999998</v>
      </c>
      <c r="V51" s="1153">
        <f>Wind!CL42</f>
        <v>1482.8329227000002</v>
      </c>
      <c r="W51" s="1153">
        <f>Wind!CM42</f>
        <v>1836.0097494300001</v>
      </c>
      <c r="X51" s="1153">
        <f>Wind!CN42</f>
        <v>641.29402140000002</v>
      </c>
      <c r="Y51" s="1153">
        <f>Wind!CO42</f>
        <v>1402.1657768900002</v>
      </c>
      <c r="Z51" s="1153">
        <f>Wind!CP42</f>
        <v>2082.13988053</v>
      </c>
      <c r="AA51" s="1153">
        <f>Wind!CQ42</f>
        <v>2579.2709355900001</v>
      </c>
      <c r="AB51" s="1153">
        <f>Wind!CR42</f>
        <v>829.71824337999999</v>
      </c>
      <c r="AC51" s="1153">
        <f>Wind!CS42</f>
        <v>2141.9413504300001</v>
      </c>
      <c r="AD51" s="1153">
        <f>Wind!CT42</f>
        <v>3353.9735188899999</v>
      </c>
      <c r="AE51" s="1153">
        <f>Wind!CU42</f>
        <v>4107.3122986999997</v>
      </c>
      <c r="AF51" s="1153">
        <f>Wind!CV42</f>
        <v>1233.1900676600001</v>
      </c>
      <c r="AG51" s="1153">
        <f>Wind!CW42</f>
        <v>3001.56947541</v>
      </c>
    </row>
    <row r="52" spans="1:33" s="273" customFormat="1">
      <c r="A52" s="274"/>
      <c r="B52" s="275" t="s">
        <v>657</v>
      </c>
      <c r="C52" s="273">
        <f t="shared" ref="C52:I52" si="51">(C8+C15+C23+C27+C42+C49+C44)</f>
        <v>379.50510000000003</v>
      </c>
      <c r="D52" s="273">
        <f t="shared" si="51"/>
        <v>247.76075421000004</v>
      </c>
      <c r="E52" s="273">
        <f t="shared" si="51"/>
        <v>720.31664468999998</v>
      </c>
      <c r="F52" s="273">
        <f t="shared" si="51"/>
        <v>1006.1459544300003</v>
      </c>
      <c r="G52" s="273">
        <f t="shared" si="51"/>
        <v>1491.3864847999998</v>
      </c>
      <c r="H52" s="273">
        <f t="shared" si="51"/>
        <v>1781.8850900899995</v>
      </c>
      <c r="I52" s="273">
        <f t="shared" si="51"/>
        <v>2509.3341889100006</v>
      </c>
      <c r="J52" s="273">
        <f>(J8+J15+J23+J27+J42+J49+J44)</f>
        <v>4048.4777190400014</v>
      </c>
      <c r="K52" s="734"/>
      <c r="R52" s="273">
        <f>R51-Q51</f>
        <v>403.41332696000018</v>
      </c>
      <c r="S52" s="273">
        <f>S51-R51</f>
        <v>250.23730901999988</v>
      </c>
    </row>
    <row r="53" spans="1:33">
      <c r="A53" s="277"/>
      <c r="C53" s="279"/>
      <c r="D53" s="279"/>
      <c r="E53" s="279"/>
      <c r="F53" s="279"/>
      <c r="G53" s="279"/>
      <c r="H53" s="279"/>
      <c r="I53" s="279"/>
      <c r="J53" s="279"/>
      <c r="K53" s="279"/>
      <c r="L53" s="279"/>
      <c r="M53" s="279"/>
      <c r="N53" s="279"/>
      <c r="O53" s="279"/>
      <c r="P53" s="279"/>
      <c r="Q53" s="279"/>
      <c r="R53" s="279"/>
      <c r="S53" s="279"/>
      <c r="T53" s="279"/>
      <c r="U53" s="279"/>
      <c r="V53" s="279"/>
      <c r="W53" s="279"/>
      <c r="X53" s="279"/>
      <c r="Y53" s="279"/>
      <c r="Z53" s="279"/>
      <c r="AA53" s="279"/>
      <c r="AB53" s="279"/>
      <c r="AC53" s="279"/>
      <c r="AD53" s="279"/>
      <c r="AE53" s="279"/>
      <c r="AF53" s="279"/>
      <c r="AG53" s="279"/>
    </row>
    <row r="54" spans="1:33" s="85" customFormat="1">
      <c r="A54" s="276"/>
      <c r="B54" s="149" t="s">
        <v>838</v>
      </c>
      <c r="C54" s="278">
        <f>-Wind!U43</f>
        <v>-93.639300000000006</v>
      </c>
      <c r="D54" s="278">
        <f>-Wind!V43</f>
        <v>-57.496913749999997</v>
      </c>
      <c r="E54" s="278">
        <f>-Wind!W43</f>
        <v>-165.92903487000001</v>
      </c>
      <c r="F54" s="278">
        <f>-Wind!X43</f>
        <v>-217.48613861000001</v>
      </c>
      <c r="G54" s="278">
        <f>-Wind!Y43</f>
        <v>-320.55640682000001</v>
      </c>
      <c r="H54" s="278">
        <f>-Wind!Z43</f>
        <v>-395.48917806999998</v>
      </c>
      <c r="I54" s="278">
        <f>-Wind!AA43</f>
        <v>-539.49813166999991</v>
      </c>
      <c r="J54" s="278">
        <f>-Wind!AB43</f>
        <v>-780.88329400999999</v>
      </c>
      <c r="K54" s="278"/>
      <c r="L54" s="278">
        <f>-Wind!CB43</f>
        <v>-44.475694170000004</v>
      </c>
      <c r="M54" s="278">
        <f>-Wind!CC43</f>
        <v>-123.6327</v>
      </c>
      <c r="N54" s="278">
        <f>-Wind!CD43</f>
        <v>-193.67327637</v>
      </c>
      <c r="O54" s="278">
        <f>-Wind!CE43</f>
        <v>-217.48613861000001</v>
      </c>
      <c r="P54" s="278">
        <f>-Wind!CF43</f>
        <v>-96.408436599999987</v>
      </c>
      <c r="Q54" s="278">
        <f>-Wind!CG43</f>
        <v>-184.04004799000001</v>
      </c>
      <c r="R54" s="278">
        <f>-Wind!CH43</f>
        <v>-267.2455559</v>
      </c>
      <c r="S54" s="278">
        <f>-Wind!CI43</f>
        <v>-320.55640682000001</v>
      </c>
      <c r="T54" s="278">
        <f>-Wind!CJ43</f>
        <v>-94.708990319999998</v>
      </c>
      <c r="U54" s="278">
        <f>-Wind!CK43</f>
        <v>-206.38160372999999</v>
      </c>
      <c r="V54" s="278">
        <f>-Wind!CL43</f>
        <v>-317.32687235000003</v>
      </c>
      <c r="W54" s="278">
        <f>-Wind!CM43</f>
        <v>-395.48917806999998</v>
      </c>
      <c r="X54" s="278">
        <f>-Wind!CN43</f>
        <v>-144.04229140000001</v>
      </c>
      <c r="Y54" s="278">
        <f>-Wind!CO43</f>
        <v>-294.04552776999998</v>
      </c>
      <c r="Z54" s="278">
        <f>-Wind!CP43</f>
        <v>-426.53902616000005</v>
      </c>
      <c r="AA54" s="278">
        <f>-Wind!CQ43</f>
        <v>-539.49813166999991</v>
      </c>
      <c r="AB54" s="278">
        <f>-Wind!CR43</f>
        <v>-165.83784508000002</v>
      </c>
      <c r="AC54" s="278">
        <f>-Wind!CS43</f>
        <v>-411.34985164</v>
      </c>
      <c r="AD54" s="278">
        <f>-Wind!CT43</f>
        <v>-646.58111145000009</v>
      </c>
      <c r="AE54" s="278">
        <f>-Wind!CU43</f>
        <v>-780.88329400999999</v>
      </c>
      <c r="AF54" s="278">
        <f>-Wind!CV43</f>
        <v>-253.23469449999999</v>
      </c>
      <c r="AG54" s="278">
        <f>-Wind!CW43</f>
        <v>-627.05491160999998</v>
      </c>
    </row>
    <row r="55" spans="1:33" s="85" customFormat="1">
      <c r="A55" s="276"/>
      <c r="B55" s="149" t="s">
        <v>18</v>
      </c>
      <c r="C55" s="278">
        <f>Wind!U48</f>
        <v>0</v>
      </c>
      <c r="D55" s="278">
        <f>Wind!V48</f>
        <v>0</v>
      </c>
      <c r="E55" s="278">
        <f>Wind!W48</f>
        <v>0</v>
      </c>
      <c r="F55" s="278">
        <f>Wind!X48</f>
        <v>0</v>
      </c>
      <c r="G55" s="278">
        <f>Wind!Y48</f>
        <v>0</v>
      </c>
      <c r="H55" s="278">
        <f>Wind!Z48</f>
        <v>0</v>
      </c>
      <c r="I55" s="278">
        <f>Wind!AA48</f>
        <v>0</v>
      </c>
      <c r="J55" s="278">
        <f>Wind!AB48</f>
        <v>-0.27984775000000001</v>
      </c>
      <c r="K55" s="278"/>
      <c r="L55" s="278">
        <f>Wind!CB48</f>
        <v>0</v>
      </c>
      <c r="M55" s="278">
        <f>Wind!CC48</f>
        <v>0</v>
      </c>
      <c r="N55" s="278">
        <f>Wind!CD48</f>
        <v>0</v>
      </c>
      <c r="O55" s="278">
        <f>Wind!CE48</f>
        <v>0</v>
      </c>
      <c r="P55" s="278">
        <f>Wind!CF48</f>
        <v>0</v>
      </c>
      <c r="Q55" s="278">
        <f>Wind!CG48</f>
        <v>0</v>
      </c>
      <c r="R55" s="278">
        <f>Wind!CH48</f>
        <v>0</v>
      </c>
      <c r="S55" s="278">
        <f>Wind!CI48</f>
        <v>0</v>
      </c>
      <c r="T55" s="278">
        <f>Wind!CJ48</f>
        <v>0</v>
      </c>
      <c r="U55" s="278">
        <f>Wind!CK48</f>
        <v>0</v>
      </c>
      <c r="V55" s="278">
        <f>Wind!CL48</f>
        <v>0</v>
      </c>
      <c r="W55" s="278">
        <f>Wind!CM48</f>
        <v>0</v>
      </c>
      <c r="X55" s="278">
        <f>Wind!CN48</f>
        <v>0</v>
      </c>
      <c r="Y55" s="278">
        <f>Wind!CO48</f>
        <v>0</v>
      </c>
      <c r="Z55" s="278">
        <f>Wind!CP48</f>
        <v>0</v>
      </c>
      <c r="AA55" s="278">
        <f>Wind!CQ48</f>
        <v>0</v>
      </c>
      <c r="AB55" s="278">
        <f>Wind!CR48</f>
        <v>0</v>
      </c>
      <c r="AC55" s="278">
        <f>Wind!CS48</f>
        <v>0</v>
      </c>
      <c r="AD55" s="278">
        <f>Wind!CT48</f>
        <v>0</v>
      </c>
      <c r="AE55" s="278">
        <f>Wind!CU48</f>
        <v>-0.27984775000000001</v>
      </c>
      <c r="AF55" s="278">
        <f>Wind!CV48</f>
        <v>-5.41571E-2</v>
      </c>
      <c r="AG55" s="278">
        <f>Wind!CW48</f>
        <v>-0.23622164000000001</v>
      </c>
    </row>
    <row r="56" spans="1:33" s="85" customFormat="1">
      <c r="A56" s="276"/>
      <c r="B56" s="149" t="s">
        <v>837</v>
      </c>
      <c r="C56" s="295"/>
      <c r="D56" s="295"/>
      <c r="E56" s="295"/>
      <c r="F56" s="295"/>
      <c r="G56" s="295"/>
      <c r="H56" s="295"/>
      <c r="I56" s="295"/>
      <c r="J56" s="295"/>
      <c r="K56" s="295"/>
      <c r="L56" s="295"/>
      <c r="M56" s="295"/>
      <c r="N56" s="295"/>
      <c r="O56" s="295"/>
      <c r="P56" s="295"/>
      <c r="Q56" s="295"/>
      <c r="R56" s="295"/>
      <c r="S56" s="295"/>
      <c r="T56" s="295"/>
      <c r="U56" s="295"/>
      <c r="V56" s="295"/>
      <c r="W56" s="295"/>
      <c r="X56" s="295"/>
      <c r="Y56" s="295"/>
      <c r="Z56" s="295"/>
      <c r="AA56" s="295"/>
      <c r="AB56" s="295"/>
      <c r="AC56" s="295"/>
      <c r="AD56" s="295"/>
      <c r="AE56" s="295"/>
      <c r="AF56" s="295"/>
      <c r="AG56" s="295"/>
    </row>
    <row r="57" spans="1:33" s="85" customFormat="1">
      <c r="A57" s="276"/>
      <c r="B57" s="149"/>
      <c r="C57" s="295"/>
      <c r="D57" s="295"/>
      <c r="E57" s="295"/>
      <c r="F57" s="295"/>
      <c r="G57" s="295"/>
      <c r="H57" s="295"/>
      <c r="I57" s="295"/>
      <c r="J57" s="295"/>
      <c r="K57" s="295"/>
      <c r="L57" s="295"/>
      <c r="M57" s="295"/>
      <c r="N57" s="295"/>
      <c r="O57" s="295"/>
      <c r="P57" s="295"/>
      <c r="Q57" s="295"/>
      <c r="R57" s="295"/>
      <c r="S57" s="295"/>
      <c r="T57" s="295"/>
      <c r="U57" s="295"/>
      <c r="V57" s="295"/>
      <c r="W57" s="295"/>
      <c r="X57" s="295"/>
      <c r="Y57" s="295"/>
      <c r="Z57" s="295"/>
      <c r="AA57" s="295"/>
      <c r="AB57" s="295"/>
      <c r="AC57" s="295"/>
      <c r="AD57" s="295"/>
      <c r="AE57" s="295"/>
      <c r="AF57" s="295"/>
      <c r="AG57" s="295"/>
    </row>
    <row r="58" spans="1:33">
      <c r="A58" s="277"/>
      <c r="B58" s="140" t="s">
        <v>667</v>
      </c>
      <c r="C58" s="279"/>
      <c r="D58" s="279"/>
      <c r="E58" s="279"/>
      <c r="F58" s="279"/>
      <c r="G58" s="279"/>
      <c r="H58" s="279"/>
      <c r="I58" s="279"/>
      <c r="J58" s="279"/>
      <c r="K58" s="279"/>
      <c r="L58" s="279"/>
      <c r="M58" s="279"/>
      <c r="N58" s="279"/>
      <c r="O58" s="279"/>
      <c r="P58" s="279"/>
      <c r="Q58" s="279"/>
      <c r="R58" s="279"/>
      <c r="S58" s="279"/>
      <c r="T58" s="279"/>
      <c r="U58" s="279"/>
      <c r="V58" s="279"/>
      <c r="W58" s="279"/>
      <c r="X58" s="279"/>
      <c r="Y58" s="279"/>
      <c r="Z58" s="279"/>
      <c r="AA58" s="279"/>
      <c r="AB58" s="279"/>
      <c r="AC58" s="279"/>
      <c r="AD58" s="279"/>
      <c r="AE58" s="279"/>
      <c r="AF58" s="279"/>
      <c r="AG58" s="279"/>
    </row>
    <row r="59" spans="1:33">
      <c r="A59" s="277"/>
      <c r="B59" s="140" t="s">
        <v>667</v>
      </c>
      <c r="C59" s="279"/>
      <c r="D59" s="279"/>
      <c r="E59" s="279"/>
      <c r="F59" s="279"/>
      <c r="G59" s="279"/>
      <c r="H59" s="279"/>
      <c r="I59" s="279"/>
      <c r="J59" s="279"/>
      <c r="K59" s="279"/>
      <c r="L59" s="279"/>
      <c r="M59" s="279"/>
      <c r="N59" s="279"/>
      <c r="O59" s="279"/>
      <c r="P59" s="279"/>
      <c r="Q59" s="279"/>
      <c r="R59" s="279"/>
      <c r="S59" s="279"/>
      <c r="T59" s="279"/>
      <c r="U59" s="279"/>
      <c r="V59" s="279"/>
      <c r="W59" s="279"/>
      <c r="X59" s="279"/>
      <c r="Y59" s="279"/>
      <c r="Z59" s="279"/>
      <c r="AA59" s="279"/>
      <c r="AB59" s="279"/>
      <c r="AC59" s="279"/>
      <c r="AD59" s="279"/>
      <c r="AE59" s="279"/>
      <c r="AF59" s="279"/>
      <c r="AG59" s="279"/>
    </row>
    <row r="60" spans="1:33" s="85" customFormat="1">
      <c r="A60" s="276"/>
      <c r="B60" s="282" t="s">
        <v>217</v>
      </c>
      <c r="C60" s="281">
        <f t="shared" ref="C60:I60" si="52">SUM(C58:C59)</f>
        <v>0</v>
      </c>
      <c r="D60" s="281">
        <f t="shared" si="52"/>
        <v>0</v>
      </c>
      <c r="E60" s="281">
        <f t="shared" si="52"/>
        <v>0</v>
      </c>
      <c r="F60" s="281">
        <f t="shared" si="52"/>
        <v>0</v>
      </c>
      <c r="G60" s="281">
        <f t="shared" si="52"/>
        <v>0</v>
      </c>
      <c r="H60" s="281">
        <f t="shared" si="52"/>
        <v>0</v>
      </c>
      <c r="I60" s="281">
        <f t="shared" si="52"/>
        <v>0</v>
      </c>
      <c r="J60" s="281">
        <f>SUM(J58:J59)</f>
        <v>0</v>
      </c>
      <c r="K60" s="281"/>
      <c r="L60" s="281">
        <f t="shared" ref="L60:R60" si="53">SUM(L58:L59)</f>
        <v>0</v>
      </c>
      <c r="M60" s="281">
        <f t="shared" si="53"/>
        <v>0</v>
      </c>
      <c r="N60" s="281">
        <f t="shared" si="53"/>
        <v>0</v>
      </c>
      <c r="O60" s="281">
        <f t="shared" si="53"/>
        <v>0</v>
      </c>
      <c r="P60" s="281">
        <f t="shared" si="53"/>
        <v>0</v>
      </c>
      <c r="Q60" s="281">
        <f t="shared" si="53"/>
        <v>0</v>
      </c>
      <c r="R60" s="281">
        <f t="shared" si="53"/>
        <v>0</v>
      </c>
      <c r="S60" s="281">
        <f t="shared" ref="S60:AB60" si="54">SUM(S58:S59)</f>
        <v>0</v>
      </c>
      <c r="T60" s="281">
        <f t="shared" si="54"/>
        <v>0</v>
      </c>
      <c r="U60" s="281">
        <f t="shared" si="54"/>
        <v>0</v>
      </c>
      <c r="V60" s="281">
        <f t="shared" si="54"/>
        <v>0</v>
      </c>
      <c r="W60" s="281">
        <f t="shared" si="54"/>
        <v>0</v>
      </c>
      <c r="X60" s="281">
        <f t="shared" si="54"/>
        <v>0</v>
      </c>
      <c r="Y60" s="281">
        <f t="shared" si="54"/>
        <v>0</v>
      </c>
      <c r="Z60" s="281">
        <f t="shared" si="54"/>
        <v>0</v>
      </c>
      <c r="AA60" s="281">
        <f t="shared" si="54"/>
        <v>0</v>
      </c>
      <c r="AB60" s="281">
        <f t="shared" si="54"/>
        <v>0</v>
      </c>
      <c r="AC60" s="281">
        <f>SUM(AC58:AC59)</f>
        <v>0</v>
      </c>
      <c r="AD60" s="281">
        <f>SUM(AD58:AD59)</f>
        <v>0</v>
      </c>
      <c r="AE60" s="281">
        <f>SUM(AE58:AE59)</f>
        <v>0</v>
      </c>
      <c r="AF60" s="281">
        <f t="shared" ref="AF60:AG60" si="55">SUM(AF58:AF59)</f>
        <v>0</v>
      </c>
      <c r="AG60" s="281">
        <f t="shared" si="55"/>
        <v>0</v>
      </c>
    </row>
    <row r="61" spans="1:33" s="85" customFormat="1">
      <c r="A61" s="276"/>
      <c r="B61" s="149"/>
      <c r="C61" s="295"/>
      <c r="D61" s="295"/>
      <c r="E61" s="295"/>
      <c r="F61" s="295"/>
      <c r="G61" s="295"/>
      <c r="H61" s="295"/>
      <c r="I61" s="295"/>
      <c r="J61" s="295"/>
      <c r="K61" s="295"/>
      <c r="L61" s="295"/>
      <c r="M61" s="295"/>
      <c r="N61" s="295"/>
      <c r="O61" s="295"/>
      <c r="P61" s="295"/>
      <c r="Q61" s="295"/>
      <c r="R61" s="295"/>
      <c r="S61" s="295"/>
      <c r="T61" s="295"/>
      <c r="U61" s="295"/>
      <c r="V61" s="295"/>
      <c r="W61" s="295"/>
      <c r="X61" s="295"/>
      <c r="Y61" s="295"/>
      <c r="Z61" s="295"/>
      <c r="AA61" s="295"/>
      <c r="AB61" s="295"/>
      <c r="AC61" s="295"/>
      <c r="AD61" s="295"/>
      <c r="AE61" s="295"/>
      <c r="AF61" s="295"/>
      <c r="AG61" s="295"/>
    </row>
    <row r="62" spans="1:33" s="85" customFormat="1">
      <c r="B62" s="281" t="s">
        <v>836</v>
      </c>
      <c r="C62" s="1153">
        <f>Wind!U49</f>
        <v>296.16890000000001</v>
      </c>
      <c r="D62" s="1153">
        <f>Wind!V49</f>
        <v>215.83097868999999</v>
      </c>
      <c r="E62" s="1153">
        <f>Wind!W49</f>
        <v>570.57389559000001</v>
      </c>
      <c r="F62" s="1153">
        <f>Wind!X49</f>
        <v>812.06351098000005</v>
      </c>
      <c r="G62" s="1153">
        <f>Wind!Y49</f>
        <v>1192.9604075899999</v>
      </c>
      <c r="H62" s="1153">
        <f>Wind!Z49</f>
        <v>1440.5205713599998</v>
      </c>
      <c r="I62" s="1153">
        <f>Wind!AA49</f>
        <v>2039.7728039200001</v>
      </c>
      <c r="J62" s="1153">
        <f>Wind!AB49</f>
        <v>3326.7088524400001</v>
      </c>
      <c r="K62" s="1153"/>
      <c r="L62" s="1153">
        <f>Wind!CB49</f>
        <v>153.64504765999999</v>
      </c>
      <c r="M62" s="1153">
        <f>Wind!CC49</f>
        <v>441.30709999999999</v>
      </c>
      <c r="N62" s="1153">
        <f>Wind!CD49</f>
        <v>704.04272814000001</v>
      </c>
      <c r="O62" s="1153">
        <f>Wind!CE49</f>
        <v>812.06351098000005</v>
      </c>
      <c r="P62" s="1153">
        <f>Wind!CF49</f>
        <v>341.88946556000002</v>
      </c>
      <c r="Q62" s="1153">
        <f>Wind!CG49</f>
        <v>675.82613044000004</v>
      </c>
      <c r="R62" s="1153">
        <f>Wind!CH49</f>
        <v>996.03394949000005</v>
      </c>
      <c r="S62" s="1153">
        <f>Wind!CI49</f>
        <v>1192.9604075899999</v>
      </c>
      <c r="T62" s="1153">
        <f>Wind!CJ49</f>
        <v>344.64891976999996</v>
      </c>
      <c r="U62" s="1153">
        <f>Wind!CK49</f>
        <v>754.62977691999993</v>
      </c>
      <c r="V62" s="1153">
        <f>Wind!CL49</f>
        <v>1165.5060503499999</v>
      </c>
      <c r="W62" s="1153">
        <f>Wind!CM49</f>
        <v>1440.5205713599998</v>
      </c>
      <c r="X62" s="1153">
        <f>Wind!CN49</f>
        <v>497.25173000000001</v>
      </c>
      <c r="Y62" s="1153">
        <f>Wind!CO49</f>
        <v>1108.1202491199999</v>
      </c>
      <c r="Z62" s="1153">
        <f>Wind!CP49</f>
        <v>1655.60085437</v>
      </c>
      <c r="AA62" s="1153">
        <f>Wind!CQ49</f>
        <v>2039.7728039200001</v>
      </c>
      <c r="AB62" s="1153">
        <f>Wind!CR49</f>
        <v>663.88039829999991</v>
      </c>
      <c r="AC62" s="1153">
        <f>Wind!CS49</f>
        <v>1730.5914987900001</v>
      </c>
      <c r="AD62" s="1153">
        <f>Wind!CT49</f>
        <v>2707.3924074400002</v>
      </c>
      <c r="AE62" s="1153">
        <f>Wind!CU49</f>
        <v>3326.7088524400001</v>
      </c>
      <c r="AF62" s="1153">
        <f>Wind!CV49</f>
        <v>980.00953026000002</v>
      </c>
      <c r="AG62" s="1153">
        <f>Wind!CW49</f>
        <v>2374.7507854400001</v>
      </c>
    </row>
    <row r="63" spans="1:33" s="273" customFormat="1">
      <c r="A63" s="274"/>
      <c r="B63" s="275" t="s">
        <v>657</v>
      </c>
      <c r="C63" s="273">
        <f t="shared" ref="C63:I63" si="56">+SUM(C51,C54,-C55)-C62</f>
        <v>0</v>
      </c>
      <c r="D63" s="273">
        <f t="shared" si="56"/>
        <v>0</v>
      </c>
      <c r="E63" s="273">
        <f t="shared" si="56"/>
        <v>0</v>
      </c>
      <c r="F63" s="273">
        <f t="shared" si="56"/>
        <v>0</v>
      </c>
      <c r="G63" s="273">
        <f t="shared" si="56"/>
        <v>0</v>
      </c>
      <c r="H63" s="273">
        <f t="shared" si="56"/>
        <v>0</v>
      </c>
      <c r="I63" s="273">
        <f t="shared" si="56"/>
        <v>0</v>
      </c>
      <c r="J63" s="273">
        <f>+SUM(J51,J54,-J55)-J62</f>
        <v>0</v>
      </c>
    </row>
    <row r="64" spans="1:33" s="85" customFormat="1">
      <c r="A64" s="276"/>
      <c r="B64" s="149"/>
      <c r="C64" s="295"/>
      <c r="D64" s="295"/>
      <c r="E64" s="295"/>
      <c r="F64" s="295"/>
      <c r="G64" s="295"/>
      <c r="H64" s="295"/>
      <c r="I64" s="295"/>
      <c r="J64" s="295"/>
      <c r="K64" s="295"/>
      <c r="L64" s="295"/>
      <c r="M64" s="295"/>
      <c r="N64" s="295"/>
      <c r="O64" s="295"/>
      <c r="P64" s="295"/>
      <c r="Q64" s="295"/>
      <c r="R64" s="295"/>
      <c r="S64" s="295"/>
      <c r="T64" s="295"/>
      <c r="U64" s="295"/>
      <c r="V64" s="295"/>
      <c r="W64" s="295"/>
      <c r="X64" s="295"/>
      <c r="Y64" s="295"/>
      <c r="Z64" s="295"/>
      <c r="AA64" s="295"/>
      <c r="AB64" s="295"/>
      <c r="AC64" s="295"/>
      <c r="AD64" s="295"/>
      <c r="AE64" s="295"/>
      <c r="AF64" s="295"/>
      <c r="AG64" s="295"/>
    </row>
    <row r="65" spans="1:33">
      <c r="A65" s="277"/>
      <c r="B65" s="988" t="s">
        <v>835</v>
      </c>
      <c r="C65" s="989"/>
      <c r="D65" s="989"/>
      <c r="E65" s="989"/>
      <c r="F65" s="989"/>
      <c r="G65" s="989"/>
      <c r="H65" s="989"/>
      <c r="I65" s="989"/>
      <c r="J65" s="989"/>
      <c r="K65" s="279"/>
      <c r="L65" s="989"/>
      <c r="M65" s="989"/>
      <c r="N65" s="989"/>
      <c r="O65" s="989"/>
      <c r="P65" s="989"/>
      <c r="Q65" s="989"/>
      <c r="R65" s="989"/>
      <c r="S65" s="989"/>
      <c r="T65" s="989"/>
      <c r="U65" s="989"/>
      <c r="V65" s="989"/>
      <c r="W65" s="989"/>
      <c r="X65" s="989"/>
      <c r="Y65" s="989"/>
      <c r="Z65" s="989"/>
      <c r="AA65" s="989"/>
      <c r="AB65" s="989"/>
      <c r="AC65" s="989"/>
      <c r="AD65" s="989"/>
      <c r="AE65" s="989"/>
      <c r="AF65" s="989"/>
      <c r="AG65" s="989"/>
    </row>
    <row r="66" spans="1:33" s="130" customFormat="1">
      <c r="A66" s="277"/>
      <c r="B66" s="140" t="s">
        <v>834</v>
      </c>
      <c r="C66" s="297" t="str">
        <f>Wind!U51</f>
        <v/>
      </c>
      <c r="D66" s="297">
        <f>Wind!V51</f>
        <v>0.62</v>
      </c>
      <c r="E66" s="297">
        <f>Wind!W51</f>
        <v>1.63</v>
      </c>
      <c r="F66" s="297">
        <f>Wind!X51</f>
        <v>2.2599999999999998</v>
      </c>
      <c r="G66" s="297">
        <f>Wind!Y51</f>
        <v>3.1120000000000001</v>
      </c>
      <c r="H66" s="297">
        <f>Wind!Z51</f>
        <v>3.6012</v>
      </c>
      <c r="I66" s="297">
        <f>Wind!AA51</f>
        <v>5.0993000000000004</v>
      </c>
      <c r="J66" s="297">
        <f>Wind!AB51</f>
        <v>6.3974000000000002</v>
      </c>
      <c r="K66" s="297"/>
      <c r="L66" s="297">
        <f>Wind!CB51</f>
        <v>0.43</v>
      </c>
      <c r="M66" s="297">
        <f>Wind!CC51</f>
        <v>1.23</v>
      </c>
      <c r="N66" s="297">
        <f>Wind!CD51</f>
        <v>1.96</v>
      </c>
      <c r="O66" s="297">
        <f>Wind!CE51</f>
        <v>2.2599999999999998</v>
      </c>
      <c r="P66" s="297">
        <f>Wind!CF51</f>
        <v>0.95</v>
      </c>
      <c r="Q66" s="297">
        <f>Wind!CG51</f>
        <v>1.8431999999999999</v>
      </c>
      <c r="R66" s="297">
        <f>Wind!CH51</f>
        <v>2.64</v>
      </c>
      <c r="S66" s="297">
        <f>Wind!CI51</f>
        <v>3.1120000000000001</v>
      </c>
      <c r="T66" s="297">
        <f>Wind!CJ51</f>
        <v>0.86160000000000003</v>
      </c>
      <c r="U66" s="297">
        <f>Wind!CK51</f>
        <v>1.8865000000000001</v>
      </c>
      <c r="V66" s="297">
        <f>Wind!CL51</f>
        <v>2.9137</v>
      </c>
      <c r="W66" s="297">
        <f>Wind!CM51</f>
        <v>3.6012</v>
      </c>
      <c r="X66" s="297">
        <f>Wind!CN51</f>
        <v>1.2431000000000001</v>
      </c>
      <c r="Y66" s="297">
        <f>Wind!CO51</f>
        <v>2.7702</v>
      </c>
      <c r="Z66" s="297">
        <f>Wind!CP51</f>
        <v>4.1388999999999996</v>
      </c>
      <c r="AA66" s="297">
        <f>Wind!CQ51</f>
        <v>5.0993000000000004</v>
      </c>
      <c r="AB66" s="297">
        <f>Wind!CR51</f>
        <v>1.6597</v>
      </c>
      <c r="AC66" s="297">
        <f>Wind!CS51</f>
        <v>4.3263999999999996</v>
      </c>
      <c r="AD66" s="297">
        <f>Wind!CT51</f>
        <v>5.2064000000000004</v>
      </c>
      <c r="AE66" s="297">
        <f>Wind!CU51</f>
        <v>6.3974000000000002</v>
      </c>
      <c r="AF66" s="297">
        <f>Wind!CV51</f>
        <v>1.8846000000000001</v>
      </c>
      <c r="AG66" s="297">
        <f>Wind!CW51</f>
        <v>4.5667</v>
      </c>
    </row>
    <row r="67" spans="1:33" s="130" customFormat="1">
      <c r="A67" s="277"/>
      <c r="B67" s="140" t="s">
        <v>833</v>
      </c>
      <c r="C67" s="297" t="str">
        <f>Wind!U52</f>
        <v/>
      </c>
      <c r="D67" s="297">
        <f>Wind!V52</f>
        <v>0.62</v>
      </c>
      <c r="E67" s="297">
        <f>Wind!W52</f>
        <v>1.63</v>
      </c>
      <c r="F67" s="297">
        <f>Wind!X52</f>
        <v>2.2599999999999998</v>
      </c>
      <c r="G67" s="297">
        <f>Wind!Y52</f>
        <v>3.1120000000000001</v>
      </c>
      <c r="H67" s="297">
        <f>Wind!Z52</f>
        <v>3.6012</v>
      </c>
      <c r="I67" s="297">
        <f>Wind!AA52</f>
        <v>5.0993000000000004</v>
      </c>
      <c r="J67" s="297">
        <f>Wind!AB52</f>
        <v>6.3974000000000002</v>
      </c>
      <c r="K67" s="297"/>
      <c r="L67" s="297">
        <f>Wind!CB52</f>
        <v>0.43</v>
      </c>
      <c r="M67" s="297">
        <f>Wind!CC52</f>
        <v>1.23</v>
      </c>
      <c r="N67" s="297">
        <f>Wind!CD52</f>
        <v>1.96</v>
      </c>
      <c r="O67" s="297">
        <f>Wind!CE52</f>
        <v>2.2599999999999998</v>
      </c>
      <c r="P67" s="297">
        <f>Wind!CF52</f>
        <v>0.95</v>
      </c>
      <c r="Q67" s="297">
        <f>Wind!CG52</f>
        <v>1.8431999999999999</v>
      </c>
      <c r="R67" s="297">
        <f>Wind!CH52</f>
        <v>2.64</v>
      </c>
      <c r="S67" s="297">
        <f>Wind!CI52</f>
        <v>3.1120000000000001</v>
      </c>
      <c r="T67" s="297">
        <f>Wind!CJ52</f>
        <v>0.86160000000000003</v>
      </c>
      <c r="U67" s="297">
        <f>Wind!CK52</f>
        <v>1.8865000000000001</v>
      </c>
      <c r="V67" s="297">
        <f>Wind!CL52</f>
        <v>2.9137</v>
      </c>
      <c r="W67" s="297">
        <f>Wind!CM52</f>
        <v>3.6012</v>
      </c>
      <c r="X67" s="297">
        <f>Wind!CN52</f>
        <v>1.2431000000000001</v>
      </c>
      <c r="Y67" s="297">
        <f>Wind!CO52</f>
        <v>2.7702</v>
      </c>
      <c r="Z67" s="297">
        <f>Wind!CP52</f>
        <v>4.1388999999999996</v>
      </c>
      <c r="AA67" s="297">
        <f>Wind!CQ52</f>
        <v>5.0993000000000004</v>
      </c>
      <c r="AB67" s="297">
        <f>Wind!CR52</f>
        <v>1.6597</v>
      </c>
      <c r="AC67" s="297">
        <f>Wind!CS52</f>
        <v>4.3263999999999996</v>
      </c>
      <c r="AD67" s="297">
        <f>Wind!CT52</f>
        <v>5.2064000000000004</v>
      </c>
      <c r="AE67" s="297">
        <f>Wind!CU52</f>
        <v>6.3974000000000002</v>
      </c>
      <c r="AF67" s="297">
        <f>Wind!CV52</f>
        <v>1.8846000000000001</v>
      </c>
      <c r="AG67" s="297">
        <f>Wind!CW52</f>
        <v>4.5667</v>
      </c>
    </row>
    <row r="68" spans="1:33">
      <c r="A68" s="277"/>
      <c r="B68" s="149"/>
    </row>
    <row r="69" spans="1:33">
      <c r="A69" s="277"/>
      <c r="B69" s="988" t="s">
        <v>832</v>
      </c>
      <c r="C69" s="989"/>
      <c r="D69" s="989"/>
      <c r="E69" s="989"/>
      <c r="F69" s="989"/>
      <c r="G69" s="989"/>
      <c r="H69" s="989"/>
      <c r="I69" s="989"/>
      <c r="J69" s="989"/>
      <c r="K69" s="279"/>
      <c r="L69" s="989"/>
      <c r="M69" s="989"/>
      <c r="N69" s="989"/>
      <c r="O69" s="989"/>
      <c r="P69" s="989"/>
      <c r="Q69" s="989"/>
      <c r="R69" s="989"/>
      <c r="S69" s="989"/>
      <c r="T69" s="989"/>
      <c r="U69" s="989"/>
      <c r="V69" s="989"/>
      <c r="W69" s="989"/>
      <c r="X69" s="989"/>
      <c r="Y69" s="989"/>
      <c r="Z69" s="989"/>
      <c r="AA69" s="989"/>
      <c r="AB69" s="989"/>
      <c r="AC69" s="989"/>
      <c r="AD69" s="989"/>
      <c r="AE69" s="989"/>
      <c r="AF69" s="989"/>
      <c r="AG69" s="989"/>
    </row>
    <row r="70" spans="1:33">
      <c r="A70" s="277"/>
      <c r="B70" s="140" t="s">
        <v>831</v>
      </c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79"/>
      <c r="Q70" s="279"/>
      <c r="R70" s="279"/>
      <c r="S70" s="279"/>
      <c r="T70" s="279"/>
      <c r="U70" s="279"/>
      <c r="V70" s="279"/>
      <c r="W70" s="279"/>
      <c r="X70" s="279"/>
      <c r="Y70" s="279"/>
      <c r="Z70" s="279"/>
      <c r="AA70" s="279"/>
      <c r="AB70" s="279"/>
      <c r="AC70" s="279"/>
      <c r="AD70" s="279"/>
      <c r="AE70" s="279"/>
      <c r="AF70" s="279"/>
      <c r="AG70" s="279"/>
    </row>
    <row r="71" spans="1:33">
      <c r="A71" s="277"/>
      <c r="B71" s="140" t="s">
        <v>830</v>
      </c>
      <c r="C71" s="279" t="e">
        <f>C76*Wind!U291</f>
        <v>#VALUE!</v>
      </c>
      <c r="D71" s="279">
        <f>D76*Wind!V291</f>
        <v>0</v>
      </c>
      <c r="E71" s="279">
        <f>E76*Wind!W291</f>
        <v>0</v>
      </c>
      <c r="F71" s="279">
        <f>F76*Wind!X291</f>
        <v>0</v>
      </c>
      <c r="G71" s="279">
        <f>G76*Wind!Y291</f>
        <v>600.01499999999999</v>
      </c>
      <c r="H71" s="279">
        <f>H76*Wind!Z291</f>
        <v>800.02</v>
      </c>
      <c r="I71" s="279">
        <f>I76*Wind!AA291</f>
        <v>1000.025</v>
      </c>
      <c r="J71" s="279">
        <f>J76*Wind!AB291</f>
        <v>1300.0325</v>
      </c>
      <c r="K71" s="279"/>
      <c r="L71" s="279" t="e">
        <f>L76*Wind!CB291</f>
        <v>#VALUE!</v>
      </c>
      <c r="M71" s="279" t="e">
        <f>M76*Wind!CC291</f>
        <v>#VALUE!</v>
      </c>
      <c r="N71" s="279" t="e">
        <f>N76*Wind!CD291</f>
        <v>#VALUE!</v>
      </c>
      <c r="O71" s="279" t="e">
        <f>O76*Wind!CE291</f>
        <v>#VALUE!</v>
      </c>
      <c r="P71" s="279" t="e">
        <f>P76*Wind!CF291</f>
        <v>#VALUE!</v>
      </c>
      <c r="Q71" s="279">
        <f>Q76*Wind!CG291</f>
        <v>600.01499999999999</v>
      </c>
      <c r="R71" s="279" t="e">
        <f>R76*Wind!CH291</f>
        <v>#VALUE!</v>
      </c>
      <c r="S71" s="279">
        <f>S76*Wind!CI291</f>
        <v>600.01499999999999</v>
      </c>
      <c r="T71" s="279" t="e">
        <f>T76*Wind!CJ291</f>
        <v>#VALUE!</v>
      </c>
      <c r="U71" s="279" t="e">
        <f>U76*Wind!CK291</f>
        <v>#VALUE!</v>
      </c>
      <c r="V71" s="279" t="e">
        <f>V76*Wind!CL291</f>
        <v>#VALUE!</v>
      </c>
      <c r="W71" s="279">
        <f>W76*Wind!CM291</f>
        <v>800.02</v>
      </c>
      <c r="X71" s="279" t="e">
        <f>X76*Wind!CN291</f>
        <v>#VALUE!</v>
      </c>
      <c r="Y71" s="279" t="e">
        <f>Y76*Wind!CO291</f>
        <v>#VALUE!</v>
      </c>
      <c r="Z71" s="279" t="e">
        <f>Z76*Wind!CP291</f>
        <v>#VALUE!</v>
      </c>
      <c r="AA71" s="279" t="e">
        <f>AA76*Wind!CQ291</f>
        <v>#VALUE!</v>
      </c>
      <c r="AB71" s="279" t="e">
        <f>AB76*Wind!CR291</f>
        <v>#VALUE!</v>
      </c>
      <c r="AC71" s="279">
        <f>AC76*Wind!CS291</f>
        <v>0</v>
      </c>
      <c r="AD71" s="279" t="e">
        <f>AD76*Wind!CT291</f>
        <v>#VALUE!</v>
      </c>
      <c r="AE71" s="279">
        <f>AE76*Wind!CU291</f>
        <v>0</v>
      </c>
      <c r="AF71" s="279" t="e">
        <f>AF76*Wind!CV291</f>
        <v>#VALUE!</v>
      </c>
      <c r="AG71" s="279">
        <f>AG76*Wind!CW291</f>
        <v>0</v>
      </c>
    </row>
    <row r="72" spans="1:33">
      <c r="A72" s="277"/>
      <c r="B72" s="140" t="s">
        <v>827</v>
      </c>
    </row>
    <row r="73" spans="1:33">
      <c r="A73" s="277"/>
      <c r="B73" s="988" t="s">
        <v>829</v>
      </c>
      <c r="C73" s="989"/>
      <c r="D73" s="989"/>
      <c r="E73" s="989"/>
      <c r="F73" s="989"/>
      <c r="G73" s="989"/>
      <c r="H73" s="989"/>
      <c r="I73" s="989"/>
      <c r="J73" s="989"/>
      <c r="K73" s="279"/>
      <c r="L73" s="989"/>
      <c r="M73" s="989"/>
      <c r="N73" s="989"/>
      <c r="O73" s="989"/>
      <c r="P73" s="989"/>
      <c r="Q73" s="989"/>
      <c r="R73" s="989"/>
      <c r="S73" s="989"/>
      <c r="T73" s="989"/>
      <c r="U73" s="989"/>
      <c r="V73" s="989"/>
      <c r="W73" s="989"/>
      <c r="X73" s="989"/>
      <c r="Y73" s="989"/>
      <c r="Z73" s="989"/>
      <c r="AA73" s="989"/>
      <c r="AB73" s="989"/>
      <c r="AC73" s="989"/>
      <c r="AD73" s="989"/>
      <c r="AE73" s="989"/>
      <c r="AF73" s="989"/>
      <c r="AG73" s="989"/>
    </row>
    <row r="74" spans="1:33">
      <c r="A74" s="277"/>
      <c r="B74" s="140" t="s">
        <v>213</v>
      </c>
      <c r="C74" s="279">
        <f t="shared" ref="C74:I74" si="57">+C76</f>
        <v>150.81970000000001</v>
      </c>
      <c r="D74" s="279">
        <f t="shared" si="57"/>
        <v>350</v>
      </c>
      <c r="E74" s="279">
        <f t="shared" si="57"/>
        <v>360</v>
      </c>
      <c r="F74" s="279">
        <f t="shared" si="57"/>
        <v>360</v>
      </c>
      <c r="G74" s="279">
        <f t="shared" si="57"/>
        <v>400.01</v>
      </c>
      <c r="H74" s="279">
        <f t="shared" si="57"/>
        <v>400.01</v>
      </c>
      <c r="I74" s="279">
        <f t="shared" si="57"/>
        <v>400.01</v>
      </c>
      <c r="J74" s="279">
        <f>+J76</f>
        <v>520.01300000000003</v>
      </c>
      <c r="K74" s="279"/>
      <c r="L74" s="279">
        <f t="shared" ref="L74:R74" si="58">L76</f>
        <v>0</v>
      </c>
      <c r="M74" s="279">
        <f t="shared" si="58"/>
        <v>360</v>
      </c>
      <c r="N74" s="279">
        <f t="shared" si="58"/>
        <v>0</v>
      </c>
      <c r="O74" s="279">
        <f t="shared" si="58"/>
        <v>360</v>
      </c>
      <c r="P74" s="279">
        <f t="shared" si="58"/>
        <v>360</v>
      </c>
      <c r="Q74" s="279">
        <f t="shared" si="58"/>
        <v>400.01</v>
      </c>
      <c r="R74" s="279">
        <f t="shared" si="58"/>
        <v>400.01</v>
      </c>
      <c r="S74" s="279">
        <f t="shared" ref="S74:AB74" si="59">S76</f>
        <v>400.01</v>
      </c>
      <c r="T74" s="279">
        <f t="shared" si="59"/>
        <v>400.01</v>
      </c>
      <c r="U74" s="279">
        <f t="shared" si="59"/>
        <v>400.01</v>
      </c>
      <c r="V74" s="279">
        <f t="shared" si="59"/>
        <v>400.01</v>
      </c>
      <c r="W74" s="279">
        <f t="shared" si="59"/>
        <v>400.01</v>
      </c>
      <c r="X74" s="279">
        <f t="shared" si="59"/>
        <v>400.01</v>
      </c>
      <c r="Y74" s="279">
        <f t="shared" si="59"/>
        <v>400.01</v>
      </c>
      <c r="Z74" s="279">
        <f t="shared" si="59"/>
        <v>400.01</v>
      </c>
      <c r="AA74" s="279">
        <f t="shared" si="59"/>
        <v>400.01</v>
      </c>
      <c r="AB74" s="279">
        <f t="shared" si="59"/>
        <v>400.01</v>
      </c>
      <c r="AC74" s="279">
        <f>AC76</f>
        <v>400.01</v>
      </c>
      <c r="AD74" s="279">
        <f>AD76</f>
        <v>520.01300000000003</v>
      </c>
      <c r="AE74" s="279">
        <f>AE76</f>
        <v>520.01300000000003</v>
      </c>
      <c r="AF74" s="279">
        <f t="shared" ref="AF74" si="60">AF76</f>
        <v>520.01300000000003</v>
      </c>
      <c r="AG74" s="279">
        <f t="shared" ref="AG74" si="61">AG76</f>
        <v>520.01300000000003</v>
      </c>
    </row>
    <row r="75" spans="1:33">
      <c r="A75" s="277"/>
      <c r="B75" s="140" t="s">
        <v>212</v>
      </c>
      <c r="C75" s="279">
        <f>Wind!U155</f>
        <v>150.81970000000001</v>
      </c>
      <c r="D75" s="279">
        <f>Wind!V155</f>
        <v>350</v>
      </c>
      <c r="E75" s="279">
        <f>Wind!W155</f>
        <v>360</v>
      </c>
      <c r="F75" s="279">
        <f>Wind!X155</f>
        <v>360</v>
      </c>
      <c r="G75" s="279">
        <f>Wind!Y155</f>
        <v>400.01</v>
      </c>
      <c r="H75" s="279">
        <f>Wind!Z155</f>
        <v>400.01</v>
      </c>
      <c r="I75" s="279">
        <f>Wind!AA155</f>
        <v>400.01</v>
      </c>
      <c r="J75" s="279">
        <f>Wind!AB155</f>
        <v>520.01300000000003</v>
      </c>
      <c r="K75" s="279"/>
      <c r="L75" s="279">
        <f>Wind!CB155</f>
        <v>0</v>
      </c>
      <c r="M75" s="279">
        <f>Wind!CC155</f>
        <v>360</v>
      </c>
      <c r="N75" s="279">
        <f>Wind!CD155</f>
        <v>0</v>
      </c>
      <c r="O75" s="279">
        <f>Wind!CE155</f>
        <v>360</v>
      </c>
      <c r="P75" s="279">
        <f>Wind!CF155</f>
        <v>360</v>
      </c>
      <c r="Q75" s="279">
        <f>Wind!CG155</f>
        <v>400.01</v>
      </c>
      <c r="R75" s="279">
        <f>Wind!CH155</f>
        <v>400.01</v>
      </c>
      <c r="S75" s="279">
        <f>Wind!CI155</f>
        <v>400.01</v>
      </c>
      <c r="T75" s="279">
        <f>Wind!CJ155</f>
        <v>400.01</v>
      </c>
      <c r="U75" s="279">
        <f>Wind!CK155</f>
        <v>400.01</v>
      </c>
      <c r="V75" s="279">
        <f>Wind!CL155</f>
        <v>400.01</v>
      </c>
      <c r="W75" s="279">
        <f>Wind!CM155</f>
        <v>400.01</v>
      </c>
      <c r="X75" s="279">
        <f>Wind!CN155</f>
        <v>400.01</v>
      </c>
      <c r="Y75" s="279">
        <f>Wind!CO155</f>
        <v>400.01</v>
      </c>
      <c r="Z75" s="279">
        <f>Wind!CP155</f>
        <v>400.01</v>
      </c>
      <c r="AA75" s="279">
        <f>Wind!CQ155</f>
        <v>400.01</v>
      </c>
      <c r="AB75" s="279">
        <f>Wind!CR155</f>
        <v>400.01</v>
      </c>
      <c r="AC75" s="279">
        <f>Wind!CS155</f>
        <v>400.01</v>
      </c>
      <c r="AD75" s="279">
        <f>Wind!CT155</f>
        <v>520.01300000000003</v>
      </c>
      <c r="AE75" s="279">
        <f>Wind!CU155</f>
        <v>520.01300000000003</v>
      </c>
      <c r="AF75" s="279">
        <f>Wind!CV155</f>
        <v>520.01300000000003</v>
      </c>
      <c r="AG75" s="279">
        <f>Wind!CW155</f>
        <v>520.01300000000003</v>
      </c>
    </row>
    <row r="76" spans="1:33">
      <c r="A76" s="277"/>
      <c r="B76" s="140" t="s">
        <v>211</v>
      </c>
      <c r="C76" s="280">
        <f>Wind!U155</f>
        <v>150.81970000000001</v>
      </c>
      <c r="D76" s="280">
        <f>Wind!V155</f>
        <v>350</v>
      </c>
      <c r="E76" s="280">
        <f>Wind!W155</f>
        <v>360</v>
      </c>
      <c r="F76" s="280">
        <f>Wind!X155</f>
        <v>360</v>
      </c>
      <c r="G76" s="280">
        <f>Wind!Y155</f>
        <v>400.01</v>
      </c>
      <c r="H76" s="280">
        <f>Wind!Z155</f>
        <v>400.01</v>
      </c>
      <c r="I76" s="280">
        <f>Wind!AA155</f>
        <v>400.01</v>
      </c>
      <c r="J76" s="280">
        <f>Wind!AB155</f>
        <v>520.01300000000003</v>
      </c>
      <c r="K76" s="280"/>
      <c r="L76" s="280">
        <f>Wind!CB155</f>
        <v>0</v>
      </c>
      <c r="M76" s="280">
        <f>Wind!CC155</f>
        <v>360</v>
      </c>
      <c r="N76" s="280">
        <f>Wind!CD155</f>
        <v>0</v>
      </c>
      <c r="O76" s="280">
        <f>Wind!CE155</f>
        <v>360</v>
      </c>
      <c r="P76" s="280">
        <f>Wind!CF155</f>
        <v>360</v>
      </c>
      <c r="Q76" s="280">
        <f>Wind!CG155</f>
        <v>400.01</v>
      </c>
      <c r="R76" s="280">
        <f>Wind!CH155</f>
        <v>400.01</v>
      </c>
      <c r="S76" s="280">
        <f>Wind!CI155</f>
        <v>400.01</v>
      </c>
      <c r="T76" s="280">
        <f>Wind!CJ155</f>
        <v>400.01</v>
      </c>
      <c r="U76" s="280">
        <f>Wind!CK155</f>
        <v>400.01</v>
      </c>
      <c r="V76" s="280">
        <f>Wind!CL155</f>
        <v>400.01</v>
      </c>
      <c r="W76" s="280">
        <f>Wind!CM155</f>
        <v>400.01</v>
      </c>
      <c r="X76" s="280">
        <f>Wind!CN155</f>
        <v>400.01</v>
      </c>
      <c r="Y76" s="280">
        <f>Wind!CO155</f>
        <v>400.01</v>
      </c>
      <c r="Z76" s="280">
        <f>Wind!CP155</f>
        <v>400.01</v>
      </c>
      <c r="AA76" s="280">
        <f>Wind!CQ155</f>
        <v>400.01</v>
      </c>
      <c r="AB76" s="280">
        <f>Wind!CR155</f>
        <v>400.01</v>
      </c>
      <c r="AC76" s="280">
        <f>Wind!CS155</f>
        <v>400.01</v>
      </c>
      <c r="AD76" s="280">
        <f>Wind!CT155</f>
        <v>520.01300000000003</v>
      </c>
      <c r="AE76" s="280">
        <f>Wind!CU155</f>
        <v>520.01300000000003</v>
      </c>
      <c r="AF76" s="280">
        <f>Wind!CV155</f>
        <v>520.01300000000003</v>
      </c>
      <c r="AG76" s="280">
        <f>Wind!CW155</f>
        <v>520.01300000000003</v>
      </c>
    </row>
    <row r="77" spans="1:33">
      <c r="A77" s="277"/>
    </row>
    <row r="78" spans="1:33">
      <c r="A78" s="277"/>
      <c r="B78" s="988" t="s">
        <v>828</v>
      </c>
      <c r="C78" s="989"/>
      <c r="D78" s="989"/>
      <c r="E78" s="989"/>
      <c r="F78" s="989"/>
      <c r="G78" s="989"/>
      <c r="H78" s="989"/>
      <c r="I78" s="989"/>
      <c r="J78" s="989"/>
      <c r="K78" s="279"/>
      <c r="L78" s="989"/>
      <c r="M78" s="989"/>
      <c r="N78" s="989"/>
      <c r="O78" s="989"/>
      <c r="P78" s="989"/>
      <c r="Q78" s="989"/>
      <c r="R78" s="989"/>
      <c r="S78" s="989"/>
      <c r="T78" s="989"/>
      <c r="U78" s="989"/>
      <c r="V78" s="989"/>
      <c r="W78" s="989"/>
      <c r="X78" s="989"/>
      <c r="Y78" s="989"/>
      <c r="Z78" s="989"/>
      <c r="AA78" s="989"/>
      <c r="AB78" s="989"/>
      <c r="AC78" s="989"/>
      <c r="AD78" s="989"/>
      <c r="AE78" s="989"/>
      <c r="AF78" s="989"/>
      <c r="AG78" s="989"/>
    </row>
    <row r="79" spans="1:33">
      <c r="A79" s="277"/>
      <c r="B79" s="140"/>
      <c r="C79" s="279"/>
      <c r="D79" s="279"/>
      <c r="E79" s="279"/>
      <c r="F79" s="279"/>
      <c r="G79" s="279"/>
      <c r="H79" s="279"/>
      <c r="I79" s="279"/>
      <c r="J79" s="279"/>
      <c r="K79" s="279"/>
      <c r="L79" s="279"/>
      <c r="M79" s="279"/>
      <c r="N79" s="279"/>
      <c r="O79" s="279"/>
      <c r="P79" s="279"/>
      <c r="Q79" s="279"/>
      <c r="R79" s="279"/>
      <c r="S79" s="279"/>
      <c r="T79" s="279"/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</row>
    <row r="80" spans="1:33">
      <c r="A80" s="277"/>
      <c r="B80" s="140"/>
      <c r="C80" s="279"/>
      <c r="D80" s="279"/>
      <c r="E80" s="279"/>
      <c r="F80" s="279"/>
      <c r="G80" s="279"/>
      <c r="H80" s="279"/>
      <c r="I80" s="279"/>
      <c r="J80" s="279"/>
      <c r="K80" s="279"/>
      <c r="L80" s="279"/>
      <c r="M80" s="279"/>
      <c r="N80" s="279"/>
      <c r="O80" s="279"/>
      <c r="P80" s="279"/>
      <c r="Q80" s="279"/>
      <c r="R80" s="279"/>
      <c r="S80" s="279"/>
      <c r="T80" s="279"/>
      <c r="U80" s="279"/>
      <c r="V80" s="279"/>
      <c r="W80" s="279"/>
      <c r="X80" s="279"/>
      <c r="Y80" s="279"/>
      <c r="Z80" s="279"/>
      <c r="AA80" s="279"/>
      <c r="AB80" s="279"/>
      <c r="AC80" s="279"/>
      <c r="AD80" s="279"/>
      <c r="AE80" s="279"/>
      <c r="AF80" s="279"/>
      <c r="AG80" s="279"/>
    </row>
    <row r="81" spans="1:33">
      <c r="A81" s="277"/>
      <c r="B81" s="140"/>
      <c r="C81" s="279"/>
      <c r="D81" s="279"/>
      <c r="E81" s="279"/>
      <c r="F81" s="279"/>
      <c r="G81" s="279"/>
      <c r="H81" s="279"/>
      <c r="I81" s="279"/>
      <c r="J81" s="279"/>
      <c r="K81" s="279"/>
      <c r="L81" s="279"/>
      <c r="M81" s="279"/>
      <c r="N81" s="279"/>
      <c r="O81" s="279"/>
      <c r="P81" s="279"/>
      <c r="Q81" s="279"/>
      <c r="R81" s="279"/>
      <c r="S81" s="279"/>
      <c r="T81" s="279"/>
      <c r="U81" s="279"/>
      <c r="V81" s="279"/>
      <c r="W81" s="279"/>
      <c r="X81" s="279"/>
      <c r="Y81" s="279"/>
      <c r="Z81" s="279"/>
      <c r="AA81" s="279"/>
      <c r="AB81" s="279"/>
      <c r="AC81" s="279"/>
      <c r="AD81" s="279"/>
      <c r="AE81" s="279"/>
      <c r="AF81" s="279"/>
      <c r="AG81" s="279"/>
    </row>
    <row r="82" spans="1:33">
      <c r="A82" s="277"/>
      <c r="B82" s="140"/>
      <c r="C82" s="279"/>
      <c r="D82" s="279"/>
      <c r="E82" s="279"/>
      <c r="F82" s="279"/>
      <c r="G82" s="279"/>
      <c r="H82" s="279"/>
      <c r="I82" s="279"/>
      <c r="J82" s="279"/>
      <c r="K82" s="279"/>
      <c r="L82" s="279"/>
      <c r="M82" s="279"/>
      <c r="N82" s="279"/>
      <c r="O82" s="279"/>
      <c r="P82" s="279"/>
      <c r="Q82" s="279"/>
      <c r="R82" s="279"/>
      <c r="S82" s="279"/>
      <c r="T82" s="279"/>
      <c r="U82" s="279"/>
      <c r="V82" s="279"/>
      <c r="W82" s="279"/>
      <c r="X82" s="279"/>
      <c r="Y82" s="279"/>
      <c r="Z82" s="279"/>
      <c r="AA82" s="279"/>
      <c r="AB82" s="279"/>
      <c r="AC82" s="279"/>
      <c r="AD82" s="279"/>
      <c r="AE82" s="279"/>
      <c r="AF82" s="279"/>
      <c r="AG82" s="279"/>
    </row>
    <row r="83" spans="1:33">
      <c r="A83" s="277"/>
      <c r="B83" s="140"/>
      <c r="C83" s="279"/>
      <c r="D83" s="279"/>
      <c r="E83" s="279"/>
      <c r="F83" s="279"/>
      <c r="G83" s="279"/>
      <c r="H83" s="279"/>
      <c r="I83" s="279"/>
      <c r="J83" s="279"/>
      <c r="K83" s="279"/>
      <c r="L83" s="279"/>
      <c r="M83" s="279"/>
      <c r="N83" s="279"/>
      <c r="O83" s="279"/>
      <c r="P83" s="279"/>
      <c r="Q83" s="279"/>
      <c r="R83" s="279"/>
      <c r="S83" s="279"/>
      <c r="T83" s="279"/>
      <c r="U83" s="279"/>
      <c r="V83" s="279"/>
      <c r="W83" s="279"/>
      <c r="X83" s="279"/>
      <c r="Y83" s="279"/>
      <c r="Z83" s="279"/>
      <c r="AA83" s="279"/>
      <c r="AB83" s="279"/>
      <c r="AC83" s="279"/>
      <c r="AD83" s="279"/>
      <c r="AE83" s="279"/>
      <c r="AF83" s="279"/>
      <c r="AG83" s="279"/>
    </row>
    <row r="84" spans="1:33">
      <c r="A84" s="277"/>
      <c r="B84" s="140"/>
      <c r="C84" s="279"/>
      <c r="D84" s="279"/>
      <c r="E84" s="279"/>
      <c r="F84" s="279"/>
      <c r="G84" s="279"/>
      <c r="H84" s="279"/>
      <c r="I84" s="279"/>
      <c r="J84" s="279"/>
      <c r="K84" s="279"/>
      <c r="L84" s="279"/>
      <c r="M84" s="279"/>
      <c r="N84" s="279"/>
      <c r="O84" s="279"/>
      <c r="P84" s="279"/>
      <c r="Q84" s="279"/>
      <c r="R84" s="279"/>
      <c r="S84" s="279"/>
      <c r="T84" s="279"/>
      <c r="U84" s="279"/>
      <c r="V84" s="279"/>
      <c r="W84" s="279"/>
      <c r="X84" s="279"/>
      <c r="Y84" s="279"/>
      <c r="Z84" s="279"/>
      <c r="AA84" s="279"/>
      <c r="AB84" s="279"/>
      <c r="AC84" s="279"/>
      <c r="AD84" s="279"/>
      <c r="AE84" s="279"/>
      <c r="AF84" s="279"/>
      <c r="AG84" s="279"/>
    </row>
    <row r="85" spans="1:33" s="85" customFormat="1">
      <c r="A85" s="276"/>
      <c r="B85" s="282" t="s">
        <v>827</v>
      </c>
      <c r="C85" s="281">
        <f>SUM(C79:C84)</f>
        <v>0</v>
      </c>
      <c r="D85" s="281">
        <f>SUM(D79:D84)</f>
        <v>0</v>
      </c>
      <c r="E85" s="281">
        <f>SUM(E79:E84)</f>
        <v>0</v>
      </c>
      <c r="F85" s="281">
        <f>SUM(F79:F84)</f>
        <v>0</v>
      </c>
      <c r="G85" s="281">
        <f>SUM(G79:G84)</f>
        <v>0</v>
      </c>
      <c r="H85" s="281"/>
      <c r="I85" s="281"/>
      <c r="J85" s="281"/>
      <c r="K85" s="281"/>
      <c r="L85" s="281">
        <f t="shared" ref="L85:R85" si="62">SUM(L79:L84)</f>
        <v>0</v>
      </c>
      <c r="M85" s="281">
        <f t="shared" si="62"/>
        <v>0</v>
      </c>
      <c r="N85" s="281">
        <f t="shared" si="62"/>
        <v>0</v>
      </c>
      <c r="O85" s="281">
        <f t="shared" si="62"/>
        <v>0</v>
      </c>
      <c r="P85" s="281">
        <f t="shared" si="62"/>
        <v>0</v>
      </c>
      <c r="Q85" s="281">
        <f t="shared" si="62"/>
        <v>0</v>
      </c>
      <c r="R85" s="281">
        <f t="shared" si="62"/>
        <v>0</v>
      </c>
      <c r="S85" s="281">
        <f t="shared" ref="S85:AB85" si="63">SUM(S79:S84)</f>
        <v>0</v>
      </c>
      <c r="T85" s="281">
        <f t="shared" si="63"/>
        <v>0</v>
      </c>
      <c r="U85" s="281">
        <f t="shared" si="63"/>
        <v>0</v>
      </c>
      <c r="V85" s="281">
        <f t="shared" si="63"/>
        <v>0</v>
      </c>
      <c r="W85" s="281">
        <f t="shared" si="63"/>
        <v>0</v>
      </c>
      <c r="X85" s="281">
        <f t="shared" si="63"/>
        <v>0</v>
      </c>
      <c r="Y85" s="281">
        <f t="shared" si="63"/>
        <v>0</v>
      </c>
      <c r="Z85" s="281">
        <f t="shared" si="63"/>
        <v>0</v>
      </c>
      <c r="AA85" s="281">
        <f t="shared" si="63"/>
        <v>0</v>
      </c>
      <c r="AB85" s="281">
        <f t="shared" si="63"/>
        <v>0</v>
      </c>
      <c r="AC85" s="281">
        <f>SUM(AC79:AC84)</f>
        <v>0</v>
      </c>
      <c r="AD85" s="281">
        <f>SUM(AD79:AD84)</f>
        <v>0</v>
      </c>
      <c r="AE85" s="281">
        <f>SUM(AE79:AE84)</f>
        <v>0</v>
      </c>
      <c r="AF85" s="281">
        <f t="shared" ref="AF85:AG85" si="64">SUM(AF79:AF84)</f>
        <v>0</v>
      </c>
      <c r="AG85" s="281">
        <f t="shared" si="64"/>
        <v>0</v>
      </c>
    </row>
    <row r="86" spans="1:33">
      <c r="A86" s="277"/>
    </row>
    <row r="87" spans="1:33">
      <c r="A87" s="277"/>
      <c r="B87" s="988" t="s">
        <v>826</v>
      </c>
      <c r="C87" s="989"/>
      <c r="D87" s="989"/>
      <c r="E87" s="989"/>
      <c r="F87" s="989"/>
      <c r="G87" s="989"/>
      <c r="H87" s="989"/>
      <c r="I87" s="989"/>
      <c r="J87" s="989"/>
      <c r="K87" s="279"/>
      <c r="L87" s="989"/>
      <c r="M87" s="989"/>
      <c r="N87" s="989"/>
      <c r="O87" s="989"/>
      <c r="P87" s="989"/>
      <c r="Q87" s="989"/>
      <c r="R87" s="989"/>
      <c r="S87" s="989"/>
      <c r="T87" s="989"/>
      <c r="U87" s="989"/>
      <c r="V87" s="989"/>
      <c r="W87" s="989"/>
      <c r="X87" s="989"/>
      <c r="Y87" s="989"/>
      <c r="Z87" s="989"/>
      <c r="AA87" s="989"/>
      <c r="AB87" s="989"/>
      <c r="AC87" s="989"/>
      <c r="AD87" s="989"/>
      <c r="AE87" s="989"/>
      <c r="AF87" s="989"/>
      <c r="AG87" s="989"/>
    </row>
    <row r="88" spans="1:33">
      <c r="A88" s="277"/>
      <c r="B88" s="140" t="s">
        <v>825</v>
      </c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279"/>
      <c r="N88" s="279"/>
      <c r="O88" s="279"/>
      <c r="P88" s="279"/>
      <c r="Q88" s="279"/>
      <c r="R88" s="279"/>
      <c r="S88" s="279"/>
      <c r="T88" s="279"/>
      <c r="U88" s="279"/>
      <c r="V88" s="279"/>
      <c r="W88" s="279"/>
      <c r="X88" s="279"/>
      <c r="Y88" s="279"/>
      <c r="Z88" s="279"/>
      <c r="AA88" s="279"/>
      <c r="AB88" s="279"/>
      <c r="AC88" s="279"/>
      <c r="AD88" s="279"/>
      <c r="AE88" s="279"/>
      <c r="AF88" s="279"/>
      <c r="AG88" s="279"/>
    </row>
    <row r="89" spans="1:33">
      <c r="A89" s="277"/>
      <c r="B89" s="140" t="s">
        <v>824</v>
      </c>
      <c r="C89" s="279"/>
      <c r="D89" s="279"/>
      <c r="E89" s="279"/>
      <c r="F89" s="279"/>
      <c r="G89" s="279"/>
      <c r="H89" s="279"/>
      <c r="I89" s="279"/>
      <c r="J89" s="279"/>
      <c r="K89" s="279"/>
      <c r="L89" s="279"/>
      <c r="M89" s="279"/>
      <c r="N89" s="279"/>
      <c r="O89" s="279"/>
      <c r="P89" s="279"/>
      <c r="Q89" s="279"/>
      <c r="R89" s="279"/>
      <c r="S89" s="279"/>
      <c r="T89" s="279"/>
      <c r="U89" s="279"/>
      <c r="V89" s="279"/>
      <c r="W89" s="279"/>
      <c r="X89" s="279"/>
      <c r="Y89" s="279"/>
      <c r="Z89" s="279"/>
      <c r="AA89" s="279"/>
      <c r="AB89" s="279"/>
      <c r="AC89" s="279"/>
      <c r="AD89" s="279"/>
      <c r="AE89" s="279"/>
      <c r="AF89" s="279"/>
      <c r="AG89" s="279"/>
    </row>
    <row r="90" spans="1:33">
      <c r="A90" s="277"/>
      <c r="B90" s="140" t="s">
        <v>823</v>
      </c>
      <c r="C90" s="279"/>
      <c r="D90" s="279"/>
      <c r="E90" s="279"/>
      <c r="F90" s="279"/>
      <c r="G90" s="279"/>
      <c r="H90" s="279"/>
      <c r="I90" s="279"/>
      <c r="J90" s="279"/>
      <c r="K90" s="279"/>
      <c r="L90" s="279"/>
      <c r="M90" s="279"/>
      <c r="N90" s="279"/>
      <c r="O90" s="279"/>
      <c r="P90" s="279"/>
      <c r="Q90" s="279"/>
      <c r="R90" s="279"/>
      <c r="S90" s="279"/>
      <c r="T90" s="279"/>
      <c r="U90" s="279"/>
      <c r="V90" s="279"/>
      <c r="W90" s="279"/>
      <c r="X90" s="279"/>
      <c r="Y90" s="279"/>
      <c r="Z90" s="279"/>
      <c r="AA90" s="279"/>
      <c r="AB90" s="279"/>
      <c r="AC90" s="279"/>
      <c r="AD90" s="279"/>
      <c r="AE90" s="279"/>
      <c r="AF90" s="279"/>
      <c r="AG90" s="279"/>
    </row>
    <row r="91" spans="1:33">
      <c r="A91" s="277"/>
      <c r="B91" s="140" t="s">
        <v>822</v>
      </c>
      <c r="C91" s="279"/>
      <c r="D91" s="279"/>
      <c r="E91" s="279"/>
      <c r="F91" s="279"/>
      <c r="G91" s="279"/>
      <c r="H91" s="279"/>
      <c r="I91" s="279"/>
      <c r="J91" s="279"/>
      <c r="K91" s="279"/>
      <c r="L91" s="279"/>
      <c r="M91" s="279"/>
      <c r="N91" s="279"/>
      <c r="O91" s="279"/>
      <c r="P91" s="279"/>
      <c r="Q91" s="279"/>
      <c r="R91" s="279"/>
      <c r="S91" s="279"/>
      <c r="T91" s="279"/>
      <c r="U91" s="279"/>
      <c r="V91" s="279"/>
      <c r="W91" s="279"/>
      <c r="X91" s="279"/>
      <c r="Y91" s="279"/>
      <c r="Z91" s="279"/>
      <c r="AA91" s="279"/>
      <c r="AB91" s="279"/>
      <c r="AC91" s="279"/>
      <c r="AD91" s="279"/>
      <c r="AE91" s="279"/>
      <c r="AF91" s="279"/>
      <c r="AG91" s="279"/>
    </row>
    <row r="92" spans="1:33">
      <c r="A92" s="277"/>
      <c r="B92" s="149" t="s">
        <v>821</v>
      </c>
      <c r="C92" s="279"/>
      <c r="D92" s="279"/>
      <c r="E92" s="279"/>
      <c r="F92" s="279"/>
      <c r="G92" s="279"/>
      <c r="H92" s="279"/>
      <c r="I92" s="279"/>
      <c r="J92" s="279"/>
      <c r="K92" s="279"/>
      <c r="L92" s="279"/>
      <c r="M92" s="279"/>
      <c r="N92" s="279"/>
      <c r="O92" s="279"/>
      <c r="P92" s="279"/>
      <c r="Q92" s="279"/>
      <c r="R92" s="279"/>
      <c r="S92" s="279"/>
      <c r="T92" s="279"/>
      <c r="U92" s="279"/>
      <c r="V92" s="279"/>
      <c r="W92" s="279"/>
      <c r="X92" s="279"/>
      <c r="Y92" s="279"/>
      <c r="Z92" s="279"/>
      <c r="AA92" s="279"/>
      <c r="AB92" s="279"/>
      <c r="AC92" s="279"/>
      <c r="AD92" s="279"/>
      <c r="AE92" s="279"/>
      <c r="AF92" s="279"/>
      <c r="AG92" s="279"/>
    </row>
    <row r="93" spans="1:33" s="85" customFormat="1">
      <c r="A93" s="276"/>
      <c r="B93" s="282" t="s">
        <v>820</v>
      </c>
      <c r="C93" s="281">
        <f>SUM(C89:C91)+C92</f>
        <v>0</v>
      </c>
      <c r="D93" s="281">
        <f>SUM(D89:D91)+D92</f>
        <v>0</v>
      </c>
      <c r="E93" s="281">
        <f>SUM(E89:E91)+E92</f>
        <v>0</v>
      </c>
      <c r="F93" s="281">
        <f>SUM(F89:F91)+F92</f>
        <v>0</v>
      </c>
      <c r="G93" s="281">
        <f>SUM(G89:G91)+G92</f>
        <v>0</v>
      </c>
      <c r="H93" s="281"/>
      <c r="I93" s="281"/>
      <c r="J93" s="281"/>
      <c r="K93" s="281"/>
      <c r="L93" s="281">
        <f t="shared" ref="L93:R93" si="65">SUM(L89:L91)+L92</f>
        <v>0</v>
      </c>
      <c r="M93" s="281">
        <f t="shared" si="65"/>
        <v>0</v>
      </c>
      <c r="N93" s="281">
        <f t="shared" si="65"/>
        <v>0</v>
      </c>
      <c r="O93" s="281">
        <f t="shared" si="65"/>
        <v>0</v>
      </c>
      <c r="P93" s="281">
        <f t="shared" si="65"/>
        <v>0</v>
      </c>
      <c r="Q93" s="281">
        <f t="shared" si="65"/>
        <v>0</v>
      </c>
      <c r="R93" s="281">
        <f t="shared" si="65"/>
        <v>0</v>
      </c>
      <c r="S93" s="281">
        <f t="shared" ref="S93:AB93" si="66">SUM(S89:S91)+S92</f>
        <v>0</v>
      </c>
      <c r="T93" s="281">
        <f t="shared" si="66"/>
        <v>0</v>
      </c>
      <c r="U93" s="281">
        <f t="shared" si="66"/>
        <v>0</v>
      </c>
      <c r="V93" s="281">
        <f t="shared" si="66"/>
        <v>0</v>
      </c>
      <c r="W93" s="281">
        <f t="shared" si="66"/>
        <v>0</v>
      </c>
      <c r="X93" s="281">
        <f t="shared" si="66"/>
        <v>0</v>
      </c>
      <c r="Y93" s="281">
        <f t="shared" si="66"/>
        <v>0</v>
      </c>
      <c r="Z93" s="281">
        <f t="shared" si="66"/>
        <v>0</v>
      </c>
      <c r="AA93" s="281">
        <f t="shared" si="66"/>
        <v>0</v>
      </c>
      <c r="AB93" s="281">
        <f t="shared" si="66"/>
        <v>0</v>
      </c>
      <c r="AC93" s="281">
        <f>SUM(AC89:AC91)+AC92</f>
        <v>0</v>
      </c>
      <c r="AD93" s="281">
        <f>SUM(AD89:AD91)+AD92</f>
        <v>0</v>
      </c>
      <c r="AE93" s="281">
        <f>SUM(AE89:AE91)+AE92</f>
        <v>0</v>
      </c>
      <c r="AF93" s="281">
        <f t="shared" ref="AF93:AG93" si="67">SUM(AF89:AF91)+AF92</f>
        <v>0</v>
      </c>
      <c r="AG93" s="281">
        <f t="shared" si="67"/>
        <v>0</v>
      </c>
    </row>
    <row r="94" spans="1:33">
      <c r="A94" s="277"/>
      <c r="C94" s="279"/>
      <c r="D94" s="279"/>
      <c r="E94" s="279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  <c r="Z94" s="279"/>
      <c r="AA94" s="279"/>
      <c r="AB94" s="279"/>
      <c r="AC94" s="279"/>
      <c r="AD94" s="279"/>
      <c r="AE94" s="279"/>
      <c r="AF94" s="279"/>
      <c r="AG94" s="279"/>
    </row>
    <row r="95" spans="1:33">
      <c r="A95" s="277"/>
    </row>
    <row r="96" spans="1:33" s="286" customFormat="1" ht="15">
      <c r="A96" s="986"/>
      <c r="B96" s="986" t="s">
        <v>179</v>
      </c>
      <c r="C96" s="987">
        <f>C4</f>
        <v>2017</v>
      </c>
      <c r="D96" s="987">
        <f>D4</f>
        <v>2018</v>
      </c>
      <c r="E96" s="987">
        <f>E4</f>
        <v>2019</v>
      </c>
      <c r="F96" s="987">
        <f>F4</f>
        <v>2020</v>
      </c>
      <c r="G96" s="987">
        <f>G4</f>
        <v>2021</v>
      </c>
      <c r="H96" s="987">
        <v>2022</v>
      </c>
      <c r="I96" s="987">
        <v>2023</v>
      </c>
      <c r="J96" s="987">
        <v>2023</v>
      </c>
      <c r="K96" s="810"/>
      <c r="L96" s="987" t="str">
        <f t="shared" ref="L96:R96" si="68">L4</f>
        <v>1Q20</v>
      </c>
      <c r="M96" s="987" t="str">
        <f t="shared" si="68"/>
        <v>1H20</v>
      </c>
      <c r="N96" s="987" t="str">
        <f t="shared" si="68"/>
        <v>9M20</v>
      </c>
      <c r="O96" s="987">
        <f t="shared" si="68"/>
        <v>2020</v>
      </c>
      <c r="P96" s="987" t="str">
        <f t="shared" si="68"/>
        <v>1Q21</v>
      </c>
      <c r="Q96" s="987" t="str">
        <f t="shared" si="68"/>
        <v>1H21</v>
      </c>
      <c r="R96" s="987" t="str">
        <f t="shared" si="68"/>
        <v>9M21</v>
      </c>
      <c r="S96" s="987">
        <f t="shared" ref="S96:AB96" si="69">S4</f>
        <v>2021</v>
      </c>
      <c r="T96" s="987" t="str">
        <f t="shared" si="69"/>
        <v>1Q22</v>
      </c>
      <c r="U96" s="987" t="str">
        <f t="shared" si="69"/>
        <v>1H22</v>
      </c>
      <c r="V96" s="987" t="str">
        <f t="shared" si="69"/>
        <v>9M22</v>
      </c>
      <c r="W96" s="987">
        <f t="shared" si="69"/>
        <v>2022</v>
      </c>
      <c r="X96" s="987" t="str">
        <f t="shared" si="69"/>
        <v>1Q23</v>
      </c>
      <c r="Y96" s="987" t="str">
        <f t="shared" si="69"/>
        <v>1H23</v>
      </c>
      <c r="Z96" s="987" t="str">
        <f t="shared" si="69"/>
        <v>9M23</v>
      </c>
      <c r="AA96" s="987">
        <f t="shared" si="69"/>
        <v>2023</v>
      </c>
      <c r="AB96" s="987" t="str">
        <f t="shared" si="69"/>
        <v>1Q24</v>
      </c>
      <c r="AC96" s="987" t="str">
        <f>AC4</f>
        <v>1H24</v>
      </c>
      <c r="AD96" s="987" t="str">
        <f>AD4</f>
        <v>9M24</v>
      </c>
      <c r="AE96" s="987">
        <f>AE4</f>
        <v>2024</v>
      </c>
      <c r="AF96" s="987" t="str">
        <f t="shared" ref="AF96" si="70">AF4</f>
        <v>1Q25</v>
      </c>
      <c r="AG96" s="987" t="str">
        <f t="shared" ref="AG96" si="71">AG4</f>
        <v>1H25</v>
      </c>
    </row>
    <row r="97" spans="1:33">
      <c r="A97" s="277"/>
    </row>
    <row r="98" spans="1:33">
      <c r="A98" s="277"/>
      <c r="B98" s="988" t="s">
        <v>819</v>
      </c>
      <c r="C98" s="989"/>
      <c r="D98" s="989"/>
      <c r="E98" s="989"/>
      <c r="F98" s="989"/>
      <c r="G98" s="989"/>
      <c r="H98" s="989"/>
      <c r="I98" s="989"/>
      <c r="J98" s="989"/>
      <c r="K98" s="279"/>
      <c r="L98" s="989"/>
      <c r="M98" s="989"/>
      <c r="N98" s="989"/>
      <c r="O98" s="989"/>
      <c r="P98" s="989"/>
      <c r="Q98" s="989"/>
      <c r="R98" s="989"/>
      <c r="S98" s="989"/>
      <c r="T98" s="989"/>
      <c r="U98" s="989"/>
      <c r="V98" s="989"/>
      <c r="W98" s="989"/>
      <c r="X98" s="989"/>
      <c r="Y98" s="989"/>
      <c r="Z98" s="989"/>
      <c r="AA98" s="989"/>
      <c r="AB98" s="989"/>
      <c r="AC98" s="989"/>
      <c r="AD98" s="989"/>
      <c r="AE98" s="989"/>
      <c r="AF98" s="989"/>
      <c r="AG98" s="989"/>
    </row>
    <row r="99" spans="1:33" s="85" customFormat="1">
      <c r="A99" s="276"/>
      <c r="B99" s="149" t="s">
        <v>818</v>
      </c>
      <c r="C99" s="278">
        <f>Wind!U278+Wind!U91+Wind!U92</f>
        <v>189.07040000000001</v>
      </c>
      <c r="D99" s="278">
        <f>Wind!V278+Wind!V91+Wind!V92</f>
        <v>1388.68094763</v>
      </c>
      <c r="E99" s="278">
        <f>Wind!W278+Wind!W91+Wind!W92</f>
        <v>1771.8870247699999</v>
      </c>
      <c r="F99" s="278">
        <f>Wind!X278+Wind!X91+Wind!X92</f>
        <v>2358.3655599600002</v>
      </c>
      <c r="G99" s="278">
        <f>Wind!Y278+Wind!Y91+Wind!Y92</f>
        <v>2751.3717454600001</v>
      </c>
      <c r="H99" s="278">
        <f>Wind!Z278+Wind!Z91+Wind!Z92</f>
        <v>3611.6571226800002</v>
      </c>
      <c r="I99" s="278">
        <f>Wind!AA278+Wind!AA91+Wind!AA92</f>
        <v>4386.0620579699998</v>
      </c>
      <c r="J99" s="278">
        <f>Wind!AB278+Wind!AB91+Wind!AB92</f>
        <v>5624.20797631</v>
      </c>
      <c r="K99" s="278"/>
      <c r="L99" s="278">
        <f>Wind!CB278+Wind!CB91+Wind!CB92</f>
        <v>0</v>
      </c>
      <c r="M99" s="278">
        <f>Wind!CC278+Wind!CC91+Wind!CC92</f>
        <v>642.23429999999996</v>
      </c>
      <c r="N99" s="278">
        <f>Wind!CD278+Wind!CD91+Wind!CD92</f>
        <v>0</v>
      </c>
      <c r="O99" s="278">
        <f>Wind!CE278+Wind!CE91+Wind!CE92</f>
        <v>2358.3655599600002</v>
      </c>
      <c r="P99" s="278">
        <f>Wind!CF278+Wind!CF91+Wind!CF92</f>
        <v>412.76959914999998</v>
      </c>
      <c r="Q99" s="278">
        <f>Wind!CG278+Wind!CG91+Wind!CG92</f>
        <v>2517.9595591000002</v>
      </c>
      <c r="R99" s="278">
        <f>Wind!CH278+Wind!CH91+Wind!CH92</f>
        <v>81.539928540000005</v>
      </c>
      <c r="S99" s="278">
        <f>Wind!CI278+Wind!CI91+Wind!CI92</f>
        <v>2751.3717454600001</v>
      </c>
      <c r="T99" s="278">
        <f>Wind!CJ278+Wind!CJ91+Wind!CJ92</f>
        <v>242.22891468</v>
      </c>
      <c r="U99" s="278">
        <f>Wind!CK278+Wind!CK91+Wind!CK92</f>
        <v>3063.04842435</v>
      </c>
      <c r="V99" s="278">
        <f>Wind!CL278+Wind!CL91+Wind!CL92</f>
        <v>347.53659926</v>
      </c>
      <c r="W99" s="278">
        <f>Wind!CM278+Wind!CM91+Wind!CM92</f>
        <v>3611.6571226800002</v>
      </c>
      <c r="X99" s="278">
        <f>Wind!CN278+Wind!CN91+Wind!CN92</f>
        <v>646.83195626999998</v>
      </c>
      <c r="Y99" s="278">
        <f>Wind!CO278+Wind!CO91+Wind!CO92</f>
        <v>4005.4758447300001</v>
      </c>
      <c r="Z99" s="278">
        <f>Wind!CP278+Wind!CP91+Wind!CP92</f>
        <v>850.38293664999992</v>
      </c>
      <c r="AA99" s="278">
        <f>Wind!CQ278+Wind!CQ91+Wind!CQ92</f>
        <v>4386.0620579699998</v>
      </c>
      <c r="AB99" s="278">
        <f>Wind!CR278+Wind!CR91+Wind!CR92</f>
        <v>194.27628133000002</v>
      </c>
      <c r="AC99" s="278">
        <f>Wind!CS278+Wind!CS91+Wind!CS92</f>
        <v>4916.8343032700004</v>
      </c>
      <c r="AD99" s="278">
        <f>Wind!CT278+Wind!CT91+Wind!CT92</f>
        <v>432.68565383999999</v>
      </c>
      <c r="AE99" s="278">
        <f>Wind!CU278+Wind!CU91+Wind!CU92</f>
        <v>5624.20797631</v>
      </c>
      <c r="AF99" s="278">
        <f>Wind!CV278+Wind!CV91+Wind!CV92</f>
        <v>654.97562836999998</v>
      </c>
      <c r="AG99" s="278">
        <f>Wind!CW278+Wind!CW91+Wind!CW92</f>
        <v>6841.7084954599995</v>
      </c>
    </row>
    <row r="100" spans="1:33">
      <c r="A100" s="277"/>
      <c r="B100" s="140" t="s">
        <v>817</v>
      </c>
      <c r="C100" s="279">
        <f>Wind!U278</f>
        <v>0</v>
      </c>
      <c r="D100" s="279">
        <f>Wind!V278</f>
        <v>1211.6521</v>
      </c>
      <c r="E100" s="279">
        <f>Wind!W278</f>
        <v>1431.3064999999999</v>
      </c>
      <c r="F100" s="279">
        <f>Wind!X278</f>
        <v>1902.09434994</v>
      </c>
      <c r="G100" s="279">
        <f>Wind!Y278</f>
        <v>2564.2425718200002</v>
      </c>
      <c r="H100" s="279">
        <f>Wind!Z278</f>
        <v>3082.2437319000001</v>
      </c>
      <c r="I100" s="279">
        <f>Wind!AA278</f>
        <v>4001.0159505400002</v>
      </c>
      <c r="J100" s="279">
        <f>Wind!AB278</f>
        <v>5070.141858</v>
      </c>
      <c r="K100" s="279"/>
      <c r="L100" s="279">
        <f>Wind!CB278</f>
        <v>0</v>
      </c>
      <c r="M100" s="279">
        <f>Wind!CC278</f>
        <v>0</v>
      </c>
      <c r="N100" s="279">
        <f>Wind!CD278</f>
        <v>0</v>
      </c>
      <c r="O100" s="279">
        <f>Wind!CE278</f>
        <v>1902.09434994</v>
      </c>
      <c r="P100" s="279">
        <f>Wind!CF278</f>
        <v>0</v>
      </c>
      <c r="Q100" s="279">
        <f>Wind!CG278</f>
        <v>2459.3880335100002</v>
      </c>
      <c r="R100" s="279">
        <f>Wind!CH278</f>
        <v>0</v>
      </c>
      <c r="S100" s="279">
        <f>Wind!CI278</f>
        <v>2564.2425718200002</v>
      </c>
      <c r="T100" s="279">
        <f>Wind!CJ278</f>
        <v>0</v>
      </c>
      <c r="U100" s="279">
        <f>Wind!CK278</f>
        <v>2844.6673158799999</v>
      </c>
      <c r="V100" s="279">
        <f>Wind!CL278</f>
        <v>0</v>
      </c>
      <c r="W100" s="279">
        <f>Wind!CM278</f>
        <v>3082.2437319000001</v>
      </c>
      <c r="X100" s="279">
        <f>Wind!CN278</f>
        <v>0</v>
      </c>
      <c r="Y100" s="279">
        <f>Wind!CO278</f>
        <v>3179.3274247499999</v>
      </c>
      <c r="Z100" s="279">
        <f>Wind!CP278</f>
        <v>0</v>
      </c>
      <c r="AA100" s="279">
        <f>Wind!CQ278</f>
        <v>4001.0159505400002</v>
      </c>
      <c r="AB100" s="279">
        <f>Wind!CR278</f>
        <v>0</v>
      </c>
      <c r="AC100" s="279">
        <f>Wind!CS278</f>
        <v>4726.7767294200003</v>
      </c>
      <c r="AD100" s="279">
        <f>Wind!CT278</f>
        <v>0</v>
      </c>
      <c r="AE100" s="279">
        <f>Wind!CU278</f>
        <v>5070.141858</v>
      </c>
      <c r="AF100" s="279">
        <f>Wind!CV278</f>
        <v>0</v>
      </c>
      <c r="AG100" s="279">
        <f>Wind!CW278</f>
        <v>5896.7428771599998</v>
      </c>
    </row>
    <row r="101" spans="1:33">
      <c r="A101" s="277"/>
      <c r="B101" s="140" t="s">
        <v>752</v>
      </c>
      <c r="C101" s="66">
        <f>Wind!U91+Wind!U92</f>
        <v>189.07040000000001</v>
      </c>
      <c r="D101" s="66">
        <f>Wind!V91+Wind!V92</f>
        <v>177.02884763</v>
      </c>
      <c r="E101" s="66">
        <f>Wind!W91+Wind!W92</f>
        <v>340.58052476999995</v>
      </c>
      <c r="F101" s="66">
        <f>Wind!X91+Wind!X92</f>
        <v>456.27121001999996</v>
      </c>
      <c r="G101" s="66">
        <f>Wind!Y91+Wind!Y92</f>
        <v>187.12917363999998</v>
      </c>
      <c r="H101" s="66">
        <f>Wind!Z91+Wind!Z92</f>
        <v>529.41339077999999</v>
      </c>
      <c r="I101" s="66">
        <f>Wind!AA91+Wind!AA92</f>
        <v>385.04610743000001</v>
      </c>
      <c r="J101" s="66">
        <f>Wind!AB91+Wind!AB92</f>
        <v>554.06611830999998</v>
      </c>
      <c r="L101" s="66">
        <f>Wind!CB91+Wind!CB92</f>
        <v>0</v>
      </c>
      <c r="M101" s="66">
        <f>Wind!CC91+Wind!CC92</f>
        <v>642.23429999999996</v>
      </c>
      <c r="N101" s="66">
        <f>Wind!CD91+Wind!CD92</f>
        <v>0</v>
      </c>
      <c r="O101" s="66">
        <f>Wind!CE91+Wind!CE92</f>
        <v>456.27121001999996</v>
      </c>
      <c r="P101" s="66">
        <f>Wind!CF91+Wind!CF92</f>
        <v>412.76959914999998</v>
      </c>
      <c r="Q101" s="66">
        <f>Wind!CG91+Wind!CG92</f>
        <v>58.57152559</v>
      </c>
      <c r="R101" s="66">
        <f>Wind!CH91+Wind!CH92</f>
        <v>81.539928540000005</v>
      </c>
      <c r="S101" s="66">
        <f>Wind!CI91+Wind!CI92</f>
        <v>187.12917363999998</v>
      </c>
      <c r="T101" s="66">
        <f>Wind!CJ91+Wind!CJ92</f>
        <v>242.22891468</v>
      </c>
      <c r="U101" s="66">
        <f>Wind!CK91+Wind!CK92</f>
        <v>218.38110846999999</v>
      </c>
      <c r="V101" s="66">
        <f>Wind!CL91+Wind!CL92</f>
        <v>347.53659926</v>
      </c>
      <c r="W101" s="66">
        <f>Wind!CM91+Wind!CM92</f>
        <v>529.41339077999999</v>
      </c>
      <c r="X101" s="66">
        <f>Wind!CN91+Wind!CN92</f>
        <v>646.83195626999998</v>
      </c>
      <c r="Y101" s="66">
        <f>Wind!CO91+Wind!CO92</f>
        <v>826.14841997999997</v>
      </c>
      <c r="Z101" s="66">
        <f>Wind!CP91+Wind!CP92</f>
        <v>850.38293664999992</v>
      </c>
      <c r="AA101" s="66">
        <f>Wind!CQ91+Wind!CQ92</f>
        <v>385.04610743000001</v>
      </c>
      <c r="AB101" s="66">
        <f>Wind!CR91+Wind!CR92</f>
        <v>194.27628133000002</v>
      </c>
      <c r="AC101" s="66">
        <f>Wind!CS91+Wind!CS92</f>
        <v>190.05757384999998</v>
      </c>
      <c r="AD101" s="66">
        <f>Wind!CT91+Wind!CT92</f>
        <v>432.68565383999999</v>
      </c>
      <c r="AE101" s="66">
        <f>Wind!CU91+Wind!CU92</f>
        <v>554.06611830999998</v>
      </c>
      <c r="AF101" s="66">
        <f>Wind!CV91+Wind!CV92</f>
        <v>654.97562836999998</v>
      </c>
      <c r="AG101" s="66">
        <f>Wind!CW91+Wind!CW92</f>
        <v>944.96561829999996</v>
      </c>
    </row>
    <row r="102" spans="1:33" s="85" customFormat="1">
      <c r="A102" s="276"/>
      <c r="B102" s="149" t="s">
        <v>816</v>
      </c>
      <c r="C102" s="296">
        <f>Wind!U279</f>
        <v>0</v>
      </c>
      <c r="D102" s="296">
        <f>Wind!V279</f>
        <v>280.79919999999998</v>
      </c>
      <c r="E102" s="296">
        <f>Wind!W279</f>
        <v>375.755</v>
      </c>
      <c r="F102" s="296">
        <f>Wind!X279</f>
        <v>491.14052253</v>
      </c>
      <c r="G102" s="296">
        <f>Wind!Y279</f>
        <v>648.57671020000009</v>
      </c>
      <c r="H102" s="296">
        <f>Wind!Z279</f>
        <v>843.54578074999995</v>
      </c>
      <c r="I102" s="296">
        <f>Wind!AA279</f>
        <v>1078.26040612</v>
      </c>
      <c r="J102" s="296">
        <f>Wind!AB279</f>
        <v>1394.09260505</v>
      </c>
      <c r="K102" s="295"/>
      <c r="L102" s="296">
        <f>Wind!CB279</f>
        <v>0</v>
      </c>
      <c r="M102" s="296">
        <f>Wind!CC279</f>
        <v>0</v>
      </c>
      <c r="N102" s="296">
        <f>Wind!CD279</f>
        <v>0</v>
      </c>
      <c r="O102" s="296">
        <f>Wind!CE279</f>
        <v>491.14052253</v>
      </c>
      <c r="P102" s="296">
        <f>Wind!CF279</f>
        <v>0</v>
      </c>
      <c r="Q102" s="296">
        <f>Wind!CG279</f>
        <v>566.40189134000002</v>
      </c>
      <c r="R102" s="296">
        <f>Wind!CH279</f>
        <v>0</v>
      </c>
      <c r="S102" s="296">
        <f>Wind!CI279</f>
        <v>648.57671020000009</v>
      </c>
      <c r="T102" s="296">
        <f>Wind!CJ279</f>
        <v>0</v>
      </c>
      <c r="U102" s="296">
        <f>Wind!CK279</f>
        <v>747.09341057000006</v>
      </c>
      <c r="V102" s="296">
        <f>Wind!CL279</f>
        <v>0</v>
      </c>
      <c r="W102" s="296">
        <f>Wind!CM279</f>
        <v>843.54578074999995</v>
      </c>
      <c r="X102" s="296">
        <f>Wind!CN279</f>
        <v>0</v>
      </c>
      <c r="Y102" s="296">
        <f>Wind!CO279</f>
        <v>953.29686264999998</v>
      </c>
      <c r="Z102" s="296">
        <f>Wind!CP279</f>
        <v>0</v>
      </c>
      <c r="AA102" s="296">
        <f>Wind!CQ279</f>
        <v>1078.26040612</v>
      </c>
      <c r="AB102" s="296">
        <f>Wind!CR279</f>
        <v>0</v>
      </c>
      <c r="AC102" s="296">
        <f>Wind!CS279</f>
        <v>1224.5641901500001</v>
      </c>
      <c r="AD102" s="296">
        <f>Wind!CT279</f>
        <v>0</v>
      </c>
      <c r="AE102" s="296">
        <f>Wind!CU279</f>
        <v>1394.09260505</v>
      </c>
      <c r="AF102" s="296">
        <f>Wind!CV279</f>
        <v>0</v>
      </c>
      <c r="AG102" s="296">
        <f>Wind!CW279</f>
        <v>1586.5111051600002</v>
      </c>
    </row>
    <row r="103" spans="1:33" s="85" customFormat="1">
      <c r="A103" s="276"/>
      <c r="B103" s="149" t="s">
        <v>815</v>
      </c>
      <c r="C103" s="296">
        <f>Wind!U280</f>
        <v>0</v>
      </c>
      <c r="D103" s="296">
        <f>Wind!V280</f>
        <v>0</v>
      </c>
      <c r="E103" s="296">
        <f>Wind!W280</f>
        <v>0</v>
      </c>
      <c r="F103" s="296">
        <f>Wind!X280</f>
        <v>6.5768162500000003</v>
      </c>
      <c r="G103" s="296">
        <f>Wind!Y280</f>
        <v>6.53578847</v>
      </c>
      <c r="H103" s="296">
        <f>Wind!Z280</f>
        <v>6.5354124000000002</v>
      </c>
      <c r="I103" s="296">
        <f>Wind!AA280</f>
        <v>6.5354124000000002</v>
      </c>
      <c r="J103" s="296">
        <f>Wind!AB280</f>
        <v>6.3862491200000004</v>
      </c>
      <c r="K103" s="295"/>
      <c r="L103" s="296">
        <f>Wind!CB280</f>
        <v>0</v>
      </c>
      <c r="M103" s="296">
        <f>Wind!CC280</f>
        <v>0</v>
      </c>
      <c r="N103" s="296">
        <f>Wind!CD280</f>
        <v>0</v>
      </c>
      <c r="O103" s="296">
        <f>Wind!CE280</f>
        <v>6.5768162500000003</v>
      </c>
      <c r="P103" s="296">
        <f>Wind!CF280</f>
        <v>0</v>
      </c>
      <c r="Q103" s="296">
        <f>Wind!CG280</f>
        <v>6.53578847</v>
      </c>
      <c r="R103" s="296">
        <f>Wind!CH280</f>
        <v>0</v>
      </c>
      <c r="S103" s="296">
        <f>Wind!CI280</f>
        <v>6.53578847</v>
      </c>
      <c r="T103" s="296">
        <f>Wind!CJ280</f>
        <v>0</v>
      </c>
      <c r="U103" s="296">
        <f>Wind!CK280</f>
        <v>6.53578847</v>
      </c>
      <c r="V103" s="296">
        <f>Wind!CL280</f>
        <v>0</v>
      </c>
      <c r="W103" s="296">
        <f>Wind!CM280</f>
        <v>6.5354124000000002</v>
      </c>
      <c r="X103" s="296">
        <f>Wind!CN280</f>
        <v>0</v>
      </c>
      <c r="Y103" s="296">
        <f>Wind!CO280</f>
        <v>6.5354124000000002</v>
      </c>
      <c r="Z103" s="296">
        <f>Wind!CP280</f>
        <v>0</v>
      </c>
      <c r="AA103" s="296">
        <f>Wind!CQ280</f>
        <v>6.5354124000000002</v>
      </c>
      <c r="AB103" s="296">
        <f>Wind!CR280</f>
        <v>0</v>
      </c>
      <c r="AC103" s="296">
        <f>Wind!CS280</f>
        <v>6.3862491200000004</v>
      </c>
      <c r="AD103" s="296">
        <f>Wind!CT280</f>
        <v>0</v>
      </c>
      <c r="AE103" s="296">
        <f>Wind!CU280</f>
        <v>6.3862491200000004</v>
      </c>
      <c r="AF103" s="296">
        <f>Wind!CV280</f>
        <v>0</v>
      </c>
      <c r="AG103" s="296">
        <f>Wind!CW280</f>
        <v>6.3785653600000005</v>
      </c>
    </row>
    <row r="104" spans="1:33" s="85" customFormat="1">
      <c r="A104" s="276"/>
      <c r="B104" s="282" t="s">
        <v>814</v>
      </c>
      <c r="C104" s="284">
        <f>Wind!U90+Wind!U91+Wind!U92</f>
        <v>773.91329999999994</v>
      </c>
      <c r="D104" s="284">
        <f>Wind!V90+Wind!V91+Wind!V92</f>
        <v>1107.88169389</v>
      </c>
      <c r="E104" s="284">
        <f>Wind!W90+Wind!W91+Wind!W92</f>
        <v>1389.5552631099999</v>
      </c>
      <c r="F104" s="284">
        <f>Wind!X90+Wind!X91+Wind!X92</f>
        <v>1860.6482211800001</v>
      </c>
      <c r="G104" s="284">
        <f>Wind!Y90+Wind!Y91+Wind!Y92</f>
        <v>2096.2592467899999</v>
      </c>
      <c r="H104" s="284">
        <f>Wind!Z90+Wind!Z91+Wind!Z92</f>
        <v>2761.5759295299999</v>
      </c>
      <c r="I104" s="284">
        <f>Wind!AA90+Wind!AA91+Wind!AA92</f>
        <v>3301.2662394500003</v>
      </c>
      <c r="J104" s="284">
        <f>Wind!AB90+Wind!AB91+Wind!AB92</f>
        <v>4223.7291221400001</v>
      </c>
      <c r="K104" s="284"/>
      <c r="L104" s="284">
        <f>Wind!CB90+Wind!CB91+Wind!CB92</f>
        <v>0</v>
      </c>
      <c r="M104" s="284">
        <f>Wind!CC90+Wind!CC91+Wind!CC92</f>
        <v>1678.913</v>
      </c>
      <c r="N104" s="284">
        <f>Wind!CD90+Wind!CD91+Wind!CD92</f>
        <v>0</v>
      </c>
      <c r="O104" s="284">
        <f>Wind!CE90+Wind!CE91+Wind!CE92</f>
        <v>1860.6482211800001</v>
      </c>
      <c r="P104" s="284">
        <f>Wind!CF90+Wind!CF91+Wind!CF92</f>
        <v>1921.14036493</v>
      </c>
      <c r="Q104" s="284">
        <f>Wind!CG90+Wind!CG91+Wind!CG92</f>
        <v>1945.02187929</v>
      </c>
      <c r="R104" s="284">
        <f>Wind!CH90+Wind!CH91+Wind!CH92</f>
        <v>1951.6368796399997</v>
      </c>
      <c r="S104" s="284">
        <f>Wind!CI90+Wind!CI91+Wind!CI92</f>
        <v>2096.2592467899999</v>
      </c>
      <c r="T104" s="284">
        <f>Wind!CJ90+Wind!CJ91+Wind!CJ92</f>
        <v>2163.1872752099998</v>
      </c>
      <c r="U104" s="284">
        <f>Wind!CK90+Wind!CK91+Wind!CK92</f>
        <v>2309.41922531</v>
      </c>
      <c r="V104" s="284">
        <f>Wind!CL90+Wind!CL91+Wind!CL92</f>
        <v>2482.8821483000002</v>
      </c>
      <c r="W104" s="284">
        <f>Wind!CM90+Wind!CM91+Wind!CM92</f>
        <v>2761.5759295299999</v>
      </c>
      <c r="X104" s="284">
        <f>Wind!CN90+Wind!CN91+Wind!CN92</f>
        <v>2846.3699384399997</v>
      </c>
      <c r="Y104" s="284">
        <f>Wind!CO90+Wind!CO91+Wind!CO92</f>
        <v>3045.6435696799999</v>
      </c>
      <c r="Z104" s="284">
        <f>Wind!CP90+Wind!CP91+Wind!CP92</f>
        <v>3171.7767718599998</v>
      </c>
      <c r="AA104" s="284">
        <f>Wind!CQ90+Wind!CQ91+Wind!CQ92</f>
        <v>3301.2662394500003</v>
      </c>
      <c r="AB104" s="284">
        <f>Wind!CR90+Wind!CR91+Wind!CR92</f>
        <v>3448.2222285600001</v>
      </c>
      <c r="AC104" s="284">
        <f>Wind!CS90+Wind!CS91+Wind!CS92</f>
        <v>3685.8838640000004</v>
      </c>
      <c r="AD104" s="284">
        <f>Wind!CT90+Wind!CT91+Wind!CT92</f>
        <v>3873.3118890599999</v>
      </c>
      <c r="AE104" s="284">
        <f>Wind!CU90+Wind!CU91+Wind!CU92</f>
        <v>4223.7291221400001</v>
      </c>
      <c r="AF104" s="284">
        <f>Wind!CV90+Wind!CV91+Wind!CV92</f>
        <v>4963.4629440400004</v>
      </c>
      <c r="AG104" s="284">
        <f>Wind!CW90+Wind!CW91+Wind!CW92</f>
        <v>5248.81882494</v>
      </c>
    </row>
    <row r="105" spans="1:33">
      <c r="A105" s="277"/>
      <c r="B105" s="275" t="s">
        <v>657</v>
      </c>
      <c r="C105" s="735">
        <f t="shared" ref="C105:I105" si="72">+C99-C102-C104</f>
        <v>-584.84289999999987</v>
      </c>
      <c r="D105" s="735">
        <f t="shared" si="72"/>
        <v>5.3740000112156849E-5</v>
      </c>
      <c r="E105" s="735">
        <f t="shared" si="72"/>
        <v>6.576761660000102</v>
      </c>
      <c r="F105" s="735">
        <f t="shared" si="72"/>
        <v>6.5768162500000926</v>
      </c>
      <c r="G105" s="735">
        <f t="shared" si="72"/>
        <v>6.5357884700001705</v>
      </c>
      <c r="H105" s="735">
        <f t="shared" si="72"/>
        <v>6.5354124000000411</v>
      </c>
      <c r="I105" s="735">
        <f t="shared" si="72"/>
        <v>6.5354123999995863</v>
      </c>
      <c r="J105" s="735">
        <f>+J99-J102-J104</f>
        <v>6.3862491199997748</v>
      </c>
      <c r="K105" s="280"/>
      <c r="L105" s="280"/>
      <c r="M105" s="280"/>
      <c r="N105" s="280"/>
      <c r="O105" s="280"/>
      <c r="P105" s="280"/>
      <c r="Q105" s="280"/>
      <c r="R105" s="280"/>
      <c r="S105" s="280"/>
      <c r="T105" s="280"/>
      <c r="U105" s="280"/>
      <c r="V105" s="280"/>
      <c r="W105" s="280"/>
      <c r="X105" s="280"/>
      <c r="Y105" s="280"/>
      <c r="Z105" s="280"/>
      <c r="AA105" s="280"/>
      <c r="AB105" s="280"/>
      <c r="AC105" s="280"/>
      <c r="AD105" s="280"/>
      <c r="AE105" s="280"/>
      <c r="AF105" s="280"/>
      <c r="AG105" s="280"/>
    </row>
    <row r="106" spans="1:33" s="85" customFormat="1">
      <c r="A106" s="276"/>
      <c r="B106" s="149" t="s">
        <v>169</v>
      </c>
      <c r="C106" s="278">
        <f t="shared" ref="C106:I106" si="73">C111+C110</f>
        <v>158.21</v>
      </c>
      <c r="D106" s="278">
        <f t="shared" si="73"/>
        <v>154.96627644</v>
      </c>
      <c r="E106" s="278">
        <f t="shared" si="73"/>
        <v>163.55302633000002</v>
      </c>
      <c r="F106" s="278">
        <f t="shared" si="73"/>
        <v>265.46069978999998</v>
      </c>
      <c r="G106" s="278">
        <f t="shared" si="73"/>
        <v>360.35716041000001</v>
      </c>
      <c r="H106" s="278">
        <f t="shared" si="73"/>
        <v>406.38188984000004</v>
      </c>
      <c r="I106" s="278">
        <f t="shared" si="73"/>
        <v>543.90918796000005</v>
      </c>
      <c r="J106" s="278">
        <f>J111+J110</f>
        <v>819.81633613999998</v>
      </c>
      <c r="K106" s="278"/>
      <c r="L106" s="278">
        <f t="shared" ref="L106:R106" si="74">L111+L110</f>
        <v>0</v>
      </c>
      <c r="M106" s="278">
        <f t="shared" si="74"/>
        <v>238.14429999999999</v>
      </c>
      <c r="N106" s="278">
        <f t="shared" si="74"/>
        <v>0</v>
      </c>
      <c r="O106" s="278">
        <f t="shared" si="74"/>
        <v>265.46069978999998</v>
      </c>
      <c r="P106" s="278">
        <f t="shared" si="74"/>
        <v>234.52157027000001</v>
      </c>
      <c r="Q106" s="278">
        <f t="shared" si="74"/>
        <v>265.59578619000001</v>
      </c>
      <c r="R106" s="278">
        <f t="shared" si="74"/>
        <v>230.31794413</v>
      </c>
      <c r="S106" s="278">
        <f t="shared" ref="S106:AB106" si="75">S111+S110</f>
        <v>360.35716041000001</v>
      </c>
      <c r="T106" s="278">
        <f t="shared" si="75"/>
        <v>356.46775781000002</v>
      </c>
      <c r="U106" s="278">
        <f t="shared" si="75"/>
        <v>407.57625223999997</v>
      </c>
      <c r="V106" s="278">
        <f t="shared" si="75"/>
        <v>359.94676883</v>
      </c>
      <c r="W106" s="278">
        <f t="shared" si="75"/>
        <v>406.38188984000004</v>
      </c>
      <c r="X106" s="278">
        <f t="shared" si="75"/>
        <v>354.24522397999999</v>
      </c>
      <c r="Y106" s="278">
        <f t="shared" si="75"/>
        <v>406.12857124999999</v>
      </c>
      <c r="Z106" s="278">
        <f t="shared" si="75"/>
        <v>349.27086731000003</v>
      </c>
      <c r="AA106" s="278">
        <f t="shared" si="75"/>
        <v>543.90918796000005</v>
      </c>
      <c r="AB106" s="278">
        <f t="shared" si="75"/>
        <v>481.56454201999998</v>
      </c>
      <c r="AC106" s="278">
        <f>AC111+AC110</f>
        <v>546.22276839000006</v>
      </c>
      <c r="AD106" s="278">
        <f>AD111+AD110</f>
        <v>545.05249465999998</v>
      </c>
      <c r="AE106" s="278">
        <f>AE111+AE110</f>
        <v>819.81633613999998</v>
      </c>
      <c r="AF106" s="278">
        <f t="shared" ref="AF106" si="76">AF111+AF110</f>
        <v>1079.2555168800002</v>
      </c>
      <c r="AG106" s="278">
        <f t="shared" ref="AG106" si="77">AG111+AG110</f>
        <v>1158.1532941800001</v>
      </c>
    </row>
    <row r="107" spans="1:33">
      <c r="A107" s="277"/>
      <c r="B107" s="140" t="s">
        <v>751</v>
      </c>
      <c r="C107" s="279"/>
      <c r="D107" s="279"/>
      <c r="E107" s="279"/>
      <c r="F107" s="279"/>
      <c r="G107" s="279"/>
      <c r="H107" s="279"/>
      <c r="I107" s="279"/>
      <c r="J107" s="279"/>
      <c r="K107" s="279"/>
      <c r="L107" s="279"/>
      <c r="M107" s="279"/>
      <c r="N107" s="279"/>
      <c r="O107" s="279"/>
      <c r="P107" s="279"/>
      <c r="Q107" s="279"/>
      <c r="R107" s="279"/>
      <c r="S107" s="279"/>
      <c r="T107" s="279"/>
      <c r="U107" s="279"/>
      <c r="V107" s="279"/>
      <c r="W107" s="279"/>
      <c r="X107" s="279"/>
      <c r="Y107" s="279"/>
      <c r="Z107" s="279"/>
      <c r="AA107" s="279"/>
      <c r="AB107" s="279"/>
      <c r="AC107" s="279"/>
      <c r="AD107" s="279"/>
      <c r="AE107" s="279"/>
      <c r="AF107" s="279"/>
      <c r="AG107" s="279"/>
    </row>
    <row r="108" spans="1:33">
      <c r="A108" s="277"/>
      <c r="B108" s="140" t="s">
        <v>813</v>
      </c>
      <c r="C108" s="279"/>
      <c r="D108" s="279"/>
      <c r="E108" s="279"/>
      <c r="F108" s="279"/>
      <c r="G108" s="279"/>
      <c r="H108" s="279"/>
      <c r="I108" s="279"/>
      <c r="J108" s="279"/>
      <c r="K108" s="279"/>
      <c r="L108" s="279"/>
      <c r="M108" s="279"/>
      <c r="N108" s="279"/>
      <c r="O108" s="279"/>
      <c r="P108" s="279"/>
      <c r="Q108" s="279"/>
      <c r="R108" s="279"/>
      <c r="S108" s="279"/>
      <c r="T108" s="279"/>
      <c r="U108" s="279"/>
      <c r="V108" s="279"/>
      <c r="W108" s="279"/>
      <c r="X108" s="279"/>
      <c r="Y108" s="279"/>
      <c r="Z108" s="279"/>
      <c r="AA108" s="279"/>
      <c r="AB108" s="279"/>
      <c r="AC108" s="279"/>
      <c r="AD108" s="279"/>
      <c r="AE108" s="279"/>
      <c r="AF108" s="279"/>
      <c r="AG108" s="279"/>
    </row>
    <row r="109" spans="1:33">
      <c r="A109" s="277"/>
      <c r="B109" s="140" t="s">
        <v>667</v>
      </c>
      <c r="C109" s="279"/>
      <c r="D109" s="279"/>
      <c r="E109" s="279"/>
      <c r="F109" s="279"/>
      <c r="G109" s="279"/>
      <c r="H109" s="279"/>
      <c r="I109" s="279"/>
      <c r="J109" s="279"/>
      <c r="K109" s="279"/>
      <c r="L109" s="279"/>
      <c r="M109" s="279"/>
      <c r="N109" s="279"/>
      <c r="O109" s="279"/>
      <c r="P109" s="279"/>
      <c r="Q109" s="279"/>
      <c r="R109" s="279"/>
      <c r="S109" s="279"/>
      <c r="T109" s="279"/>
      <c r="U109" s="279"/>
      <c r="V109" s="279"/>
      <c r="W109" s="279"/>
      <c r="X109" s="279"/>
      <c r="Y109" s="279"/>
      <c r="Z109" s="279"/>
      <c r="AA109" s="279"/>
      <c r="AB109" s="279"/>
      <c r="AC109" s="279"/>
      <c r="AD109" s="279"/>
      <c r="AE109" s="279"/>
      <c r="AF109" s="279"/>
      <c r="AG109" s="279"/>
    </row>
    <row r="110" spans="1:33" s="85" customFormat="1">
      <c r="A110" s="276"/>
      <c r="B110" s="149" t="s">
        <v>168</v>
      </c>
      <c r="C110" s="1155">
        <f>Wind!U287</f>
        <v>0</v>
      </c>
      <c r="D110" s="1155">
        <f>Wind!V287</f>
        <v>0</v>
      </c>
      <c r="E110" s="1155">
        <f>Wind!W287</f>
        <v>0</v>
      </c>
      <c r="F110" s="1155">
        <f>Wind!X287</f>
        <v>28.881503389999999</v>
      </c>
      <c r="G110" s="1155">
        <f>Wind!Y287</f>
        <v>37.789994210000003</v>
      </c>
      <c r="H110" s="1155">
        <f>Wind!Z287</f>
        <v>49.035509299999994</v>
      </c>
      <c r="I110" s="1155">
        <f>Wind!AA287</f>
        <v>59.069635270000006</v>
      </c>
      <c r="J110" s="1155">
        <f>Wind!AB287</f>
        <v>73.696878420000004</v>
      </c>
      <c r="K110" s="1155"/>
      <c r="L110" s="1155">
        <f>Wind!CB287</f>
        <v>0</v>
      </c>
      <c r="M110" s="1155">
        <f>Wind!CC287</f>
        <v>0</v>
      </c>
      <c r="N110" s="1155">
        <f>Wind!CD287</f>
        <v>0</v>
      </c>
      <c r="O110" s="1155">
        <f>Wind!CE287</f>
        <v>28.881503389999999</v>
      </c>
      <c r="P110" s="1155">
        <f>Wind!CF287</f>
        <v>0</v>
      </c>
      <c r="Q110" s="1155">
        <f>Wind!CG287</f>
        <v>33.091151269999997</v>
      </c>
      <c r="R110" s="1155">
        <f>Wind!CH287</f>
        <v>0</v>
      </c>
      <c r="S110" s="1155">
        <f>Wind!CI287</f>
        <v>37.789994210000003</v>
      </c>
      <c r="T110" s="1155">
        <f>Wind!CJ287</f>
        <v>0</v>
      </c>
      <c r="U110" s="1155">
        <f>Wind!CK287</f>
        <v>43.96666553</v>
      </c>
      <c r="V110" s="1155">
        <f>Wind!CL287</f>
        <v>0</v>
      </c>
      <c r="W110" s="1155">
        <f>Wind!CM287</f>
        <v>49.035509299999994</v>
      </c>
      <c r="X110" s="1155">
        <f>Wind!CN287</f>
        <v>0</v>
      </c>
      <c r="Y110" s="1155">
        <f>Wind!CO287</f>
        <v>54.496884389999998</v>
      </c>
      <c r="Z110" s="1155">
        <f>Wind!CP287</f>
        <v>0</v>
      </c>
      <c r="AA110" s="1155">
        <f>Wind!CQ287</f>
        <v>59.069635270000006</v>
      </c>
      <c r="AB110" s="1155">
        <f>Wind!CR287</f>
        <v>0</v>
      </c>
      <c r="AC110" s="1155">
        <f>Wind!CS287</f>
        <v>65.723622079999998</v>
      </c>
      <c r="AD110" s="1155">
        <f>Wind!CT287</f>
        <v>0</v>
      </c>
      <c r="AE110" s="1155">
        <f>Wind!CU287</f>
        <v>73.696878420000004</v>
      </c>
      <c r="AF110" s="1155">
        <f>Wind!CV287</f>
        <v>0</v>
      </c>
      <c r="AG110" s="1155">
        <f>Wind!CW287</f>
        <v>88.292689949999996</v>
      </c>
    </row>
    <row r="111" spans="1:33" s="85" customFormat="1">
      <c r="A111" s="276"/>
      <c r="B111" s="282" t="s">
        <v>167</v>
      </c>
      <c r="C111" s="284">
        <f>Wind!U97+Wind!U98+Wind!U99</f>
        <v>158.21</v>
      </c>
      <c r="D111" s="284">
        <f>Wind!V97+Wind!V98+Wind!V99</f>
        <v>154.96627644</v>
      </c>
      <c r="E111" s="284">
        <f>Wind!W97+Wind!W98+Wind!W99</f>
        <v>163.55302633000002</v>
      </c>
      <c r="F111" s="284">
        <f>Wind!X97+Wind!X98+Wind!X99</f>
        <v>236.5791964</v>
      </c>
      <c r="G111" s="284">
        <f>Wind!Y97+Wind!Y98+Wind!Y99</f>
        <v>322.56716619999997</v>
      </c>
      <c r="H111" s="284">
        <f>Wind!Z97+Wind!Z98+Wind!Z99</f>
        <v>357.34638054000004</v>
      </c>
      <c r="I111" s="284">
        <f>Wind!AA97+Wind!AA98+Wind!AA99</f>
        <v>484.83955269</v>
      </c>
      <c r="J111" s="284">
        <f>Wind!AB97+Wind!AB98+Wind!AB99</f>
        <v>746.11945772000001</v>
      </c>
      <c r="K111" s="284"/>
      <c r="L111" s="284">
        <f>Wind!CB97+Wind!CB98+Wind!CB99</f>
        <v>0</v>
      </c>
      <c r="M111" s="284">
        <f>Wind!CC97+Wind!CC98+Wind!CC99</f>
        <v>238.14429999999999</v>
      </c>
      <c r="N111" s="284">
        <f>Wind!CD97+Wind!CD98+Wind!CD99</f>
        <v>0</v>
      </c>
      <c r="O111" s="284">
        <f>Wind!CE97+Wind!CE98+Wind!CE99</f>
        <v>236.5791964</v>
      </c>
      <c r="P111" s="284">
        <f>Wind!CF97+Wind!CF98+Wind!CF99</f>
        <v>234.52157027000001</v>
      </c>
      <c r="Q111" s="284">
        <f>Wind!CG97+Wind!CG98+Wind!CG99</f>
        <v>232.50463492</v>
      </c>
      <c r="R111" s="284">
        <f>Wind!CH97+Wind!CH98+Wind!CH99</f>
        <v>230.31794413</v>
      </c>
      <c r="S111" s="284">
        <f>Wind!CI97+Wind!CI98+Wind!CI99</f>
        <v>322.56716619999997</v>
      </c>
      <c r="T111" s="284">
        <f>Wind!CJ97+Wind!CJ98+Wind!CJ99</f>
        <v>356.46775781000002</v>
      </c>
      <c r="U111" s="284">
        <f>Wind!CK97+Wind!CK98+Wind!CK99</f>
        <v>363.60958670999997</v>
      </c>
      <c r="V111" s="284">
        <f>Wind!CL97+Wind!CL98+Wind!CL99</f>
        <v>359.94676883</v>
      </c>
      <c r="W111" s="284">
        <f>Wind!CM97+Wind!CM98+Wind!CM99</f>
        <v>357.34638054000004</v>
      </c>
      <c r="X111" s="284">
        <f>Wind!CN97+Wind!CN98+Wind!CN99</f>
        <v>354.24522397999999</v>
      </c>
      <c r="Y111" s="284">
        <f>Wind!CO97+Wind!CO98+Wind!CO99</f>
        <v>351.63168686</v>
      </c>
      <c r="Z111" s="284">
        <f>Wind!CP97+Wind!CP98+Wind!CP99</f>
        <v>349.27086731000003</v>
      </c>
      <c r="AA111" s="284">
        <f>Wind!CQ97+Wind!CQ98+Wind!CQ99</f>
        <v>484.83955269</v>
      </c>
      <c r="AB111" s="284">
        <f>Wind!CR97+Wind!CR98+Wind!CR99</f>
        <v>481.56454201999998</v>
      </c>
      <c r="AC111" s="284">
        <f>Wind!CS97+Wind!CS98+Wind!CS99</f>
        <v>480.49914631000001</v>
      </c>
      <c r="AD111" s="284">
        <f>Wind!CT97+Wind!CT98+Wind!CT99</f>
        <v>545.05249465999998</v>
      </c>
      <c r="AE111" s="284">
        <f>Wind!CU97+Wind!CU98+Wind!CU99</f>
        <v>746.11945772000001</v>
      </c>
      <c r="AF111" s="284">
        <f>Wind!CV97+Wind!CV98+Wind!CV99</f>
        <v>1079.2555168800002</v>
      </c>
      <c r="AG111" s="284">
        <f>Wind!CW97+Wind!CW98+Wind!CW99</f>
        <v>1069.86060423</v>
      </c>
    </row>
    <row r="112" spans="1:33">
      <c r="A112" s="277"/>
      <c r="C112" s="279"/>
      <c r="D112" s="279"/>
      <c r="E112" s="279"/>
      <c r="F112" s="279"/>
      <c r="G112" s="279"/>
      <c r="H112" s="279"/>
      <c r="I112" s="279"/>
      <c r="J112" s="279"/>
      <c r="K112" s="279"/>
      <c r="L112" s="279"/>
      <c r="M112" s="279"/>
      <c r="N112" s="279"/>
      <c r="O112" s="279"/>
      <c r="P112" s="279"/>
      <c r="Q112" s="279"/>
      <c r="R112" s="279"/>
      <c r="S112" s="279"/>
      <c r="T112" s="279"/>
      <c r="U112" s="279"/>
      <c r="V112" s="279"/>
      <c r="W112" s="279"/>
      <c r="X112" s="279"/>
      <c r="Y112" s="279"/>
      <c r="Z112" s="279"/>
      <c r="AA112" s="279"/>
      <c r="AB112" s="279"/>
      <c r="AC112" s="279"/>
      <c r="AD112" s="279"/>
      <c r="AE112" s="279"/>
      <c r="AF112" s="279"/>
      <c r="AG112" s="279"/>
    </row>
    <row r="113" spans="1:33">
      <c r="A113" s="277"/>
      <c r="B113" s="140" t="s">
        <v>812</v>
      </c>
      <c r="C113" s="280">
        <f>Wind!U89</f>
        <v>0</v>
      </c>
      <c r="D113" s="280">
        <f>Wind!V89</f>
        <v>0</v>
      </c>
      <c r="E113" s="280">
        <f>Wind!W89</f>
        <v>0</v>
      </c>
      <c r="F113" s="280">
        <f>Wind!X89</f>
        <v>0</v>
      </c>
      <c r="G113" s="280">
        <f>Wind!Y89</f>
        <v>0</v>
      </c>
      <c r="H113" s="280">
        <f>Wind!Z89</f>
        <v>0</v>
      </c>
      <c r="I113" s="280">
        <f>Wind!AA89</f>
        <v>0</v>
      </c>
      <c r="J113" s="280">
        <f>Wind!AB89</f>
        <v>0</v>
      </c>
      <c r="K113" s="280"/>
      <c r="L113" s="280">
        <f>Wind!CB89</f>
        <v>0</v>
      </c>
      <c r="M113" s="280">
        <f>Wind!CC89</f>
        <v>0</v>
      </c>
      <c r="N113" s="280">
        <f>Wind!CD89</f>
        <v>0</v>
      </c>
      <c r="O113" s="280">
        <f>Wind!CE89</f>
        <v>0</v>
      </c>
      <c r="P113" s="280">
        <f>Wind!CF89</f>
        <v>0</v>
      </c>
      <c r="Q113" s="280">
        <f>Wind!CG89</f>
        <v>0</v>
      </c>
      <c r="R113" s="280">
        <f>Wind!CH89</f>
        <v>0</v>
      </c>
      <c r="S113" s="280">
        <f>Wind!CI89</f>
        <v>0</v>
      </c>
      <c r="T113" s="280">
        <f>Wind!CJ89</f>
        <v>0</v>
      </c>
      <c r="U113" s="280">
        <f>Wind!CK89</f>
        <v>0</v>
      </c>
      <c r="V113" s="280">
        <f>Wind!CL89</f>
        <v>0</v>
      </c>
      <c r="W113" s="280">
        <f>Wind!CM89</f>
        <v>0</v>
      </c>
      <c r="X113" s="280">
        <f>Wind!CN89</f>
        <v>0</v>
      </c>
      <c r="Y113" s="280">
        <f>Wind!CO89</f>
        <v>0</v>
      </c>
      <c r="Z113" s="280">
        <f>Wind!CP89</f>
        <v>0</v>
      </c>
      <c r="AA113" s="280">
        <f>Wind!CQ89</f>
        <v>0</v>
      </c>
      <c r="AB113" s="280">
        <f>Wind!CR89</f>
        <v>0</v>
      </c>
      <c r="AC113" s="280">
        <f>Wind!CS89</f>
        <v>0</v>
      </c>
      <c r="AD113" s="280">
        <f>Wind!CT89</f>
        <v>0</v>
      </c>
      <c r="AE113" s="280">
        <f>Wind!CU89</f>
        <v>0</v>
      </c>
      <c r="AF113" s="280">
        <f>Wind!CV89</f>
        <v>0</v>
      </c>
      <c r="AG113" s="280">
        <f>Wind!CW89</f>
        <v>0</v>
      </c>
    </row>
    <row r="114" spans="1:33" s="85" customFormat="1">
      <c r="A114" s="276"/>
      <c r="B114" s="149" t="s">
        <v>190</v>
      </c>
      <c r="C114" s="278">
        <f>Wind!U88</f>
        <v>0</v>
      </c>
      <c r="D114" s="278">
        <f>Wind!V88</f>
        <v>0</v>
      </c>
      <c r="E114" s="278">
        <f>Wind!W88</f>
        <v>0</v>
      </c>
      <c r="F114" s="278">
        <f>Wind!X88</f>
        <v>0</v>
      </c>
      <c r="G114" s="278">
        <f>Wind!Y88</f>
        <v>0</v>
      </c>
      <c r="H114" s="278">
        <f>Wind!Z88</f>
        <v>0</v>
      </c>
      <c r="I114" s="278">
        <f>Wind!AA88</f>
        <v>0</v>
      </c>
      <c r="J114" s="278">
        <f>Wind!AB88</f>
        <v>0</v>
      </c>
      <c r="K114" s="278"/>
      <c r="L114" s="278">
        <f>Wind!CB88</f>
        <v>0</v>
      </c>
      <c r="M114" s="278">
        <f>Wind!CC88</f>
        <v>0</v>
      </c>
      <c r="N114" s="278">
        <f>Wind!CD88</f>
        <v>0</v>
      </c>
      <c r="O114" s="278">
        <f>Wind!CE88</f>
        <v>0</v>
      </c>
      <c r="P114" s="278">
        <f>Wind!CF88</f>
        <v>0</v>
      </c>
      <c r="Q114" s="278">
        <f>Wind!CG88</f>
        <v>0</v>
      </c>
      <c r="R114" s="278">
        <f>Wind!CH88</f>
        <v>0</v>
      </c>
      <c r="S114" s="278">
        <f>Wind!CI88</f>
        <v>0</v>
      </c>
      <c r="T114" s="278">
        <f>Wind!CJ88</f>
        <v>0</v>
      </c>
      <c r="U114" s="278">
        <f>Wind!CK88</f>
        <v>0</v>
      </c>
      <c r="V114" s="278">
        <f>Wind!CL88</f>
        <v>0</v>
      </c>
      <c r="W114" s="278">
        <f>Wind!CM88</f>
        <v>0</v>
      </c>
      <c r="X114" s="278">
        <f>Wind!CN88</f>
        <v>0</v>
      </c>
      <c r="Y114" s="278">
        <f>Wind!CO88</f>
        <v>0</v>
      </c>
      <c r="Z114" s="278">
        <f>Wind!CP88</f>
        <v>0</v>
      </c>
      <c r="AA114" s="278">
        <f>Wind!CQ88</f>
        <v>0</v>
      </c>
      <c r="AB114" s="278">
        <f>Wind!CR88</f>
        <v>0</v>
      </c>
      <c r="AC114" s="278">
        <f>Wind!CS88</f>
        <v>0</v>
      </c>
      <c r="AD114" s="278">
        <f>Wind!CT88</f>
        <v>0</v>
      </c>
      <c r="AE114" s="278">
        <f>Wind!CU88</f>
        <v>0</v>
      </c>
      <c r="AF114" s="278">
        <f>Wind!CV88</f>
        <v>0</v>
      </c>
      <c r="AG114" s="278">
        <f>Wind!CW88</f>
        <v>0</v>
      </c>
    </row>
    <row r="115" spans="1:33">
      <c r="A115" s="277"/>
      <c r="B115" s="140" t="s">
        <v>811</v>
      </c>
      <c r="C115" s="279"/>
      <c r="D115" s="279"/>
      <c r="E115" s="279"/>
      <c r="F115" s="279"/>
      <c r="G115" s="279"/>
      <c r="H115" s="279"/>
      <c r="I115" s="279"/>
      <c r="J115" s="279"/>
      <c r="K115" s="279"/>
      <c r="L115" s="279"/>
      <c r="M115" s="279"/>
      <c r="N115" s="279"/>
      <c r="O115" s="279"/>
      <c r="P115" s="279"/>
      <c r="Q115" s="279"/>
      <c r="R115" s="279"/>
      <c r="S115" s="279"/>
      <c r="T115" s="279"/>
      <c r="U115" s="279"/>
      <c r="V115" s="279"/>
      <c r="W115" s="279"/>
      <c r="X115" s="279"/>
      <c r="Y115" s="279"/>
      <c r="Z115" s="279"/>
      <c r="AA115" s="279"/>
      <c r="AB115" s="279"/>
      <c r="AC115" s="279"/>
      <c r="AD115" s="279"/>
      <c r="AE115" s="279"/>
      <c r="AF115" s="279"/>
      <c r="AG115" s="279"/>
    </row>
    <row r="116" spans="1:33" s="85" customFormat="1">
      <c r="A116" s="276"/>
      <c r="B116" s="149" t="s">
        <v>187</v>
      </c>
      <c r="C116" s="295"/>
      <c r="D116" s="295"/>
      <c r="E116" s="295"/>
      <c r="F116" s="295"/>
      <c r="G116" s="295"/>
      <c r="H116" s="295"/>
      <c r="I116" s="295"/>
      <c r="J116" s="295"/>
      <c r="K116" s="295"/>
      <c r="L116" s="295"/>
      <c r="M116" s="295"/>
      <c r="N116" s="295"/>
      <c r="O116" s="295"/>
      <c r="P116" s="295"/>
      <c r="Q116" s="295"/>
      <c r="R116" s="295"/>
      <c r="S116" s="295"/>
      <c r="T116" s="295"/>
      <c r="U116" s="295"/>
      <c r="V116" s="295"/>
      <c r="W116" s="295"/>
      <c r="X116" s="295"/>
      <c r="Y116" s="295"/>
      <c r="Z116" s="295"/>
      <c r="AA116" s="295"/>
      <c r="AB116" s="295"/>
      <c r="AC116" s="295"/>
      <c r="AD116" s="295"/>
      <c r="AE116" s="295"/>
      <c r="AF116" s="295"/>
      <c r="AG116" s="295"/>
    </row>
    <row r="117" spans="1:33">
      <c r="A117" s="277"/>
      <c r="B117" s="140" t="s">
        <v>810</v>
      </c>
      <c r="C117" s="279">
        <f>Wind!U83+Wind!U84</f>
        <v>0</v>
      </c>
      <c r="D117" s="279">
        <f>Wind!V83+Wind!V84</f>
        <v>0</v>
      </c>
      <c r="E117" s="279">
        <f>Wind!W83+Wind!W84</f>
        <v>0</v>
      </c>
      <c r="F117" s="279">
        <f>Wind!X83+Wind!X84</f>
        <v>0</v>
      </c>
      <c r="G117" s="279">
        <f>Wind!Y83+Wind!Y84</f>
        <v>0</v>
      </c>
      <c r="H117" s="279">
        <f>Wind!Z83+Wind!Z84</f>
        <v>0</v>
      </c>
      <c r="I117" s="279">
        <f>Wind!AA83+Wind!AA84</f>
        <v>0</v>
      </c>
      <c r="J117" s="279">
        <f>Wind!AB83+Wind!AB84</f>
        <v>0</v>
      </c>
      <c r="K117" s="279"/>
      <c r="L117" s="279">
        <f>Wind!CB83+Wind!CB84</f>
        <v>0</v>
      </c>
      <c r="M117" s="279">
        <f>Wind!CC83+Wind!CC84</f>
        <v>0</v>
      </c>
      <c r="N117" s="279">
        <f>Wind!CD83+Wind!CD84</f>
        <v>0</v>
      </c>
      <c r="O117" s="279">
        <f>Wind!CE83+Wind!CE84</f>
        <v>0</v>
      </c>
      <c r="P117" s="279">
        <f>Wind!CF83+Wind!CF84</f>
        <v>0</v>
      </c>
      <c r="Q117" s="279">
        <f>Wind!CG83+Wind!CG84</f>
        <v>0</v>
      </c>
      <c r="R117" s="279">
        <f>Wind!CH83+Wind!CH84</f>
        <v>0</v>
      </c>
      <c r="S117" s="279">
        <f>Wind!CI83+Wind!CI84</f>
        <v>0</v>
      </c>
      <c r="T117" s="279">
        <f>Wind!CJ83+Wind!CJ84</f>
        <v>0</v>
      </c>
      <c r="U117" s="279">
        <f>Wind!CK83+Wind!CK84</f>
        <v>0</v>
      </c>
      <c r="V117" s="279">
        <f>Wind!CL83+Wind!CL84</f>
        <v>0</v>
      </c>
      <c r="W117" s="279">
        <f>Wind!CM83+Wind!CM84</f>
        <v>0</v>
      </c>
      <c r="X117" s="279">
        <f>Wind!CN83+Wind!CN84</f>
        <v>0</v>
      </c>
      <c r="Y117" s="279">
        <f>Wind!CO83+Wind!CO84</f>
        <v>0</v>
      </c>
      <c r="Z117" s="279">
        <f>Wind!CP83+Wind!CP84</f>
        <v>0</v>
      </c>
      <c r="AA117" s="279">
        <f>Wind!CQ83+Wind!CQ84</f>
        <v>0</v>
      </c>
      <c r="AB117" s="279">
        <f>Wind!CR83+Wind!CR84</f>
        <v>0</v>
      </c>
      <c r="AC117" s="279">
        <f>Wind!CS83+Wind!CS84</f>
        <v>0</v>
      </c>
      <c r="AD117" s="279">
        <f>Wind!CT83+Wind!CT84</f>
        <v>0</v>
      </c>
      <c r="AE117" s="279">
        <f>Wind!CU83+Wind!CU84</f>
        <v>0</v>
      </c>
      <c r="AF117" s="279">
        <f>Wind!CV83+Wind!CV84</f>
        <v>0</v>
      </c>
      <c r="AG117" s="279">
        <f>Wind!CW83+Wind!CW84</f>
        <v>0</v>
      </c>
    </row>
    <row r="118" spans="1:33" s="85" customFormat="1">
      <c r="A118" s="276"/>
      <c r="B118" s="282" t="s">
        <v>166</v>
      </c>
      <c r="C118" s="281">
        <f t="shared" ref="C118:I118" si="78">SUM(C113:C117)</f>
        <v>0</v>
      </c>
      <c r="D118" s="281">
        <f t="shared" si="78"/>
        <v>0</v>
      </c>
      <c r="E118" s="281">
        <f t="shared" si="78"/>
        <v>0</v>
      </c>
      <c r="F118" s="281">
        <f t="shared" si="78"/>
        <v>0</v>
      </c>
      <c r="G118" s="281">
        <f t="shared" si="78"/>
        <v>0</v>
      </c>
      <c r="H118" s="281">
        <f t="shared" si="78"/>
        <v>0</v>
      </c>
      <c r="I118" s="281">
        <f t="shared" si="78"/>
        <v>0</v>
      </c>
      <c r="J118" s="281">
        <f>SUM(J113:J117)</f>
        <v>0</v>
      </c>
      <c r="K118" s="281"/>
      <c r="L118" s="281">
        <f t="shared" ref="L118:R118" si="79">SUM(L113:L117)</f>
        <v>0</v>
      </c>
      <c r="M118" s="281">
        <f t="shared" si="79"/>
        <v>0</v>
      </c>
      <c r="N118" s="281">
        <f t="shared" si="79"/>
        <v>0</v>
      </c>
      <c r="O118" s="281">
        <f t="shared" si="79"/>
        <v>0</v>
      </c>
      <c r="P118" s="281">
        <f t="shared" si="79"/>
        <v>0</v>
      </c>
      <c r="Q118" s="281">
        <f t="shared" si="79"/>
        <v>0</v>
      </c>
      <c r="R118" s="281">
        <f t="shared" si="79"/>
        <v>0</v>
      </c>
      <c r="S118" s="281">
        <f t="shared" ref="S118:AB118" si="80">SUM(S113:S117)</f>
        <v>0</v>
      </c>
      <c r="T118" s="281">
        <f t="shared" si="80"/>
        <v>0</v>
      </c>
      <c r="U118" s="281">
        <f t="shared" si="80"/>
        <v>0</v>
      </c>
      <c r="V118" s="281">
        <f t="shared" si="80"/>
        <v>0</v>
      </c>
      <c r="W118" s="281">
        <f t="shared" si="80"/>
        <v>0</v>
      </c>
      <c r="X118" s="281">
        <f t="shared" si="80"/>
        <v>0</v>
      </c>
      <c r="Y118" s="281">
        <f t="shared" si="80"/>
        <v>0</v>
      </c>
      <c r="Z118" s="281">
        <f t="shared" si="80"/>
        <v>0</v>
      </c>
      <c r="AA118" s="281">
        <f t="shared" si="80"/>
        <v>0</v>
      </c>
      <c r="AB118" s="281">
        <f t="shared" si="80"/>
        <v>0</v>
      </c>
      <c r="AC118" s="281">
        <f>SUM(AC113:AC117)</f>
        <v>0</v>
      </c>
      <c r="AD118" s="281">
        <f>SUM(AD113:AD117)</f>
        <v>0</v>
      </c>
      <c r="AE118" s="281">
        <f>SUM(AE113:AE117)</f>
        <v>0</v>
      </c>
      <c r="AF118" s="281">
        <f t="shared" ref="AF118:AG118" si="81">SUM(AF113:AF117)</f>
        <v>0</v>
      </c>
      <c r="AG118" s="281">
        <f t="shared" si="81"/>
        <v>0</v>
      </c>
    </row>
    <row r="119" spans="1:33">
      <c r="A119" s="277"/>
      <c r="C119" s="279"/>
      <c r="D119" s="279"/>
      <c r="E119" s="279"/>
      <c r="F119" s="279"/>
      <c r="G119" s="279"/>
      <c r="H119" s="279"/>
      <c r="I119" s="279"/>
      <c r="J119" s="279"/>
      <c r="K119" s="279"/>
      <c r="L119" s="279"/>
      <c r="M119" s="279"/>
      <c r="N119" s="279"/>
      <c r="O119" s="279"/>
      <c r="P119" s="279"/>
      <c r="Q119" s="279"/>
      <c r="R119" s="279"/>
      <c r="S119" s="279"/>
      <c r="T119" s="279"/>
      <c r="U119" s="279"/>
      <c r="V119" s="279"/>
      <c r="W119" s="279"/>
      <c r="X119" s="279"/>
      <c r="Y119" s="279"/>
      <c r="Z119" s="279"/>
      <c r="AA119" s="279"/>
      <c r="AB119" s="279"/>
      <c r="AC119" s="279"/>
      <c r="AD119" s="279"/>
      <c r="AE119" s="279"/>
      <c r="AF119" s="279"/>
      <c r="AG119" s="279"/>
    </row>
    <row r="120" spans="1:33">
      <c r="A120" s="277"/>
      <c r="B120" s="140" t="s">
        <v>809</v>
      </c>
      <c r="C120" s="279"/>
      <c r="D120" s="279"/>
      <c r="E120" s="279"/>
      <c r="F120" s="279"/>
      <c r="G120" s="279"/>
      <c r="H120" s="279"/>
      <c r="I120" s="279"/>
      <c r="J120" s="279"/>
      <c r="K120" s="279"/>
      <c r="L120" s="279"/>
      <c r="M120" s="279"/>
      <c r="N120" s="279"/>
      <c r="O120" s="279"/>
      <c r="P120" s="279"/>
      <c r="Q120" s="279"/>
      <c r="R120" s="279"/>
      <c r="S120" s="279"/>
      <c r="T120" s="279"/>
      <c r="U120" s="279"/>
      <c r="V120" s="279"/>
      <c r="W120" s="279"/>
      <c r="X120" s="279"/>
      <c r="Y120" s="279"/>
      <c r="Z120" s="279"/>
      <c r="AA120" s="279"/>
      <c r="AB120" s="279"/>
      <c r="AC120" s="279"/>
      <c r="AD120" s="279"/>
      <c r="AE120" s="279"/>
      <c r="AF120" s="279"/>
      <c r="AG120" s="279"/>
    </row>
    <row r="121" spans="1:33">
      <c r="A121" s="277"/>
      <c r="B121" s="140" t="s">
        <v>808</v>
      </c>
      <c r="C121" s="280">
        <f>Wind!U101</f>
        <v>65.308199999999999</v>
      </c>
      <c r="D121" s="280">
        <f>Wind!V101</f>
        <v>42.826352610000001</v>
      </c>
      <c r="E121" s="280">
        <f>Wind!W101</f>
        <v>82.033001689999992</v>
      </c>
      <c r="F121" s="280">
        <f>Wind!X101</f>
        <v>133.60161679999999</v>
      </c>
      <c r="G121" s="280">
        <f>Wind!Y101</f>
        <v>179.66692344000001</v>
      </c>
      <c r="H121" s="280">
        <f>Wind!Z101</f>
        <v>321.15027935000001</v>
      </c>
      <c r="I121" s="280">
        <f>Wind!AA101</f>
        <v>359.18486888000001</v>
      </c>
      <c r="J121" s="280">
        <f>Wind!AB101</f>
        <v>459.83867513000001</v>
      </c>
      <c r="K121" s="280"/>
      <c r="L121" s="280">
        <f>Wind!CB101</f>
        <v>0</v>
      </c>
      <c r="M121" s="280">
        <f>Wind!CC101</f>
        <v>164.10939999999999</v>
      </c>
      <c r="N121" s="280">
        <f>Wind!CD101</f>
        <v>0</v>
      </c>
      <c r="O121" s="280">
        <f>Wind!CE101</f>
        <v>133.60161679999999</v>
      </c>
      <c r="P121" s="280">
        <f>Wind!CF101</f>
        <v>172.88943394999998</v>
      </c>
      <c r="Q121" s="280">
        <f>Wind!CG101</f>
        <v>213.55747838999997</v>
      </c>
      <c r="R121" s="280">
        <f>Wind!CH101</f>
        <v>216.74235368000001</v>
      </c>
      <c r="S121" s="280">
        <f>Wind!CI101</f>
        <v>179.66692344000001</v>
      </c>
      <c r="T121" s="280">
        <f>Wind!CJ101</f>
        <v>276.98053241000002</v>
      </c>
      <c r="U121" s="280">
        <f>Wind!CK101</f>
        <v>289.64315630999999</v>
      </c>
      <c r="V121" s="280">
        <f>Wind!CL101</f>
        <v>346.10285518000001</v>
      </c>
      <c r="W121" s="280">
        <f>Wind!CM101</f>
        <v>321.15027935000001</v>
      </c>
      <c r="X121" s="280">
        <f>Wind!CN101</f>
        <v>354.52297002</v>
      </c>
      <c r="Y121" s="280">
        <f>Wind!CO101</f>
        <v>426.47157499000002</v>
      </c>
      <c r="Z121" s="280">
        <f>Wind!CP101</f>
        <v>461.77982068</v>
      </c>
      <c r="AA121" s="280">
        <f>Wind!CQ101</f>
        <v>359.18486888000001</v>
      </c>
      <c r="AB121" s="280">
        <f>Wind!CR101</f>
        <v>399.62194232999997</v>
      </c>
      <c r="AC121" s="280">
        <f>Wind!CS101</f>
        <v>448.41874431999997</v>
      </c>
      <c r="AD121" s="280">
        <f>Wind!CT101</f>
        <v>466.64314669999999</v>
      </c>
      <c r="AE121" s="280">
        <f>Wind!CU101</f>
        <v>459.83867513000001</v>
      </c>
      <c r="AF121" s="280">
        <f>Wind!CV101</f>
        <v>552.88214271000004</v>
      </c>
      <c r="AG121" s="280">
        <f>Wind!CW101</f>
        <v>647.81639053999993</v>
      </c>
    </row>
    <row r="122" spans="1:33">
      <c r="A122" s="277"/>
      <c r="B122" s="140" t="s">
        <v>807</v>
      </c>
      <c r="C122" s="279"/>
      <c r="D122" s="279"/>
      <c r="E122" s="279"/>
      <c r="F122" s="279"/>
      <c r="G122" s="279"/>
      <c r="H122" s="279"/>
      <c r="I122" s="279"/>
      <c r="J122" s="279"/>
      <c r="K122" s="279"/>
      <c r="L122" s="279"/>
      <c r="M122" s="279"/>
      <c r="N122" s="279"/>
      <c r="O122" s="279"/>
      <c r="P122" s="279"/>
      <c r="Q122" s="279"/>
      <c r="R122" s="279"/>
      <c r="S122" s="279"/>
      <c r="T122" s="279"/>
      <c r="U122" s="279"/>
      <c r="V122" s="279"/>
      <c r="W122" s="279"/>
      <c r="X122" s="279"/>
      <c r="Y122" s="279"/>
      <c r="Z122" s="279"/>
      <c r="AA122" s="279"/>
      <c r="AB122" s="279"/>
      <c r="AC122" s="279"/>
      <c r="AD122" s="279"/>
      <c r="AE122" s="279"/>
      <c r="AF122" s="279"/>
      <c r="AG122" s="279"/>
    </row>
    <row r="123" spans="1:33">
      <c r="A123" s="277"/>
      <c r="B123" s="140" t="s">
        <v>806</v>
      </c>
      <c r="C123" s="1156">
        <f>Wind!U100</f>
        <v>21.882400000000001</v>
      </c>
      <c r="D123" s="1156">
        <f>Wind!V100</f>
        <v>20.351342120000002</v>
      </c>
      <c r="E123" s="1156">
        <f>Wind!W100</f>
        <v>23.138811030000003</v>
      </c>
      <c r="F123" s="1156">
        <f>Wind!X100</f>
        <v>24.809067350000003</v>
      </c>
      <c r="G123" s="1156">
        <f>Wind!Y100</f>
        <v>23.59733482</v>
      </c>
      <c r="H123" s="1156">
        <f>Wind!Z100</f>
        <v>28.074852780000001</v>
      </c>
      <c r="I123" s="1156">
        <f>Wind!AA100</f>
        <v>32.552245399999997</v>
      </c>
      <c r="J123" s="1156">
        <f>Wind!AB100</f>
        <v>55.322003469999999</v>
      </c>
      <c r="K123" s="1156"/>
      <c r="L123" s="1156">
        <f>Wind!CB100</f>
        <v>0</v>
      </c>
      <c r="M123" s="1156">
        <f>Wind!CC100</f>
        <v>22.4542</v>
      </c>
      <c r="N123" s="1156">
        <f>Wind!CD100</f>
        <v>0</v>
      </c>
      <c r="O123" s="1156">
        <f>Wind!CE100</f>
        <v>24.809067350000003</v>
      </c>
      <c r="P123" s="1156">
        <f>Wind!CF100</f>
        <v>24.018930000000001</v>
      </c>
      <c r="Q123" s="1156">
        <f>Wind!CG100</f>
        <v>23.995914800000001</v>
      </c>
      <c r="R123" s="1156">
        <f>Wind!CH100</f>
        <v>23.246624530000002</v>
      </c>
      <c r="S123" s="1156">
        <f>Wind!CI100</f>
        <v>23.59733482</v>
      </c>
      <c r="T123" s="1156">
        <f>Wind!CJ100</f>
        <v>24.466581120000001</v>
      </c>
      <c r="U123" s="1156">
        <f>Wind!CK100</f>
        <v>26.453274960000002</v>
      </c>
      <c r="V123" s="1156">
        <f>Wind!CL100</f>
        <v>29.552826289999999</v>
      </c>
      <c r="W123" s="1156">
        <f>Wind!CM100</f>
        <v>28.074852780000001</v>
      </c>
      <c r="X123" s="1156">
        <f>Wind!CN100</f>
        <v>30.738033390000002</v>
      </c>
      <c r="Y123" s="1156">
        <f>Wind!CO100</f>
        <v>30.131002949999999</v>
      </c>
      <c r="Z123" s="1156">
        <f>Wind!CP100</f>
        <v>32.163427939999998</v>
      </c>
      <c r="AA123" s="1156">
        <f>Wind!CQ100</f>
        <v>32.552245399999997</v>
      </c>
      <c r="AB123" s="1156">
        <f>Wind!CR100</f>
        <v>31.63586038</v>
      </c>
      <c r="AC123" s="1156">
        <f>Wind!CS100</f>
        <v>31.41621555</v>
      </c>
      <c r="AD123" s="1156">
        <f>Wind!CT100</f>
        <v>30.843668229999999</v>
      </c>
      <c r="AE123" s="1156">
        <f>Wind!CU100</f>
        <v>55.322003469999999</v>
      </c>
      <c r="AF123" s="1156">
        <f>Wind!CV100</f>
        <v>74.28857026</v>
      </c>
      <c r="AG123" s="1156">
        <f>Wind!CW100</f>
        <v>86.939394230000005</v>
      </c>
    </row>
    <row r="124" spans="1:33">
      <c r="A124" s="277"/>
      <c r="B124" s="140" t="s">
        <v>805</v>
      </c>
      <c r="C124" s="1156">
        <f>Wind!U102</f>
        <v>26.5261</v>
      </c>
      <c r="D124" s="1156">
        <f>Wind!V102</f>
        <v>99.01336775</v>
      </c>
      <c r="E124" s="1156">
        <f>Wind!W102</f>
        <v>100.88022221999999</v>
      </c>
      <c r="F124" s="1156">
        <f>Wind!X102</f>
        <v>46.671149770000007</v>
      </c>
      <c r="G124" s="1156">
        <f>Wind!Y102</f>
        <v>137.91056349999999</v>
      </c>
      <c r="H124" s="1156">
        <f>Wind!Z102</f>
        <v>64.646706350000002</v>
      </c>
      <c r="I124" s="1156">
        <f>Wind!AA102</f>
        <v>102.78013496999999</v>
      </c>
      <c r="J124" s="1156">
        <f>Wind!AB102</f>
        <v>350.07235566000003</v>
      </c>
      <c r="K124" s="1156"/>
      <c r="L124" s="1156">
        <f>Wind!CB102</f>
        <v>0</v>
      </c>
      <c r="M124" s="1156">
        <f>Wind!CC102</f>
        <v>56.3187</v>
      </c>
      <c r="N124" s="1156">
        <f>Wind!CD102</f>
        <v>0</v>
      </c>
      <c r="O124" s="1156">
        <f>Wind!CE102</f>
        <v>46.671149770000007</v>
      </c>
      <c r="P124" s="1156">
        <f>Wind!CF102</f>
        <v>35.603858539999997</v>
      </c>
      <c r="Q124" s="1156">
        <f>Wind!CG102</f>
        <v>25.75392424</v>
      </c>
      <c r="R124" s="1156">
        <f>Wind!CH102</f>
        <v>79.034040300000001</v>
      </c>
      <c r="S124" s="1156">
        <f>Wind!CI102</f>
        <v>137.91056349999999</v>
      </c>
      <c r="T124" s="1156">
        <f>Wind!CJ102</f>
        <v>136.61332649000002</v>
      </c>
      <c r="U124" s="1156">
        <f>Wind!CK102</f>
        <v>109.69180087999999</v>
      </c>
      <c r="V124" s="1156">
        <f>Wind!CL102</f>
        <v>119.42882123000001</v>
      </c>
      <c r="W124" s="1156">
        <f>Wind!CM102</f>
        <v>64.646706350000002</v>
      </c>
      <c r="X124" s="1156">
        <f>Wind!CN102</f>
        <v>103.26979312</v>
      </c>
      <c r="Y124" s="1156">
        <f>Wind!CO102</f>
        <v>44.314480869999997</v>
      </c>
      <c r="Z124" s="1156">
        <f>Wind!CP102</f>
        <v>44.948021859999997</v>
      </c>
      <c r="AA124" s="1156">
        <f>Wind!CQ102</f>
        <v>102.78013496999999</v>
      </c>
      <c r="AB124" s="1156">
        <f>Wind!CR102</f>
        <v>119.16607035</v>
      </c>
      <c r="AC124" s="1156">
        <f>Wind!CS102</f>
        <v>45.375506200000004</v>
      </c>
      <c r="AD124" s="1156">
        <f>Wind!CT102</f>
        <v>134.30777501</v>
      </c>
      <c r="AE124" s="1156">
        <f>Wind!CU102</f>
        <v>350.07235566000003</v>
      </c>
      <c r="AF124" s="1156">
        <f>Wind!CV102</f>
        <v>203.52853958</v>
      </c>
      <c r="AG124" s="1156">
        <f>Wind!CW102</f>
        <v>247.43378952</v>
      </c>
    </row>
    <row r="125" spans="1:33">
      <c r="A125" s="277"/>
      <c r="B125" s="140" t="s">
        <v>667</v>
      </c>
      <c r="C125" s="279"/>
      <c r="D125" s="279"/>
      <c r="E125" s="279"/>
      <c r="F125" s="279"/>
      <c r="G125" s="279"/>
      <c r="H125" s="279"/>
      <c r="I125" s="279"/>
      <c r="J125" s="279"/>
      <c r="K125" s="279"/>
      <c r="L125" s="279"/>
      <c r="M125" s="279"/>
      <c r="N125" s="279"/>
      <c r="O125" s="279"/>
      <c r="P125" s="279"/>
      <c r="Q125" s="279"/>
      <c r="R125" s="279"/>
      <c r="S125" s="279"/>
      <c r="T125" s="279"/>
      <c r="U125" s="279"/>
      <c r="V125" s="279"/>
      <c r="W125" s="279"/>
      <c r="X125" s="279"/>
      <c r="Y125" s="279"/>
      <c r="Z125" s="279"/>
      <c r="AA125" s="279"/>
      <c r="AB125" s="279"/>
      <c r="AC125" s="279"/>
      <c r="AD125" s="279"/>
      <c r="AE125" s="279"/>
      <c r="AF125" s="279"/>
      <c r="AG125" s="279"/>
    </row>
    <row r="126" spans="1:33">
      <c r="A126" s="277"/>
      <c r="B126" s="140" t="s">
        <v>667</v>
      </c>
      <c r="C126" s="279"/>
      <c r="D126" s="279"/>
      <c r="E126" s="279"/>
      <c r="F126" s="279"/>
      <c r="G126" s="279"/>
      <c r="H126" s="279"/>
      <c r="I126" s="279"/>
      <c r="J126" s="279"/>
      <c r="K126" s="279"/>
      <c r="L126" s="279"/>
      <c r="M126" s="279"/>
      <c r="N126" s="279"/>
      <c r="O126" s="279"/>
      <c r="P126" s="279"/>
      <c r="Q126" s="279"/>
      <c r="R126" s="279"/>
      <c r="S126" s="279"/>
      <c r="T126" s="279"/>
      <c r="U126" s="279"/>
      <c r="V126" s="279"/>
      <c r="W126" s="279"/>
      <c r="X126" s="279"/>
      <c r="Y126" s="279"/>
      <c r="Z126" s="279"/>
      <c r="AA126" s="279"/>
      <c r="AB126" s="279"/>
      <c r="AC126" s="279"/>
      <c r="AD126" s="279"/>
      <c r="AE126" s="279"/>
      <c r="AF126" s="279"/>
      <c r="AG126" s="279"/>
    </row>
    <row r="127" spans="1:33" s="85" customFormat="1">
      <c r="A127" s="276"/>
      <c r="B127" s="282" t="s">
        <v>165</v>
      </c>
      <c r="C127" s="284">
        <f>Wind!U105-'Raw Data'!C104-'Raw Data'!C111-'Raw Data'!C118</f>
        <v>113.71669999999997</v>
      </c>
      <c r="D127" s="284">
        <f>Wind!V105-'Raw Data'!D104-'Raw Data'!D111-'Raw Data'!D118</f>
        <v>162.19106248000003</v>
      </c>
      <c r="E127" s="284">
        <f>Wind!W105-'Raw Data'!E104-'Raw Data'!E111-'Raw Data'!E118</f>
        <v>336.05203494000006</v>
      </c>
      <c r="F127" s="284">
        <f>Wind!X105-'Raw Data'!F104-'Raw Data'!F111-'Raw Data'!F118</f>
        <v>305.08183391999978</v>
      </c>
      <c r="G127" s="284">
        <f>Wind!Y105-'Raw Data'!G104-'Raw Data'!G111-'Raw Data'!G118</f>
        <v>2520.13795338</v>
      </c>
      <c r="H127" s="284">
        <f>Wind!Z105-'Raw Data'!H104-'Raw Data'!H111-'Raw Data'!H118</f>
        <v>1504.5348819199999</v>
      </c>
      <c r="I127" s="284">
        <f>Wind!AA105-'Raw Data'!I104-'Raw Data'!I111-'Raw Data'!I118</f>
        <v>2155.3823604299992</v>
      </c>
      <c r="J127" s="284">
        <f>Wind!AB105-'Raw Data'!J104-'Raw Data'!J111-'Raw Data'!J118</f>
        <v>5000.8240952699989</v>
      </c>
      <c r="K127" s="284"/>
      <c r="L127" s="284">
        <f>Wind!CB105-'Raw Data'!L104-'Raw Data'!L111-'Raw Data'!L118</f>
        <v>0</v>
      </c>
      <c r="M127" s="284">
        <f>Wind!CC105-'Raw Data'!M104-'Raw Data'!M111-'Raw Data'!M118</f>
        <v>372.88219999999995</v>
      </c>
      <c r="N127" s="284">
        <f>Wind!CD105-'Raw Data'!N104-'Raw Data'!N111-'Raw Data'!N118</f>
        <v>0</v>
      </c>
      <c r="O127" s="284">
        <f>Wind!CE105-'Raw Data'!O104-'Raw Data'!O111-'Raw Data'!O118</f>
        <v>305.08183391999978</v>
      </c>
      <c r="P127" s="284">
        <f>Wind!CF105-'Raw Data'!P104-'Raw Data'!P111-'Raw Data'!P118</f>
        <v>512.29517929999997</v>
      </c>
      <c r="Q127" s="284">
        <f>Wind!CG105-'Raw Data'!Q104-'Raw Data'!Q111-'Raw Data'!Q118</f>
        <v>940.66483777999997</v>
      </c>
      <c r="R127" s="284">
        <f>Wind!CH105-'Raw Data'!R104-'Raw Data'!R111-'Raw Data'!R118</f>
        <v>1554.0629675800001</v>
      </c>
      <c r="S127" s="284">
        <f>Wind!CI105-'Raw Data'!S104-'Raw Data'!S111-'Raw Data'!S118</f>
        <v>2520.13795338</v>
      </c>
      <c r="T127" s="284">
        <f>Wind!CJ105-'Raw Data'!T104-'Raw Data'!T111-'Raw Data'!T118</f>
        <v>2116.2874252299998</v>
      </c>
      <c r="U127" s="284">
        <f>Wind!CK105-'Raw Data'!U104-'Raw Data'!U111-'Raw Data'!U118</f>
        <v>1830.5754209599993</v>
      </c>
      <c r="V127" s="284">
        <f>Wind!CL105-'Raw Data'!V104-'Raw Data'!V111-'Raw Data'!V118</f>
        <v>1853.1298608299994</v>
      </c>
      <c r="W127" s="284">
        <f>Wind!CM105-'Raw Data'!W104-'Raw Data'!W111-'Raw Data'!W118</f>
        <v>1504.5348819199999</v>
      </c>
      <c r="X127" s="284">
        <f>Wind!CN105-'Raw Data'!X104-'Raw Data'!X111-'Raw Data'!X118</f>
        <v>2056.5303937600006</v>
      </c>
      <c r="Y127" s="284">
        <f>Wind!CO105-'Raw Data'!Y104-'Raw Data'!Y111-'Raw Data'!Y118</f>
        <v>2280.3579326000004</v>
      </c>
      <c r="Z127" s="284">
        <f>Wind!CP105-'Raw Data'!Z104-'Raw Data'!Z111-'Raw Data'!Z118</f>
        <v>2303.8890579700005</v>
      </c>
      <c r="AA127" s="284">
        <f>Wind!CQ105-'Raw Data'!AA104-'Raw Data'!AA111-'Raw Data'!AA118</f>
        <v>2155.3823604299992</v>
      </c>
      <c r="AB127" s="284">
        <f>Wind!CR105-'Raw Data'!AB104-'Raw Data'!AB111-'Raw Data'!AB118</f>
        <v>2422.0552294999998</v>
      </c>
      <c r="AC127" s="284">
        <f>Wind!CS105-'Raw Data'!AC104-'Raw Data'!AC111-'Raw Data'!AC118</f>
        <v>4198.2702548899997</v>
      </c>
      <c r="AD127" s="284">
        <f>Wind!CT105-'Raw Data'!AD104-'Raw Data'!AD111-'Raw Data'!AD118</f>
        <v>4776.4969202300017</v>
      </c>
      <c r="AE127" s="284">
        <f>Wind!CU105-'Raw Data'!AE104-'Raw Data'!AE111-'Raw Data'!AE118</f>
        <v>5000.8240952699989</v>
      </c>
      <c r="AF127" s="284">
        <f>Wind!CV105-'Raw Data'!AF104-'Raw Data'!AF111-'Raw Data'!AF118</f>
        <v>4812.875229799999</v>
      </c>
      <c r="AG127" s="284">
        <f>Wind!CW105-'Raw Data'!AG104-'Raw Data'!AG111-'Raw Data'!AG118</f>
        <v>4317.1846737299993</v>
      </c>
    </row>
    <row r="128" spans="1:33">
      <c r="A128" s="277"/>
      <c r="B128" s="277"/>
      <c r="C128" s="279"/>
      <c r="D128" s="279"/>
      <c r="E128" s="279"/>
      <c r="F128" s="279"/>
      <c r="G128" s="279"/>
      <c r="H128" s="279"/>
      <c r="I128" s="279"/>
      <c r="J128" s="279"/>
      <c r="K128" s="279"/>
      <c r="L128" s="279"/>
      <c r="M128" s="279"/>
      <c r="N128" s="279"/>
      <c r="O128" s="279"/>
      <c r="P128" s="279"/>
      <c r="Q128" s="279"/>
      <c r="R128" s="279"/>
      <c r="S128" s="279"/>
      <c r="T128" s="279"/>
      <c r="U128" s="279"/>
      <c r="V128" s="279"/>
      <c r="W128" s="279"/>
      <c r="X128" s="279"/>
      <c r="Y128" s="279"/>
      <c r="Z128" s="279"/>
      <c r="AA128" s="279"/>
      <c r="AB128" s="279"/>
      <c r="AC128" s="279"/>
      <c r="AD128" s="279"/>
      <c r="AE128" s="279"/>
      <c r="AF128" s="279"/>
      <c r="AG128" s="279"/>
    </row>
    <row r="129" spans="1:33">
      <c r="A129" s="277"/>
      <c r="B129" s="988" t="s">
        <v>174</v>
      </c>
      <c r="C129" s="989"/>
      <c r="D129" s="989"/>
      <c r="E129" s="989"/>
      <c r="F129" s="989"/>
      <c r="G129" s="989"/>
      <c r="H129" s="989"/>
      <c r="I129" s="989"/>
      <c r="J129" s="989"/>
      <c r="K129" s="279"/>
      <c r="L129" s="989"/>
      <c r="M129" s="989"/>
      <c r="N129" s="989"/>
      <c r="O129" s="989"/>
      <c r="P129" s="989"/>
      <c r="Q129" s="989"/>
      <c r="R129" s="989"/>
      <c r="S129" s="989"/>
      <c r="T129" s="989"/>
      <c r="U129" s="989"/>
      <c r="V129" s="989"/>
      <c r="W129" s="989"/>
      <c r="X129" s="989"/>
      <c r="Y129" s="989"/>
      <c r="Z129" s="989"/>
      <c r="AA129" s="989"/>
      <c r="AB129" s="989"/>
      <c r="AC129" s="989"/>
      <c r="AD129" s="989"/>
      <c r="AE129" s="989"/>
      <c r="AF129" s="989"/>
      <c r="AG129" s="989"/>
    </row>
    <row r="130" spans="1:33">
      <c r="A130" s="277"/>
      <c r="B130" s="140" t="s">
        <v>804</v>
      </c>
      <c r="C130" s="280">
        <f>Wind!U58</f>
        <v>193.57069999999999</v>
      </c>
      <c r="D130" s="280">
        <f>Wind!V58</f>
        <v>339.29502861999998</v>
      </c>
      <c r="E130" s="280">
        <f>Wind!W58</f>
        <v>945.09570113999996</v>
      </c>
      <c r="F130" s="280">
        <f>Wind!X58</f>
        <v>1224.8536962200001</v>
      </c>
      <c r="G130" s="280">
        <f>Wind!Y58</f>
        <v>1019.1040422000001</v>
      </c>
      <c r="H130" s="280">
        <f>Wind!Z58</f>
        <v>2157.5604636100002</v>
      </c>
      <c r="I130" s="280">
        <f>Wind!AA58</f>
        <v>6057.6919416700002</v>
      </c>
      <c r="J130" s="280">
        <f>Wind!AB58</f>
        <v>5652.5491231599999</v>
      </c>
      <c r="K130" s="280"/>
      <c r="L130" s="280">
        <f>Wind!CB58</f>
        <v>0</v>
      </c>
      <c r="M130" s="280">
        <f>Wind!CC58</f>
        <v>886.85940000000005</v>
      </c>
      <c r="N130" s="280">
        <f>Wind!CD58</f>
        <v>0</v>
      </c>
      <c r="O130" s="280">
        <f>Wind!CE58</f>
        <v>1224.8536962200001</v>
      </c>
      <c r="P130" s="280">
        <f>Wind!CF58</f>
        <v>996.45248952999998</v>
      </c>
      <c r="Q130" s="280">
        <f>Wind!CG58</f>
        <v>2530.5770456799996</v>
      </c>
      <c r="R130" s="280">
        <f>Wind!CH58</f>
        <v>1391.9754471900001</v>
      </c>
      <c r="S130" s="280">
        <f>Wind!CI58</f>
        <v>1019.1040422000001</v>
      </c>
      <c r="T130" s="280">
        <f>Wind!CJ58</f>
        <v>1695.54884128</v>
      </c>
      <c r="U130" s="280">
        <f>Wind!CK58</f>
        <v>1180.2054266800001</v>
      </c>
      <c r="V130" s="280">
        <f>Wind!CL58</f>
        <v>941.20439264999993</v>
      </c>
      <c r="W130" s="280">
        <f>Wind!CM58</f>
        <v>2157.5604636100002</v>
      </c>
      <c r="X130" s="280">
        <f>Wind!CN58</f>
        <v>2040.6731988199999</v>
      </c>
      <c r="Y130" s="280">
        <f>Wind!CO58</f>
        <v>3271.7523049499996</v>
      </c>
      <c r="Z130" s="280">
        <f>Wind!CP58</f>
        <v>5457.8280322099999</v>
      </c>
      <c r="AA130" s="280">
        <f>Wind!CQ58</f>
        <v>6057.6919416700002</v>
      </c>
      <c r="AB130" s="280">
        <f>Wind!CR58</f>
        <v>7053.7157607299996</v>
      </c>
      <c r="AC130" s="280">
        <f>Wind!CS58</f>
        <v>7975.2577327700001</v>
      </c>
      <c r="AD130" s="280">
        <f>Wind!CT58</f>
        <v>6128.3660029799994</v>
      </c>
      <c r="AE130" s="280">
        <f>Wind!CU58</f>
        <v>5652.5491231599999</v>
      </c>
      <c r="AF130" s="280">
        <f>Wind!CV58</f>
        <v>5560.5772265400001</v>
      </c>
      <c r="AG130" s="280">
        <f>Wind!CW58</f>
        <v>5262.1294421800003</v>
      </c>
    </row>
    <row r="131" spans="1:33">
      <c r="A131" s="277"/>
      <c r="B131" s="140" t="s">
        <v>803</v>
      </c>
      <c r="C131" s="279"/>
      <c r="D131" s="279"/>
      <c r="E131" s="279"/>
      <c r="F131" s="279"/>
      <c r="G131" s="279"/>
      <c r="H131" s="279"/>
      <c r="I131" s="279"/>
      <c r="J131" s="279"/>
      <c r="K131" s="279"/>
      <c r="L131" s="279"/>
      <c r="M131" s="279"/>
      <c r="N131" s="279"/>
      <c r="O131" s="279"/>
      <c r="P131" s="279"/>
      <c r="Q131" s="279"/>
      <c r="R131" s="279"/>
      <c r="S131" s="279"/>
      <c r="T131" s="279"/>
      <c r="U131" s="279"/>
      <c r="V131" s="279"/>
      <c r="W131" s="279"/>
      <c r="X131" s="279"/>
      <c r="Y131" s="279"/>
      <c r="Z131" s="279"/>
      <c r="AA131" s="279"/>
      <c r="AB131" s="279"/>
      <c r="AC131" s="279"/>
      <c r="AD131" s="279"/>
      <c r="AE131" s="279"/>
      <c r="AF131" s="279"/>
      <c r="AG131" s="279"/>
    </row>
    <row r="132" spans="1:33">
      <c r="A132" s="277"/>
      <c r="B132" s="140" t="s">
        <v>802</v>
      </c>
      <c r="C132" s="279"/>
      <c r="D132" s="279"/>
      <c r="E132" s="279"/>
      <c r="F132" s="279"/>
      <c r="G132" s="279"/>
      <c r="H132" s="279"/>
      <c r="I132" s="279"/>
      <c r="J132" s="279"/>
      <c r="K132" s="279"/>
      <c r="L132" s="279"/>
      <c r="M132" s="279"/>
      <c r="N132" s="279"/>
      <c r="O132" s="279"/>
      <c r="P132" s="279"/>
      <c r="Q132" s="279"/>
      <c r="R132" s="279"/>
      <c r="S132" s="279"/>
      <c r="T132" s="279"/>
      <c r="U132" s="279"/>
      <c r="V132" s="279"/>
      <c r="W132" s="279"/>
      <c r="X132" s="279"/>
      <c r="Y132" s="279"/>
      <c r="Z132" s="279"/>
      <c r="AA132" s="279"/>
      <c r="AB132" s="279"/>
      <c r="AC132" s="279"/>
      <c r="AD132" s="279"/>
      <c r="AE132" s="279"/>
      <c r="AF132" s="279"/>
      <c r="AG132" s="279"/>
    </row>
    <row r="133" spans="1:33" s="85" customFormat="1">
      <c r="A133" s="276"/>
      <c r="B133" s="282" t="s">
        <v>801</v>
      </c>
      <c r="C133" s="281">
        <f t="shared" ref="C133:I133" si="82">SUM(C130:C132)</f>
        <v>193.57069999999999</v>
      </c>
      <c r="D133" s="281">
        <f t="shared" si="82"/>
        <v>339.29502861999998</v>
      </c>
      <c r="E133" s="281">
        <f t="shared" si="82"/>
        <v>945.09570113999996</v>
      </c>
      <c r="F133" s="281">
        <f t="shared" si="82"/>
        <v>1224.8536962200001</v>
      </c>
      <c r="G133" s="281">
        <f t="shared" si="82"/>
        <v>1019.1040422000001</v>
      </c>
      <c r="H133" s="281">
        <f t="shared" si="82"/>
        <v>2157.5604636100002</v>
      </c>
      <c r="I133" s="281">
        <f t="shared" si="82"/>
        <v>6057.6919416700002</v>
      </c>
      <c r="J133" s="281">
        <f>SUM(J130:J132)</f>
        <v>5652.5491231599999</v>
      </c>
      <c r="K133" s="281"/>
      <c r="L133" s="281">
        <f t="shared" ref="L133:R133" si="83">SUM(L130:L132)</f>
        <v>0</v>
      </c>
      <c r="M133" s="281">
        <f t="shared" si="83"/>
        <v>886.85940000000005</v>
      </c>
      <c r="N133" s="281">
        <f t="shared" si="83"/>
        <v>0</v>
      </c>
      <c r="O133" s="281">
        <f t="shared" si="83"/>
        <v>1224.8536962200001</v>
      </c>
      <c r="P133" s="281">
        <f t="shared" si="83"/>
        <v>996.45248952999998</v>
      </c>
      <c r="Q133" s="281">
        <f t="shared" si="83"/>
        <v>2530.5770456799996</v>
      </c>
      <c r="R133" s="281">
        <f t="shared" si="83"/>
        <v>1391.9754471900001</v>
      </c>
      <c r="S133" s="281">
        <f t="shared" ref="S133:AB133" si="84">SUM(S130:S132)</f>
        <v>1019.1040422000001</v>
      </c>
      <c r="T133" s="281">
        <f t="shared" si="84"/>
        <v>1695.54884128</v>
      </c>
      <c r="U133" s="281">
        <f t="shared" si="84"/>
        <v>1180.2054266800001</v>
      </c>
      <c r="V133" s="281">
        <f t="shared" si="84"/>
        <v>941.20439264999993</v>
      </c>
      <c r="W133" s="281">
        <f t="shared" si="84"/>
        <v>2157.5604636100002</v>
      </c>
      <c r="X133" s="281">
        <f t="shared" si="84"/>
        <v>2040.6731988199999</v>
      </c>
      <c r="Y133" s="281">
        <f t="shared" si="84"/>
        <v>3271.7523049499996</v>
      </c>
      <c r="Z133" s="281">
        <f t="shared" si="84"/>
        <v>5457.8280322099999</v>
      </c>
      <c r="AA133" s="281">
        <f t="shared" si="84"/>
        <v>6057.6919416700002</v>
      </c>
      <c r="AB133" s="281">
        <f t="shared" si="84"/>
        <v>7053.7157607299996</v>
      </c>
      <c r="AC133" s="281">
        <f>SUM(AC130:AC132)</f>
        <v>7975.2577327700001</v>
      </c>
      <c r="AD133" s="281">
        <f>SUM(AD130:AD132)</f>
        <v>6128.3660029799994</v>
      </c>
      <c r="AE133" s="281">
        <f>SUM(AE130:AE132)</f>
        <v>5652.5491231599999</v>
      </c>
      <c r="AF133" s="281">
        <f t="shared" ref="AF133:AG133" si="85">SUM(AF130:AF132)</f>
        <v>5560.5772265400001</v>
      </c>
      <c r="AG133" s="281">
        <f t="shared" si="85"/>
        <v>5262.1294421800003</v>
      </c>
    </row>
    <row r="134" spans="1:33">
      <c r="A134" s="277"/>
      <c r="C134" s="279"/>
      <c r="D134" s="279"/>
      <c r="E134" s="279"/>
      <c r="F134" s="279"/>
      <c r="G134" s="279"/>
      <c r="H134" s="279"/>
      <c r="I134" s="279"/>
      <c r="J134" s="279"/>
      <c r="K134" s="279"/>
      <c r="L134" s="279"/>
      <c r="M134" s="279"/>
      <c r="N134" s="279"/>
      <c r="O134" s="279"/>
      <c r="P134" s="279"/>
      <c r="Q134" s="279"/>
      <c r="R134" s="279"/>
      <c r="S134" s="279"/>
      <c r="T134" s="279"/>
      <c r="U134" s="279"/>
      <c r="V134" s="279"/>
      <c r="W134" s="279"/>
      <c r="X134" s="279"/>
      <c r="Y134" s="279"/>
      <c r="Z134" s="279"/>
      <c r="AA134" s="279"/>
      <c r="AB134" s="279"/>
      <c r="AC134" s="279"/>
      <c r="AD134" s="279"/>
      <c r="AE134" s="279"/>
      <c r="AF134" s="279"/>
      <c r="AG134" s="279"/>
    </row>
    <row r="135" spans="1:33">
      <c r="A135" s="277"/>
      <c r="B135" s="293" t="s">
        <v>800</v>
      </c>
      <c r="C135" s="279"/>
      <c r="D135" s="279"/>
      <c r="E135" s="279"/>
      <c r="F135" s="279"/>
      <c r="G135" s="279"/>
      <c r="H135" s="279"/>
      <c r="I135" s="279"/>
      <c r="J135" s="279"/>
      <c r="K135" s="279"/>
      <c r="L135" s="279"/>
      <c r="M135" s="279"/>
      <c r="N135" s="279"/>
      <c r="O135" s="279"/>
      <c r="P135" s="279"/>
      <c r="Q135" s="279"/>
      <c r="R135" s="279"/>
      <c r="S135" s="279"/>
      <c r="T135" s="279"/>
      <c r="U135" s="279"/>
      <c r="V135" s="279"/>
      <c r="W135" s="279"/>
      <c r="X135" s="279"/>
      <c r="Y135" s="279"/>
      <c r="Z135" s="279"/>
      <c r="AA135" s="279"/>
      <c r="AB135" s="279"/>
      <c r="AC135" s="279"/>
      <c r="AD135" s="279"/>
      <c r="AE135" s="279"/>
      <c r="AF135" s="279"/>
      <c r="AG135" s="279"/>
    </row>
    <row r="136" spans="1:33">
      <c r="A136" s="277"/>
      <c r="B136" s="293" t="s">
        <v>799</v>
      </c>
      <c r="C136" s="279"/>
      <c r="D136" s="279"/>
      <c r="E136" s="279"/>
      <c r="F136" s="279"/>
      <c r="G136" s="279"/>
      <c r="H136" s="279"/>
      <c r="I136" s="279"/>
      <c r="J136" s="279"/>
      <c r="K136" s="279"/>
      <c r="L136" s="279"/>
      <c r="M136" s="279"/>
      <c r="N136" s="279"/>
      <c r="O136" s="279"/>
      <c r="P136" s="279"/>
      <c r="Q136" s="279"/>
      <c r="R136" s="279"/>
      <c r="S136" s="279"/>
      <c r="T136" s="279"/>
      <c r="U136" s="279"/>
      <c r="V136" s="279"/>
      <c r="W136" s="279"/>
      <c r="X136" s="279"/>
      <c r="Y136" s="279"/>
      <c r="Z136" s="279"/>
      <c r="AA136" s="279"/>
      <c r="AB136" s="279"/>
      <c r="AC136" s="279"/>
      <c r="AD136" s="279"/>
      <c r="AE136" s="279"/>
      <c r="AF136" s="279"/>
      <c r="AG136" s="279"/>
    </row>
    <row r="137" spans="1:33">
      <c r="A137" s="277"/>
      <c r="B137" s="293" t="s">
        <v>798</v>
      </c>
      <c r="C137" s="279"/>
      <c r="D137" s="279"/>
      <c r="E137" s="279"/>
      <c r="F137" s="279"/>
      <c r="G137" s="279"/>
      <c r="H137" s="279"/>
      <c r="I137" s="279"/>
      <c r="J137" s="279"/>
      <c r="K137" s="279"/>
      <c r="L137" s="279"/>
      <c r="M137" s="279"/>
      <c r="N137" s="279"/>
      <c r="O137" s="279"/>
      <c r="P137" s="279"/>
      <c r="Q137" s="279"/>
      <c r="R137" s="279"/>
      <c r="S137" s="279"/>
      <c r="T137" s="279"/>
      <c r="U137" s="279"/>
      <c r="V137" s="279"/>
      <c r="W137" s="279"/>
      <c r="X137" s="279"/>
      <c r="Y137" s="279"/>
      <c r="Z137" s="279"/>
      <c r="AA137" s="279"/>
      <c r="AB137" s="279"/>
      <c r="AC137" s="279"/>
      <c r="AD137" s="279"/>
      <c r="AE137" s="279"/>
      <c r="AF137" s="279"/>
      <c r="AG137" s="279"/>
    </row>
    <row r="138" spans="1:33">
      <c r="A138" s="277"/>
      <c r="B138" s="293" t="s">
        <v>797</v>
      </c>
      <c r="C138" s="279"/>
      <c r="D138" s="279"/>
      <c r="E138" s="279"/>
      <c r="F138" s="279"/>
      <c r="G138" s="279"/>
      <c r="H138" s="279"/>
      <c r="I138" s="279"/>
      <c r="J138" s="279"/>
      <c r="K138" s="279"/>
      <c r="L138" s="279"/>
      <c r="M138" s="279"/>
      <c r="N138" s="279"/>
      <c r="O138" s="279"/>
      <c r="P138" s="279"/>
      <c r="Q138" s="279"/>
      <c r="R138" s="279"/>
      <c r="S138" s="279"/>
      <c r="T138" s="279"/>
      <c r="U138" s="279"/>
      <c r="V138" s="279"/>
      <c r="W138" s="279"/>
      <c r="X138" s="279"/>
      <c r="Y138" s="279"/>
      <c r="Z138" s="279"/>
      <c r="AA138" s="279"/>
      <c r="AB138" s="279"/>
      <c r="AC138" s="279"/>
      <c r="AD138" s="279"/>
      <c r="AE138" s="279"/>
      <c r="AF138" s="279"/>
      <c r="AG138" s="279"/>
    </row>
    <row r="139" spans="1:33" s="85" customFormat="1">
      <c r="A139" s="276"/>
      <c r="B139" s="292" t="s">
        <v>796</v>
      </c>
      <c r="C139" s="284">
        <f>Wind!U72</f>
        <v>134.75049999999999</v>
      </c>
      <c r="D139" s="284">
        <f>Wind!V72</f>
        <v>119.62862948</v>
      </c>
      <c r="E139" s="284">
        <f>Wind!W72</f>
        <v>214.22814141999999</v>
      </c>
      <c r="F139" s="284">
        <f>Wind!X72</f>
        <v>272.70129147</v>
      </c>
      <c r="G139" s="284">
        <f>Wind!Y72</f>
        <v>340.03603963</v>
      </c>
      <c r="H139" s="284">
        <f>Wind!Z72</f>
        <v>394.21987751</v>
      </c>
      <c r="I139" s="284">
        <f>Wind!AA72</f>
        <v>568.60120574999996</v>
      </c>
      <c r="J139" s="284">
        <f>Wind!AB72</f>
        <v>1068.08370694</v>
      </c>
      <c r="K139" s="284"/>
      <c r="L139" s="284">
        <f>Wind!CB72</f>
        <v>0</v>
      </c>
      <c r="M139" s="284">
        <f>Wind!CC72</f>
        <v>231.5035</v>
      </c>
      <c r="N139" s="284">
        <f>Wind!CD72</f>
        <v>0</v>
      </c>
      <c r="O139" s="284">
        <f>Wind!CE72</f>
        <v>272.70129147</v>
      </c>
      <c r="P139" s="284">
        <f>Wind!CF72</f>
        <v>241.68933347999999</v>
      </c>
      <c r="Q139" s="284">
        <f>Wind!CG72</f>
        <v>274.28615908999996</v>
      </c>
      <c r="R139" s="284">
        <f>Wind!CH72</f>
        <v>229.62850805000002</v>
      </c>
      <c r="S139" s="284">
        <f>Wind!CI72</f>
        <v>340.03603963</v>
      </c>
      <c r="T139" s="284">
        <f>Wind!CJ72</f>
        <v>381.38070114999999</v>
      </c>
      <c r="U139" s="284">
        <f>Wind!CK72</f>
        <v>392.42296155000002</v>
      </c>
      <c r="V139" s="284">
        <f>Wind!CL72</f>
        <v>318.88445995000001</v>
      </c>
      <c r="W139" s="284">
        <f>Wind!CM72</f>
        <v>394.21987751</v>
      </c>
      <c r="X139" s="284">
        <f>Wind!CN72</f>
        <v>342.72416232999996</v>
      </c>
      <c r="Y139" s="284">
        <f>Wind!CO72</f>
        <v>362.36816312000002</v>
      </c>
      <c r="Z139" s="284">
        <f>Wind!CP72</f>
        <v>265.84845988999996</v>
      </c>
      <c r="AA139" s="284">
        <f>Wind!CQ72</f>
        <v>568.60120574999996</v>
      </c>
      <c r="AB139" s="284">
        <f>Wind!CR72</f>
        <v>447.99797912999998</v>
      </c>
      <c r="AC139" s="284">
        <f>Wind!CS72</f>
        <v>456.87630218999999</v>
      </c>
      <c r="AD139" s="284">
        <f>Wind!CT72</f>
        <v>391.10255369999999</v>
      </c>
      <c r="AE139" s="284">
        <f>Wind!CU72</f>
        <v>1068.08370694</v>
      </c>
      <c r="AF139" s="284">
        <f>Wind!CV72</f>
        <v>856.06890021000004</v>
      </c>
      <c r="AG139" s="284">
        <f>Wind!CW72</f>
        <v>678.32126533000007</v>
      </c>
    </row>
    <row r="140" spans="1:33">
      <c r="A140" s="277"/>
      <c r="B140" s="294"/>
      <c r="C140" s="279"/>
      <c r="D140" s="279"/>
      <c r="E140" s="279"/>
      <c r="F140" s="279"/>
      <c r="G140" s="279"/>
      <c r="H140" s="279"/>
      <c r="I140" s="279"/>
      <c r="J140" s="279"/>
      <c r="K140" s="279"/>
      <c r="L140" s="279"/>
      <c r="M140" s="279"/>
      <c r="N140" s="279"/>
      <c r="O140" s="279"/>
      <c r="P140" s="279"/>
      <c r="Q140" s="279"/>
      <c r="R140" s="279"/>
      <c r="S140" s="279"/>
      <c r="T140" s="279"/>
      <c r="U140" s="279"/>
      <c r="V140" s="279"/>
      <c r="W140" s="279"/>
      <c r="X140" s="279"/>
      <c r="Y140" s="279"/>
      <c r="Z140" s="279"/>
      <c r="AA140" s="279"/>
      <c r="AB140" s="279"/>
      <c r="AC140" s="279"/>
      <c r="AD140" s="279"/>
      <c r="AE140" s="279"/>
      <c r="AF140" s="279"/>
      <c r="AG140" s="279"/>
    </row>
    <row r="141" spans="1:33">
      <c r="A141" s="277"/>
      <c r="B141" s="293" t="s">
        <v>795</v>
      </c>
      <c r="C141" s="280">
        <f>Wind!U63</f>
        <v>14.084</v>
      </c>
      <c r="D141" s="280">
        <f>Wind!V63</f>
        <v>39.542317390000001</v>
      </c>
      <c r="E141" s="280">
        <f>Wind!W63</f>
        <v>25.571792500000001</v>
      </c>
      <c r="F141" s="280">
        <f>Wind!X63</f>
        <v>12.851729880000001</v>
      </c>
      <c r="G141" s="280">
        <f>Wind!Y63</f>
        <v>24.573790079999998</v>
      </c>
      <c r="H141" s="280">
        <f>Wind!Z63</f>
        <v>24.75337687</v>
      </c>
      <c r="I141" s="280">
        <f>Wind!AA63</f>
        <v>66.355962000000005</v>
      </c>
      <c r="J141" s="280">
        <f>Wind!AB63</f>
        <v>81.308865280000006</v>
      </c>
      <c r="K141" s="280"/>
      <c r="L141" s="280">
        <f>Wind!CB63</f>
        <v>0</v>
      </c>
      <c r="M141" s="280">
        <f>Wind!CC63</f>
        <v>44.004100000000001</v>
      </c>
      <c r="N141" s="280">
        <f>Wind!CD63</f>
        <v>0</v>
      </c>
      <c r="O141" s="280">
        <f>Wind!CE63</f>
        <v>12.851729880000001</v>
      </c>
      <c r="P141" s="280">
        <f>Wind!CF63</f>
        <v>22.366827430000001</v>
      </c>
      <c r="Q141" s="280">
        <f>Wind!CG63</f>
        <v>28.077073420000001</v>
      </c>
      <c r="R141" s="280">
        <f>Wind!CH63</f>
        <v>25.3012272</v>
      </c>
      <c r="S141" s="280">
        <f>Wind!CI63</f>
        <v>24.573790079999998</v>
      </c>
      <c r="T141" s="280">
        <f>Wind!CJ63</f>
        <v>30.533110300000001</v>
      </c>
      <c r="U141" s="280">
        <f>Wind!CK63</f>
        <v>35.272320899999997</v>
      </c>
      <c r="V141" s="280">
        <f>Wind!CL63</f>
        <v>35.083859500000003</v>
      </c>
      <c r="W141" s="280">
        <f>Wind!CM63</f>
        <v>24.75337687</v>
      </c>
      <c r="X141" s="280">
        <f>Wind!CN63</f>
        <v>36.303901079999996</v>
      </c>
      <c r="Y141" s="280">
        <f>Wind!CO63</f>
        <v>58.994626930000003</v>
      </c>
      <c r="Z141" s="280">
        <f>Wind!CP63</f>
        <v>75.206921059999999</v>
      </c>
      <c r="AA141" s="280">
        <f>Wind!CQ63</f>
        <v>66.355962000000005</v>
      </c>
      <c r="AB141" s="280">
        <f>Wind!CR63</f>
        <v>78.193780829999994</v>
      </c>
      <c r="AC141" s="280">
        <f>Wind!CS63</f>
        <v>92.960932580000005</v>
      </c>
      <c r="AD141" s="280">
        <f>Wind!CT63</f>
        <v>119.16605426999999</v>
      </c>
      <c r="AE141" s="280">
        <f>Wind!CU63</f>
        <v>81.308865280000006</v>
      </c>
      <c r="AF141" s="280">
        <f>Wind!CV63</f>
        <v>64.895475300000001</v>
      </c>
      <c r="AG141" s="280">
        <f>Wind!CW63</f>
        <v>108.19130625</v>
      </c>
    </row>
    <row r="142" spans="1:33">
      <c r="A142" s="277"/>
      <c r="B142" s="293" t="s">
        <v>794</v>
      </c>
      <c r="C142" s="280">
        <f>Wind!U62</f>
        <v>0</v>
      </c>
      <c r="D142" s="280">
        <f>Wind!V62</f>
        <v>0</v>
      </c>
      <c r="E142" s="280">
        <f>Wind!W62</f>
        <v>0</v>
      </c>
      <c r="F142" s="280">
        <f>Wind!X62</f>
        <v>0</v>
      </c>
      <c r="G142" s="280">
        <f>Wind!Y62</f>
        <v>0</v>
      </c>
      <c r="H142" s="280">
        <f>Wind!Z62</f>
        <v>0</v>
      </c>
      <c r="I142" s="280">
        <f>Wind!AA62</f>
        <v>0</v>
      </c>
      <c r="J142" s="280">
        <f>Wind!AB62</f>
        <v>0</v>
      </c>
      <c r="K142" s="280"/>
      <c r="L142" s="280">
        <f>Wind!CB62</f>
        <v>0</v>
      </c>
      <c r="M142" s="280">
        <f>Wind!CC62</f>
        <v>0</v>
      </c>
      <c r="N142" s="280">
        <f>Wind!CD62</f>
        <v>0</v>
      </c>
      <c r="O142" s="280">
        <f>Wind!CE62</f>
        <v>0</v>
      </c>
      <c r="P142" s="280">
        <f>Wind!CF62</f>
        <v>0</v>
      </c>
      <c r="Q142" s="280">
        <f>Wind!CG62</f>
        <v>0</v>
      </c>
      <c r="R142" s="280">
        <f>Wind!CH62</f>
        <v>0</v>
      </c>
      <c r="S142" s="280">
        <f>Wind!CI62</f>
        <v>0</v>
      </c>
      <c r="T142" s="280">
        <f>Wind!CJ62</f>
        <v>0</v>
      </c>
      <c r="U142" s="280">
        <f>Wind!CK62</f>
        <v>0</v>
      </c>
      <c r="V142" s="280">
        <f>Wind!CL62</f>
        <v>0</v>
      </c>
      <c r="W142" s="280">
        <f>Wind!CM62</f>
        <v>0</v>
      </c>
      <c r="X142" s="280">
        <f>Wind!CN62</f>
        <v>0</v>
      </c>
      <c r="Y142" s="280">
        <f>Wind!CO62</f>
        <v>0</v>
      </c>
      <c r="Z142" s="280">
        <f>Wind!CP62</f>
        <v>0</v>
      </c>
      <c r="AA142" s="280">
        <f>Wind!CQ62</f>
        <v>0</v>
      </c>
      <c r="AB142" s="280">
        <f>Wind!CR62</f>
        <v>0</v>
      </c>
      <c r="AC142" s="280">
        <f>Wind!CS62</f>
        <v>0</v>
      </c>
      <c r="AD142" s="280">
        <f>Wind!CT62</f>
        <v>0</v>
      </c>
      <c r="AE142" s="280">
        <f>Wind!CU62</f>
        <v>0</v>
      </c>
      <c r="AF142" s="280">
        <f>Wind!CV62</f>
        <v>0</v>
      </c>
      <c r="AG142" s="280">
        <f>Wind!CW62</f>
        <v>0</v>
      </c>
    </row>
    <row r="143" spans="1:33">
      <c r="A143" s="277"/>
      <c r="B143" s="293" t="s">
        <v>793</v>
      </c>
      <c r="C143" s="280">
        <f>Wind!U69</f>
        <v>23.54</v>
      </c>
      <c r="D143" s="280">
        <f>Wind!V69</f>
        <v>29.348600000000001</v>
      </c>
      <c r="E143" s="280">
        <f>Wind!W69</f>
        <v>17.4605</v>
      </c>
      <c r="F143" s="280">
        <f>Wind!X69</f>
        <v>15.0214</v>
      </c>
      <c r="G143" s="280">
        <f>Wind!Y69</f>
        <v>18.48354277</v>
      </c>
      <c r="H143" s="280">
        <f>Wind!Z69</f>
        <v>16.020219009999998</v>
      </c>
      <c r="I143" s="280">
        <f>Wind!AA69</f>
        <v>22.274725719999999</v>
      </c>
      <c r="J143" s="280">
        <f>Wind!AB69</f>
        <v>28.431867499999999</v>
      </c>
      <c r="K143" s="280"/>
      <c r="L143" s="280">
        <f>Wind!CB69</f>
        <v>0</v>
      </c>
      <c r="M143" s="280">
        <f>Wind!CC69</f>
        <v>20.7</v>
      </c>
      <c r="N143" s="280">
        <f>Wind!CD69</f>
        <v>0</v>
      </c>
      <c r="O143" s="280">
        <f>Wind!CE69</f>
        <v>15.02</v>
      </c>
      <c r="P143" s="280">
        <f>Wind!CF69</f>
        <v>16.12</v>
      </c>
      <c r="Q143" s="280">
        <f>Wind!CG69</f>
        <v>17.396772600000002</v>
      </c>
      <c r="R143" s="280">
        <f>Wind!CH69</f>
        <v>64.5</v>
      </c>
      <c r="S143" s="280">
        <f>Wind!CI69</f>
        <v>18.48354277</v>
      </c>
      <c r="T143" s="280">
        <f>Wind!CJ69</f>
        <v>0</v>
      </c>
      <c r="U143" s="280">
        <f>Wind!CK69</f>
        <v>13.09447714</v>
      </c>
      <c r="V143" s="280">
        <f>Wind!CL69</f>
        <v>0</v>
      </c>
      <c r="W143" s="280">
        <f>Wind!CM69</f>
        <v>16.020219009999998</v>
      </c>
      <c r="X143" s="280">
        <f>Wind!CN69</f>
        <v>0</v>
      </c>
      <c r="Y143" s="280">
        <f>Wind!CO69</f>
        <v>31.09415401</v>
      </c>
      <c r="Z143" s="280">
        <f>Wind!CP69</f>
        <v>0</v>
      </c>
      <c r="AA143" s="280">
        <f>Wind!CQ69</f>
        <v>22.274725719999999</v>
      </c>
      <c r="AB143" s="280">
        <f>Wind!CR69</f>
        <v>0</v>
      </c>
      <c r="AC143" s="280">
        <f>Wind!CS69</f>
        <v>32.817339699999998</v>
      </c>
      <c r="AD143" s="280">
        <f>Wind!CT69</f>
        <v>0</v>
      </c>
      <c r="AE143" s="280">
        <f>Wind!CU69</f>
        <v>28.431867499999999</v>
      </c>
      <c r="AF143" s="280">
        <f>Wind!CV69</f>
        <v>0</v>
      </c>
      <c r="AG143" s="280">
        <f>Wind!CW69</f>
        <v>61.157394250000003</v>
      </c>
    </row>
    <row r="144" spans="1:33">
      <c r="A144" s="277"/>
      <c r="B144" s="293" t="s">
        <v>792</v>
      </c>
      <c r="C144" s="279"/>
      <c r="D144" s="279"/>
      <c r="E144" s="279"/>
      <c r="F144" s="279"/>
      <c r="G144" s="279"/>
      <c r="H144" s="279"/>
      <c r="I144" s="279"/>
      <c r="J144" s="279"/>
      <c r="K144" s="279"/>
      <c r="L144" s="279"/>
      <c r="M144" s="279"/>
      <c r="N144" s="279"/>
      <c r="O144" s="279"/>
      <c r="P144" s="279"/>
      <c r="Q144" s="279"/>
      <c r="R144" s="279"/>
      <c r="S144" s="279"/>
      <c r="T144" s="279"/>
      <c r="U144" s="279"/>
      <c r="V144" s="279"/>
      <c r="W144" s="279"/>
      <c r="X144" s="279"/>
      <c r="Y144" s="279"/>
      <c r="Z144" s="279"/>
      <c r="AA144" s="279"/>
      <c r="AB144" s="279"/>
      <c r="AC144" s="279"/>
      <c r="AD144" s="279"/>
      <c r="AE144" s="279"/>
      <c r="AF144" s="279"/>
      <c r="AG144" s="279"/>
    </row>
    <row r="145" spans="1:33">
      <c r="A145" s="277"/>
      <c r="B145" s="293" t="s">
        <v>791</v>
      </c>
      <c r="C145" s="280">
        <f>Wind!U68</f>
        <v>0</v>
      </c>
      <c r="D145" s="280">
        <f>Wind!V68</f>
        <v>0</v>
      </c>
      <c r="E145" s="280">
        <f>Wind!W68</f>
        <v>0</v>
      </c>
      <c r="F145" s="280">
        <f>Wind!X68</f>
        <v>0</v>
      </c>
      <c r="G145" s="280">
        <f>Wind!Y68</f>
        <v>0</v>
      </c>
      <c r="H145" s="280">
        <f>Wind!Z68</f>
        <v>0</v>
      </c>
      <c r="I145" s="280">
        <f>Wind!AA68</f>
        <v>0</v>
      </c>
      <c r="J145" s="280">
        <f>Wind!AB68</f>
        <v>0</v>
      </c>
      <c r="K145" s="280"/>
      <c r="L145" s="280">
        <f>Wind!CB68</f>
        <v>0</v>
      </c>
      <c r="M145" s="280">
        <f>Wind!CC68</f>
        <v>0</v>
      </c>
      <c r="N145" s="280">
        <f>Wind!CD68</f>
        <v>0</v>
      </c>
      <c r="O145" s="280">
        <f>Wind!CE68</f>
        <v>0</v>
      </c>
      <c r="P145" s="280">
        <f>Wind!CF68</f>
        <v>0</v>
      </c>
      <c r="Q145" s="280">
        <f>Wind!CG68</f>
        <v>0</v>
      </c>
      <c r="R145" s="280">
        <f>Wind!CH68</f>
        <v>0</v>
      </c>
      <c r="S145" s="280">
        <f>Wind!CI68</f>
        <v>0</v>
      </c>
      <c r="T145" s="280">
        <f>Wind!CJ68</f>
        <v>0</v>
      </c>
      <c r="U145" s="280">
        <f>Wind!CK68</f>
        <v>0</v>
      </c>
      <c r="V145" s="280">
        <f>Wind!CL68</f>
        <v>0</v>
      </c>
      <c r="W145" s="280">
        <f>Wind!CM68</f>
        <v>0</v>
      </c>
      <c r="X145" s="280">
        <f>Wind!CN68</f>
        <v>0</v>
      </c>
      <c r="Y145" s="280">
        <f>Wind!CO68</f>
        <v>0</v>
      </c>
      <c r="Z145" s="280">
        <f>Wind!CP68</f>
        <v>0</v>
      </c>
      <c r="AA145" s="280">
        <f>Wind!CQ68</f>
        <v>0</v>
      </c>
      <c r="AB145" s="280">
        <f>Wind!CR68</f>
        <v>0</v>
      </c>
      <c r="AC145" s="280">
        <f>Wind!CS68</f>
        <v>0</v>
      </c>
      <c r="AD145" s="280">
        <f>Wind!CT68</f>
        <v>0</v>
      </c>
      <c r="AE145" s="280">
        <f>Wind!CU68</f>
        <v>0</v>
      </c>
      <c r="AF145" s="280">
        <f>Wind!CV68</f>
        <v>0</v>
      </c>
      <c r="AG145" s="280">
        <f>Wind!CW68</f>
        <v>0</v>
      </c>
    </row>
    <row r="146" spans="1:33">
      <c r="A146" s="277"/>
      <c r="B146" s="293" t="s">
        <v>790</v>
      </c>
      <c r="C146" s="279"/>
      <c r="D146" s="279"/>
      <c r="E146" s="279"/>
      <c r="F146" s="279"/>
      <c r="G146" s="279"/>
      <c r="H146" s="279"/>
      <c r="I146" s="279"/>
      <c r="J146" s="279"/>
      <c r="K146" s="279"/>
      <c r="L146" s="279"/>
      <c r="M146" s="279"/>
      <c r="N146" s="279"/>
      <c r="O146" s="279"/>
      <c r="P146" s="279"/>
      <c r="Q146" s="279"/>
      <c r="R146" s="279"/>
      <c r="S146" s="279"/>
      <c r="T146" s="279"/>
      <c r="U146" s="279"/>
      <c r="V146" s="279"/>
      <c r="W146" s="279"/>
      <c r="X146" s="279"/>
      <c r="Y146" s="279"/>
      <c r="Z146" s="279"/>
      <c r="AA146" s="279"/>
      <c r="AB146" s="279"/>
      <c r="AC146" s="279"/>
      <c r="AD146" s="279"/>
      <c r="AE146" s="279"/>
      <c r="AF146" s="279"/>
      <c r="AG146" s="279"/>
    </row>
    <row r="147" spans="1:33">
      <c r="A147" s="277"/>
      <c r="B147" s="293" t="s">
        <v>789</v>
      </c>
      <c r="C147" s="279"/>
      <c r="D147" s="279"/>
      <c r="E147" s="279"/>
      <c r="F147" s="279"/>
      <c r="G147" s="279"/>
      <c r="H147" s="279"/>
      <c r="I147" s="279"/>
      <c r="J147" s="279"/>
      <c r="K147" s="279"/>
      <c r="L147" s="279"/>
      <c r="M147" s="279"/>
      <c r="N147" s="279"/>
      <c r="O147" s="279"/>
      <c r="P147" s="279"/>
      <c r="Q147" s="279"/>
      <c r="R147" s="279"/>
      <c r="S147" s="279"/>
      <c r="T147" s="279"/>
      <c r="U147" s="279"/>
      <c r="V147" s="279"/>
      <c r="W147" s="279"/>
      <c r="X147" s="279"/>
      <c r="Y147" s="279"/>
      <c r="Z147" s="279"/>
      <c r="AA147" s="279"/>
      <c r="AB147" s="279"/>
      <c r="AC147" s="279"/>
      <c r="AD147" s="279"/>
      <c r="AE147" s="279"/>
      <c r="AF147" s="279"/>
      <c r="AG147" s="279"/>
    </row>
    <row r="148" spans="1:33" s="85" customFormat="1">
      <c r="A148" s="276"/>
      <c r="B148" s="292" t="s">
        <v>177</v>
      </c>
      <c r="C148" s="281">
        <f t="shared" ref="C148:I148" si="86">SUM(C141:C147)</f>
        <v>37.623999999999995</v>
      </c>
      <c r="D148" s="281">
        <f t="shared" si="86"/>
        <v>68.890917389999998</v>
      </c>
      <c r="E148" s="281">
        <f t="shared" si="86"/>
        <v>43.032292499999997</v>
      </c>
      <c r="F148" s="281">
        <f t="shared" si="86"/>
        <v>27.87312988</v>
      </c>
      <c r="G148" s="281">
        <f t="shared" si="86"/>
        <v>43.057332849999995</v>
      </c>
      <c r="H148" s="281">
        <f t="shared" si="86"/>
        <v>40.773595880000002</v>
      </c>
      <c r="I148" s="281">
        <f t="shared" si="86"/>
        <v>88.630687719999997</v>
      </c>
      <c r="J148" s="281">
        <f>SUM(J141:J147)</f>
        <v>109.74073278</v>
      </c>
      <c r="K148" s="281"/>
      <c r="L148" s="281">
        <f t="shared" ref="L148:R148" si="87">SUM(L141:L147)</f>
        <v>0</v>
      </c>
      <c r="M148" s="281">
        <f t="shared" si="87"/>
        <v>64.704099999999997</v>
      </c>
      <c r="N148" s="281">
        <f t="shared" si="87"/>
        <v>0</v>
      </c>
      <c r="O148" s="281">
        <f t="shared" si="87"/>
        <v>27.87172988</v>
      </c>
      <c r="P148" s="281">
        <f t="shared" si="87"/>
        <v>38.486827430000005</v>
      </c>
      <c r="Q148" s="281">
        <f t="shared" si="87"/>
        <v>45.473846020000003</v>
      </c>
      <c r="R148" s="281">
        <f t="shared" si="87"/>
        <v>89.8012272</v>
      </c>
      <c r="S148" s="281">
        <f t="shared" ref="S148:AB148" si="88">SUM(S141:S147)</f>
        <v>43.057332849999995</v>
      </c>
      <c r="T148" s="281">
        <f t="shared" si="88"/>
        <v>30.533110300000001</v>
      </c>
      <c r="U148" s="281">
        <f t="shared" si="88"/>
        <v>48.366798039999999</v>
      </c>
      <c r="V148" s="281">
        <f t="shared" si="88"/>
        <v>35.083859500000003</v>
      </c>
      <c r="W148" s="281">
        <f t="shared" si="88"/>
        <v>40.773595880000002</v>
      </c>
      <c r="X148" s="281">
        <f t="shared" si="88"/>
        <v>36.303901079999996</v>
      </c>
      <c r="Y148" s="281">
        <f t="shared" si="88"/>
        <v>90.088780940000007</v>
      </c>
      <c r="Z148" s="281">
        <f t="shared" si="88"/>
        <v>75.206921059999999</v>
      </c>
      <c r="AA148" s="281">
        <f t="shared" si="88"/>
        <v>88.630687719999997</v>
      </c>
      <c r="AB148" s="281">
        <f t="shared" si="88"/>
        <v>78.193780829999994</v>
      </c>
      <c r="AC148" s="281">
        <f>SUM(AC141:AC147)</f>
        <v>125.77827228000001</v>
      </c>
      <c r="AD148" s="281">
        <f>SUM(AD141:AD147)</f>
        <v>119.16605426999999</v>
      </c>
      <c r="AE148" s="281">
        <f>SUM(AE141:AE147)</f>
        <v>109.74073278</v>
      </c>
      <c r="AF148" s="281">
        <f t="shared" ref="AF148:AG148" si="89">SUM(AF141:AF147)</f>
        <v>64.895475300000001</v>
      </c>
      <c r="AG148" s="281">
        <f t="shared" si="89"/>
        <v>169.34870050000001</v>
      </c>
    </row>
    <row r="149" spans="1:33">
      <c r="A149" s="277"/>
      <c r="B149" s="294"/>
      <c r="C149" s="279"/>
      <c r="D149" s="279"/>
      <c r="E149" s="279"/>
      <c r="F149" s="279"/>
      <c r="G149" s="279"/>
      <c r="H149" s="279"/>
      <c r="I149" s="279"/>
      <c r="J149" s="279"/>
      <c r="K149" s="279"/>
      <c r="L149" s="279"/>
      <c r="M149" s="279"/>
      <c r="N149" s="279"/>
      <c r="O149" s="279"/>
      <c r="P149" s="279"/>
      <c r="Q149" s="279"/>
      <c r="R149" s="279"/>
      <c r="S149" s="279"/>
      <c r="T149" s="279"/>
      <c r="U149" s="279"/>
      <c r="V149" s="279"/>
      <c r="W149" s="279"/>
      <c r="X149" s="279"/>
      <c r="Y149" s="279"/>
      <c r="Z149" s="279"/>
      <c r="AA149" s="279"/>
      <c r="AB149" s="279"/>
      <c r="AC149" s="279"/>
      <c r="AD149" s="279"/>
      <c r="AE149" s="279"/>
      <c r="AF149" s="279"/>
      <c r="AG149" s="279"/>
    </row>
    <row r="150" spans="1:33">
      <c r="A150" s="277"/>
      <c r="B150" s="293" t="s">
        <v>788</v>
      </c>
      <c r="C150" s="280">
        <f>Wind!U64</f>
        <v>118.6474</v>
      </c>
      <c r="D150" s="280">
        <f>Wind!V64</f>
        <v>76.492610659999997</v>
      </c>
      <c r="E150" s="280">
        <f>Wind!W64</f>
        <v>159.28016308000002</v>
      </c>
      <c r="F150" s="280">
        <f>Wind!X64</f>
        <v>178.75320053000002</v>
      </c>
      <c r="G150" s="280">
        <f>Wind!Y64</f>
        <v>56.795126020000005</v>
      </c>
      <c r="H150" s="280">
        <f>Wind!Z64</f>
        <v>127.11759427</v>
      </c>
      <c r="I150" s="280">
        <f>Wind!AA64</f>
        <v>158.35047878</v>
      </c>
      <c r="J150" s="280">
        <f>Wind!AB64</f>
        <v>227.11832190000001</v>
      </c>
      <c r="K150" s="280"/>
      <c r="L150" s="280">
        <f>Wind!CB64</f>
        <v>0</v>
      </c>
      <c r="M150" s="280">
        <f>Wind!CC64</f>
        <v>180.12350000000001</v>
      </c>
      <c r="N150" s="280">
        <f>Wind!CD64</f>
        <v>0</v>
      </c>
      <c r="O150" s="280">
        <f>Wind!CE64</f>
        <v>178.75320053000002</v>
      </c>
      <c r="P150" s="280">
        <f>Wind!CF64</f>
        <v>123.91603814</v>
      </c>
      <c r="Q150" s="280">
        <f>Wind!CG64</f>
        <v>93.97572375</v>
      </c>
      <c r="R150" s="280">
        <f>Wind!CH64</f>
        <v>84.333413419999999</v>
      </c>
      <c r="S150" s="280">
        <f>Wind!CI64</f>
        <v>56.795126020000005</v>
      </c>
      <c r="T150" s="280">
        <f>Wind!CJ64</f>
        <v>138.78598416</v>
      </c>
      <c r="U150" s="280">
        <f>Wind!CK64</f>
        <v>174.13830253</v>
      </c>
      <c r="V150" s="280">
        <f>Wind!CL64</f>
        <v>102.3514431</v>
      </c>
      <c r="W150" s="280">
        <f>Wind!CM64</f>
        <v>127.11759427</v>
      </c>
      <c r="X150" s="280">
        <f>Wind!CN64</f>
        <v>209.09802547999999</v>
      </c>
      <c r="Y150" s="280">
        <f>Wind!CO64</f>
        <v>347.65810812000001</v>
      </c>
      <c r="Z150" s="280">
        <f>Wind!CP64</f>
        <v>356.56909438999998</v>
      </c>
      <c r="AA150" s="280">
        <f>Wind!CQ64</f>
        <v>158.35047878</v>
      </c>
      <c r="AB150" s="280">
        <f>Wind!CR64</f>
        <v>130.21218475000001</v>
      </c>
      <c r="AC150" s="280">
        <f>Wind!CS64</f>
        <v>155.70038059999999</v>
      </c>
      <c r="AD150" s="280">
        <f>Wind!CT64</f>
        <v>253.26924102999999</v>
      </c>
      <c r="AE150" s="280">
        <f>Wind!CU64</f>
        <v>227.11832190000001</v>
      </c>
      <c r="AF150" s="280">
        <f>Wind!CV64</f>
        <v>224.82655099000002</v>
      </c>
      <c r="AG150" s="280">
        <f>Wind!CW64</f>
        <v>323.11968311000004</v>
      </c>
    </row>
    <row r="151" spans="1:33">
      <c r="A151" s="277"/>
      <c r="B151" s="293" t="s">
        <v>787</v>
      </c>
      <c r="C151" s="280">
        <f>Wind!U61</f>
        <v>250</v>
      </c>
      <c r="D151" s="280">
        <f>Wind!V61</f>
        <v>0</v>
      </c>
      <c r="E151" s="280">
        <f>Wind!W61</f>
        <v>0</v>
      </c>
      <c r="F151" s="280">
        <f>Wind!X61</f>
        <v>50</v>
      </c>
      <c r="G151" s="280">
        <f>Wind!Y61</f>
        <v>301.26191781</v>
      </c>
      <c r="H151" s="280">
        <f>Wind!Z61</f>
        <v>2037.1554293800002</v>
      </c>
      <c r="I151" s="280">
        <f>Wind!AA61</f>
        <v>1238.5533984000001</v>
      </c>
      <c r="J151" s="280">
        <f>Wind!AB61</f>
        <v>4897.2055864200001</v>
      </c>
      <c r="K151" s="280"/>
      <c r="L151" s="280">
        <f>Wind!CB61</f>
        <v>0</v>
      </c>
      <c r="M151" s="280">
        <f>Wind!CC61</f>
        <v>0</v>
      </c>
      <c r="N151" s="280">
        <f>Wind!CD61</f>
        <v>0</v>
      </c>
      <c r="O151" s="280">
        <f>Wind!CE61</f>
        <v>50</v>
      </c>
      <c r="P151" s="280">
        <f>Wind!CF61</f>
        <v>420</v>
      </c>
      <c r="Q151" s="280">
        <f>Wind!CG61</f>
        <v>638.80035211000006</v>
      </c>
      <c r="R151" s="280">
        <f>Wind!CH61</f>
        <v>208.06624778</v>
      </c>
      <c r="S151" s="280">
        <f>Wind!CI61</f>
        <v>301.26191781</v>
      </c>
      <c r="T151" s="280">
        <f>Wind!CJ61</f>
        <v>401.62803773000002</v>
      </c>
      <c r="U151" s="280">
        <f>Wind!CK61</f>
        <v>859.38363809999998</v>
      </c>
      <c r="V151" s="280">
        <f>Wind!CL61</f>
        <v>1929.1278538499998</v>
      </c>
      <c r="W151" s="280">
        <f>Wind!CM61</f>
        <v>2037.1554293800002</v>
      </c>
      <c r="X151" s="280">
        <f>Wind!CN61</f>
        <v>2762.0897082900001</v>
      </c>
      <c r="Y151" s="280">
        <f>Wind!CO61</f>
        <v>2393.7710198099999</v>
      </c>
      <c r="Z151" s="280">
        <f>Wind!CP61</f>
        <v>1368.4266416600001</v>
      </c>
      <c r="AA151" s="280">
        <f>Wind!CQ61</f>
        <v>1238.5533984000001</v>
      </c>
      <c r="AB151" s="280">
        <f>Wind!CR61</f>
        <v>1370.2025911199999</v>
      </c>
      <c r="AC151" s="280">
        <f>Wind!CS61</f>
        <v>1137.3717537</v>
      </c>
      <c r="AD151" s="280">
        <f>Wind!CT61</f>
        <v>3143.4950296300003</v>
      </c>
      <c r="AE151" s="280">
        <f>Wind!CU61</f>
        <v>4897.2055864200001</v>
      </c>
      <c r="AF151" s="280">
        <f>Wind!CV61</f>
        <v>4182.9090491799998</v>
      </c>
      <c r="AG151" s="280">
        <f>Wind!CW61</f>
        <v>3912.7479715700001</v>
      </c>
    </row>
    <row r="152" spans="1:33">
      <c r="A152" s="277"/>
      <c r="B152" s="293" t="s">
        <v>786</v>
      </c>
      <c r="C152" s="280">
        <f>Wind!U75</f>
        <v>0</v>
      </c>
      <c r="D152" s="280">
        <f>Wind!V75</f>
        <v>0</v>
      </c>
      <c r="E152" s="280">
        <f>Wind!W75</f>
        <v>0</v>
      </c>
      <c r="F152" s="280">
        <f>Wind!X75</f>
        <v>0</v>
      </c>
      <c r="G152" s="280">
        <f>Wind!Y75</f>
        <v>0</v>
      </c>
      <c r="H152" s="280">
        <f>Wind!Z75</f>
        <v>0</v>
      </c>
      <c r="I152" s="280">
        <f>Wind!AA75</f>
        <v>0</v>
      </c>
      <c r="J152" s="280">
        <f>Wind!AB75</f>
        <v>0</v>
      </c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  <c r="AA152" s="280"/>
      <c r="AB152" s="280"/>
      <c r="AC152" s="280"/>
      <c r="AD152" s="280"/>
      <c r="AE152" s="280"/>
      <c r="AF152" s="280"/>
      <c r="AG152" s="280"/>
    </row>
    <row r="153" spans="1:33">
      <c r="A153" s="277"/>
      <c r="B153" s="293" t="s">
        <v>785</v>
      </c>
      <c r="C153" s="280">
        <f>Wind!U76+Wind!U74</f>
        <v>270.57760000000002</v>
      </c>
      <c r="D153" s="280">
        <f>Wind!V76+Wind!V74</f>
        <v>78.179511109999993</v>
      </c>
      <c r="E153" s="280">
        <f>Wind!W76+Wind!W74</f>
        <v>89.903657490000001</v>
      </c>
      <c r="F153" s="280">
        <f>Wind!X76+Wind!X74</f>
        <v>204.79585264000002</v>
      </c>
      <c r="G153" s="280">
        <f>Wind!Y76+Wind!Y74</f>
        <v>1091.2723341000001</v>
      </c>
      <c r="H153" s="280">
        <f>Wind!Z76+Wind!Z74</f>
        <v>2489.36413322</v>
      </c>
      <c r="I153" s="280">
        <f>Wind!AA76+Wind!AA74</f>
        <v>656.73404778000008</v>
      </c>
      <c r="J153" s="280">
        <f>Wind!AB76+Wind!AB74</f>
        <v>750.92598657000008</v>
      </c>
      <c r="K153" s="280"/>
      <c r="L153" s="280">
        <f>Wind!CB76</f>
        <v>0</v>
      </c>
      <c r="M153" s="280">
        <f>Wind!CC76+Wind!CC74</f>
        <v>77.513099999999994</v>
      </c>
      <c r="N153" s="280">
        <f>Wind!CD76</f>
        <v>0</v>
      </c>
      <c r="O153" s="280">
        <f>Wind!CE76+Wind!CE74</f>
        <v>204.79585264000002</v>
      </c>
      <c r="P153" s="280">
        <f>Wind!CF76+Wind!CF74</f>
        <v>172.68357229</v>
      </c>
      <c r="Q153" s="280">
        <f>Wind!CG76+Wind!CG74</f>
        <v>395.62162348000004</v>
      </c>
      <c r="R153" s="280">
        <f>Wind!CH76+Wind!CH74</f>
        <v>938.92038703000003</v>
      </c>
      <c r="S153" s="280">
        <f>Wind!CI76+Wind!CI74</f>
        <v>1091.2723341000001</v>
      </c>
      <c r="T153" s="280">
        <f>Wind!CJ76+Wind!CJ74</f>
        <v>1595.01343535</v>
      </c>
      <c r="U153" s="280">
        <f>Wind!CK76+Wind!CK74</f>
        <v>2489.4085798799997</v>
      </c>
      <c r="V153" s="280">
        <f>Wind!CL76+Wind!CL74</f>
        <v>2436.4840772199996</v>
      </c>
      <c r="W153" s="280">
        <f>Wind!CM76+Wind!CM74</f>
        <v>2489.36413322</v>
      </c>
      <c r="X153" s="280">
        <f>Wind!CN76+Wind!CN74</f>
        <v>2145.1593005599998</v>
      </c>
      <c r="Y153" s="280">
        <f>Wind!CO76+Wind!CO74</f>
        <v>1372.2765822199999</v>
      </c>
      <c r="Z153" s="280">
        <f>Wind!CP76+Wind!CP74</f>
        <v>1252.21356016</v>
      </c>
      <c r="AA153" s="280">
        <f>Wind!CQ76+Wind!CQ74</f>
        <v>656.73404778000008</v>
      </c>
      <c r="AB153" s="280">
        <f>Wind!CR76+Wind!CR74</f>
        <v>364.50669844999999</v>
      </c>
      <c r="AC153" s="280">
        <f>Wind!CS76+Wind!CS74</f>
        <v>426.32673740999996</v>
      </c>
      <c r="AD153" s="280">
        <f>Wind!CT76+Wind!CT74</f>
        <v>611.08575051000003</v>
      </c>
      <c r="AE153" s="280">
        <f>Wind!CU76+Wind!CU74</f>
        <v>750.92598657000008</v>
      </c>
      <c r="AF153" s="280">
        <f>Wind!CV76+Wind!CV74</f>
        <v>889.29419472999996</v>
      </c>
      <c r="AG153" s="280">
        <f>Wind!CW76+Wind!CW74</f>
        <v>1933.87026939</v>
      </c>
    </row>
    <row r="154" spans="1:33">
      <c r="A154" s="277"/>
      <c r="B154" s="293" t="s">
        <v>784</v>
      </c>
      <c r="C154" s="280">
        <f>Wind!U70</f>
        <v>0</v>
      </c>
      <c r="D154" s="280">
        <f>Wind!V70</f>
        <v>0</v>
      </c>
      <c r="E154" s="280">
        <f>Wind!W70</f>
        <v>0</v>
      </c>
      <c r="F154" s="280">
        <f>Wind!X70</f>
        <v>0</v>
      </c>
      <c r="G154" s="280">
        <f>Wind!Y70</f>
        <v>0</v>
      </c>
      <c r="H154" s="280">
        <f>Wind!Z70</f>
        <v>0</v>
      </c>
      <c r="I154" s="280">
        <f>Wind!AA70</f>
        <v>0</v>
      </c>
      <c r="J154" s="280">
        <f>Wind!AB70</f>
        <v>0</v>
      </c>
      <c r="K154" s="280"/>
      <c r="L154" s="280">
        <f>Wind!CB70</f>
        <v>0</v>
      </c>
      <c r="M154" s="280">
        <f>Wind!CC70</f>
        <v>0</v>
      </c>
      <c r="N154" s="280">
        <f>Wind!CD70</f>
        <v>0</v>
      </c>
      <c r="O154" s="280">
        <f>Wind!CE70</f>
        <v>0</v>
      </c>
      <c r="P154" s="280">
        <f>Wind!CF70</f>
        <v>0</v>
      </c>
      <c r="Q154" s="280">
        <f>Wind!CG70</f>
        <v>0</v>
      </c>
      <c r="R154" s="280">
        <f>Wind!CH70</f>
        <v>0</v>
      </c>
      <c r="S154" s="280">
        <f>Wind!CI70</f>
        <v>0</v>
      </c>
      <c r="T154" s="280">
        <f>Wind!CJ70</f>
        <v>0</v>
      </c>
      <c r="U154" s="280">
        <f>Wind!CK70</f>
        <v>0</v>
      </c>
      <c r="V154" s="280">
        <f>Wind!CL70</f>
        <v>0</v>
      </c>
      <c r="W154" s="280">
        <f>Wind!CM70</f>
        <v>0</v>
      </c>
      <c r="X154" s="280">
        <f>Wind!CN70</f>
        <v>0</v>
      </c>
      <c r="Y154" s="280">
        <f>Wind!CO70</f>
        <v>0</v>
      </c>
      <c r="Z154" s="280">
        <f>Wind!CP70</f>
        <v>0</v>
      </c>
      <c r="AA154" s="280">
        <f>Wind!CQ70</f>
        <v>0</v>
      </c>
      <c r="AB154" s="280">
        <f>Wind!CR70</f>
        <v>0</v>
      </c>
      <c r="AC154" s="280">
        <f>Wind!CS70</f>
        <v>5.3627513899999997</v>
      </c>
      <c r="AD154" s="280">
        <f>Wind!CT70</f>
        <v>11.276472699999999</v>
      </c>
      <c r="AE154" s="280">
        <f>Wind!CU70</f>
        <v>0</v>
      </c>
      <c r="AF154" s="280">
        <f>Wind!CV70</f>
        <v>0</v>
      </c>
      <c r="AG154" s="280">
        <f>Wind!CW70</f>
        <v>0</v>
      </c>
    </row>
    <row r="155" spans="1:33">
      <c r="A155" s="277"/>
      <c r="B155" s="293" t="s">
        <v>783</v>
      </c>
      <c r="C155" s="280">
        <f>Wind!U78</f>
        <v>0</v>
      </c>
      <c r="D155" s="280">
        <f>Wind!V78</f>
        <v>0</v>
      </c>
      <c r="E155" s="280">
        <f>Wind!W78</f>
        <v>0</v>
      </c>
      <c r="F155" s="280">
        <f>Wind!X78</f>
        <v>0</v>
      </c>
      <c r="G155" s="280">
        <f>Wind!Y78</f>
        <v>0</v>
      </c>
      <c r="H155" s="280">
        <f>Wind!Z78</f>
        <v>0</v>
      </c>
      <c r="I155" s="280">
        <f>Wind!AA78</f>
        <v>0</v>
      </c>
      <c r="J155" s="280">
        <f>Wind!AB78</f>
        <v>0</v>
      </c>
      <c r="K155" s="280"/>
      <c r="L155" s="280"/>
      <c r="M155" s="280"/>
      <c r="N155" s="280"/>
      <c r="O155" s="280"/>
      <c r="P155" s="280"/>
      <c r="Q155" s="280"/>
      <c r="R155" s="280"/>
      <c r="S155" s="280"/>
      <c r="T155" s="280"/>
      <c r="U155" s="280"/>
      <c r="V155" s="280"/>
      <c r="W155" s="280"/>
      <c r="X155" s="280"/>
      <c r="Y155" s="280"/>
      <c r="Z155" s="280"/>
      <c r="AA155" s="280"/>
      <c r="AB155" s="280"/>
      <c r="AC155" s="280"/>
      <c r="AD155" s="280"/>
      <c r="AE155" s="280"/>
      <c r="AF155" s="280"/>
      <c r="AG155" s="280"/>
    </row>
    <row r="156" spans="1:33">
      <c r="A156" s="277"/>
      <c r="B156" s="140" t="s">
        <v>782</v>
      </c>
      <c r="C156" s="279"/>
      <c r="D156" s="279"/>
      <c r="E156" s="279"/>
      <c r="F156" s="279"/>
      <c r="G156" s="279"/>
      <c r="H156" s="279"/>
      <c r="I156" s="279"/>
      <c r="J156" s="279"/>
      <c r="K156" s="279"/>
      <c r="L156" s="279"/>
      <c r="M156" s="279"/>
      <c r="N156" s="279"/>
      <c r="O156" s="279"/>
      <c r="P156" s="279"/>
      <c r="Q156" s="279"/>
      <c r="R156" s="279"/>
      <c r="S156" s="279"/>
      <c r="T156" s="279"/>
      <c r="U156" s="279"/>
      <c r="V156" s="279"/>
      <c r="W156" s="279"/>
      <c r="X156" s="279"/>
      <c r="Y156" s="279"/>
      <c r="Z156" s="279"/>
      <c r="AA156" s="279"/>
      <c r="AB156" s="279"/>
      <c r="AC156" s="279"/>
      <c r="AD156" s="279"/>
      <c r="AE156" s="279"/>
      <c r="AF156" s="279"/>
      <c r="AG156" s="279"/>
    </row>
    <row r="157" spans="1:33" s="85" customFormat="1">
      <c r="A157" s="276"/>
      <c r="B157" s="292" t="s">
        <v>175</v>
      </c>
      <c r="C157" s="281">
        <f t="shared" ref="C157:I157" si="90">SUM(C150:C155)</f>
        <v>639.22500000000002</v>
      </c>
      <c r="D157" s="281">
        <f t="shared" si="90"/>
        <v>154.67212176999999</v>
      </c>
      <c r="E157" s="281">
        <f t="shared" si="90"/>
        <v>249.18382057000002</v>
      </c>
      <c r="F157" s="281">
        <f t="shared" si="90"/>
        <v>433.54905317000004</v>
      </c>
      <c r="G157" s="281">
        <f t="shared" si="90"/>
        <v>1449.3293779300002</v>
      </c>
      <c r="H157" s="281">
        <f t="shared" si="90"/>
        <v>4653.6371568699997</v>
      </c>
      <c r="I157" s="281">
        <f t="shared" si="90"/>
        <v>2053.6379249600004</v>
      </c>
      <c r="J157" s="281">
        <f>SUM(J150:J155)</f>
        <v>5875.2498948900011</v>
      </c>
      <c r="K157" s="281"/>
      <c r="L157" s="281">
        <f t="shared" ref="L157:R157" si="91">SUM(L150:L155)</f>
        <v>0</v>
      </c>
      <c r="M157" s="281">
        <f t="shared" si="91"/>
        <v>257.63659999999999</v>
      </c>
      <c r="N157" s="281">
        <f t="shared" si="91"/>
        <v>0</v>
      </c>
      <c r="O157" s="281">
        <f t="shared" si="91"/>
        <v>433.54905317000004</v>
      </c>
      <c r="P157" s="281">
        <f t="shared" si="91"/>
        <v>716.59961042999998</v>
      </c>
      <c r="Q157" s="281">
        <f t="shared" si="91"/>
        <v>1128.3976993400001</v>
      </c>
      <c r="R157" s="281">
        <f t="shared" si="91"/>
        <v>1231.3200482299999</v>
      </c>
      <c r="S157" s="281">
        <f t="shared" ref="S157:AB157" si="92">SUM(S150:S155)</f>
        <v>1449.3293779300002</v>
      </c>
      <c r="T157" s="281">
        <f t="shared" si="92"/>
        <v>2135.42745724</v>
      </c>
      <c r="U157" s="281">
        <f t="shared" si="92"/>
        <v>3522.93052051</v>
      </c>
      <c r="V157" s="281">
        <f t="shared" si="92"/>
        <v>4467.96337417</v>
      </c>
      <c r="W157" s="281">
        <f t="shared" si="92"/>
        <v>4653.6371568699997</v>
      </c>
      <c r="X157" s="281">
        <f t="shared" si="92"/>
        <v>5116.3470343299996</v>
      </c>
      <c r="Y157" s="281">
        <f t="shared" si="92"/>
        <v>4113.7057101499995</v>
      </c>
      <c r="Z157" s="281">
        <f t="shared" si="92"/>
        <v>2977.20929621</v>
      </c>
      <c r="AA157" s="281">
        <f t="shared" si="92"/>
        <v>2053.6379249600004</v>
      </c>
      <c r="AB157" s="281">
        <f t="shared" si="92"/>
        <v>1864.9214743199998</v>
      </c>
      <c r="AC157" s="281">
        <f>SUM(AC150:AC155)</f>
        <v>1724.7616231000002</v>
      </c>
      <c r="AD157" s="281">
        <f>SUM(AD150:AD155)</f>
        <v>4019.1264938700001</v>
      </c>
      <c r="AE157" s="281">
        <f>SUM(AE150:AE155)</f>
        <v>5875.2498948900011</v>
      </c>
      <c r="AF157" s="281">
        <f t="shared" ref="AF157" si="93">SUM(AF150:AF155)</f>
        <v>5297.0297948999996</v>
      </c>
      <c r="AG157" s="281">
        <f t="shared" ref="AG157" si="94">SUM(AG150:AG155)</f>
        <v>6169.7379240699993</v>
      </c>
    </row>
    <row r="158" spans="1:33">
      <c r="A158" s="277"/>
      <c r="C158" s="279"/>
      <c r="D158" s="279"/>
      <c r="E158" s="279"/>
      <c r="F158" s="279"/>
      <c r="G158" s="279"/>
      <c r="H158" s="279"/>
      <c r="I158" s="279"/>
      <c r="J158" s="279"/>
      <c r="K158" s="279"/>
      <c r="L158" s="279"/>
      <c r="M158" s="279"/>
      <c r="N158" s="279"/>
      <c r="O158" s="279"/>
      <c r="P158" s="279"/>
      <c r="Q158" s="279"/>
      <c r="R158" s="279"/>
      <c r="S158" s="279"/>
      <c r="T158" s="279"/>
      <c r="U158" s="279"/>
      <c r="V158" s="279"/>
      <c r="W158" s="279"/>
      <c r="X158" s="279"/>
      <c r="Y158" s="279"/>
      <c r="Z158" s="279"/>
      <c r="AA158" s="279"/>
      <c r="AB158" s="279"/>
      <c r="AC158" s="279"/>
      <c r="AD158" s="279"/>
      <c r="AE158" s="279"/>
      <c r="AF158" s="279"/>
      <c r="AG158" s="279"/>
    </row>
    <row r="159" spans="1:33" s="85" customFormat="1">
      <c r="A159" s="276"/>
      <c r="B159" s="282" t="s">
        <v>164</v>
      </c>
      <c r="C159" s="281">
        <f t="shared" ref="C159:I159" si="95">C157+C148+C133+C127+C118+C111+C104+C139</f>
        <v>2051.0101999999997</v>
      </c>
      <c r="D159" s="281">
        <f t="shared" si="95"/>
        <v>2107.52573007</v>
      </c>
      <c r="E159" s="281">
        <f t="shared" si="95"/>
        <v>3340.7002800100004</v>
      </c>
      <c r="F159" s="281">
        <f t="shared" si="95"/>
        <v>4361.2864222400003</v>
      </c>
      <c r="G159" s="281">
        <f t="shared" si="95"/>
        <v>7790.4911589799995</v>
      </c>
      <c r="H159" s="281">
        <f t="shared" si="95"/>
        <v>11869.648285859999</v>
      </c>
      <c r="I159" s="281">
        <f t="shared" si="95"/>
        <v>14710.04991267</v>
      </c>
      <c r="J159" s="281">
        <f>J157+J148+J133+J127+J118+J111+J104+J139</f>
        <v>22676.296132900003</v>
      </c>
      <c r="K159" s="281"/>
      <c r="L159" s="281">
        <f t="shared" ref="L159:R159" si="96">L157+L148+L133+L127+L118+L111+L104+L139</f>
        <v>0</v>
      </c>
      <c r="M159" s="281">
        <f t="shared" si="96"/>
        <v>3730.6430999999998</v>
      </c>
      <c r="N159" s="281">
        <f t="shared" si="96"/>
        <v>0</v>
      </c>
      <c r="O159" s="281">
        <f t="shared" si="96"/>
        <v>4361.2850222400002</v>
      </c>
      <c r="P159" s="281">
        <f t="shared" si="96"/>
        <v>4661.1853753700007</v>
      </c>
      <c r="Q159" s="281">
        <f t="shared" si="96"/>
        <v>7096.9261021200009</v>
      </c>
      <c r="R159" s="281">
        <f t="shared" si="96"/>
        <v>6678.7430220200004</v>
      </c>
      <c r="S159" s="281">
        <f t="shared" ref="S159:AB159" si="97">S157+S148+S133+S127+S118+S111+S104+S139</f>
        <v>7790.4911589799995</v>
      </c>
      <c r="T159" s="281">
        <f t="shared" si="97"/>
        <v>8878.8325682199975</v>
      </c>
      <c r="U159" s="281">
        <f t="shared" si="97"/>
        <v>9647.5299397599993</v>
      </c>
      <c r="V159" s="281">
        <f t="shared" si="97"/>
        <v>10459.094864229999</v>
      </c>
      <c r="W159" s="281">
        <f t="shared" si="97"/>
        <v>11869.648285859999</v>
      </c>
      <c r="X159" s="281">
        <f t="shared" si="97"/>
        <v>12793.193852740002</v>
      </c>
      <c r="Y159" s="281">
        <f t="shared" si="97"/>
        <v>13515.5481483</v>
      </c>
      <c r="Z159" s="281">
        <f t="shared" si="97"/>
        <v>14601.029406509999</v>
      </c>
      <c r="AA159" s="281">
        <f t="shared" si="97"/>
        <v>14710.04991267</v>
      </c>
      <c r="AB159" s="281">
        <f t="shared" si="97"/>
        <v>15796.670995089999</v>
      </c>
      <c r="AC159" s="281">
        <f>AC157+AC148+AC133+AC127+AC118+AC111+AC104+AC139</f>
        <v>18647.327195540001</v>
      </c>
      <c r="AD159" s="281">
        <f>AD157+AD148+AD133+AD127+AD118+AD111+AD104+AD139</f>
        <v>19852.622408769999</v>
      </c>
      <c r="AE159" s="281">
        <f>AE157+AE148+AE133+AE127+AE118+AE111+AE104+AE139</f>
        <v>22676.296132900003</v>
      </c>
      <c r="AF159" s="281">
        <f t="shared" ref="AF159" si="98">AF157+AF148+AF133+AF127+AF118+AF111+AF104+AF139</f>
        <v>22634.165087669997</v>
      </c>
      <c r="AG159" s="281">
        <f t="shared" ref="AG159" si="99">AG157+AG148+AG133+AG127+AG118+AG111+AG104+AG139</f>
        <v>22915.401434980002</v>
      </c>
    </row>
    <row r="160" spans="1:33" s="273" customFormat="1">
      <c r="A160" s="274"/>
      <c r="B160" s="275" t="s">
        <v>657</v>
      </c>
      <c r="C160" s="273">
        <f>+Wind!U108-'Raw Data'!C159</f>
        <v>4.2000000003099558E-3</v>
      </c>
      <c r="D160" s="273">
        <f>+Wind!V108-'Raw Data'!D159</f>
        <v>-4.2730000131996349E-5</v>
      </c>
      <c r="E160" s="273">
        <f>+Wind!W108-'Raw Data'!E159</f>
        <v>2.7269999918644316E-5</v>
      </c>
      <c r="F160" s="273">
        <f>+Wind!X108-'Raw Data'!F159</f>
        <v>2.516999938961817E-5</v>
      </c>
      <c r="G160" s="273">
        <f>+Wind!Y108-'Raw Data'!G159</f>
        <v>0</v>
      </c>
      <c r="H160" s="273">
        <f>+Wind!Z108-'Raw Data'!H159</f>
        <v>0</v>
      </c>
      <c r="I160" s="273">
        <f>+Wind!AA108-'Raw Data'!I159</f>
        <v>0</v>
      </c>
      <c r="J160" s="273">
        <f>+Wind!AB108-'Raw Data'!J159</f>
        <v>0</v>
      </c>
    </row>
    <row r="161" spans="1:33">
      <c r="A161" s="277"/>
      <c r="C161" s="279"/>
      <c r="D161" s="279"/>
      <c r="E161" s="279"/>
      <c r="F161" s="279"/>
      <c r="G161" s="279"/>
      <c r="H161" s="279"/>
      <c r="I161" s="279"/>
      <c r="J161" s="279"/>
      <c r="K161" s="279"/>
      <c r="L161" s="279"/>
      <c r="M161" s="279"/>
      <c r="N161" s="279"/>
      <c r="O161" s="279"/>
      <c r="P161" s="279"/>
      <c r="Q161" s="279"/>
      <c r="R161" s="279"/>
      <c r="S161" s="279"/>
      <c r="T161" s="279"/>
      <c r="U161" s="279"/>
      <c r="V161" s="279"/>
      <c r="W161" s="279"/>
      <c r="X161" s="279"/>
      <c r="Y161" s="279"/>
      <c r="Z161" s="279"/>
      <c r="AA161" s="279"/>
      <c r="AB161" s="279"/>
      <c r="AC161" s="279"/>
      <c r="AD161" s="279"/>
      <c r="AE161" s="279"/>
      <c r="AF161" s="279"/>
      <c r="AG161" s="279"/>
    </row>
    <row r="162" spans="1:33">
      <c r="A162" s="277"/>
      <c r="B162" s="988" t="s">
        <v>781</v>
      </c>
      <c r="C162" s="989"/>
      <c r="D162" s="989"/>
      <c r="E162" s="989"/>
      <c r="F162" s="989"/>
      <c r="G162" s="989"/>
      <c r="H162" s="989"/>
      <c r="I162" s="989"/>
      <c r="J162" s="989"/>
      <c r="K162" s="279"/>
      <c r="L162" s="989"/>
      <c r="M162" s="989"/>
      <c r="N162" s="989"/>
      <c r="O162" s="989"/>
      <c r="P162" s="989"/>
      <c r="Q162" s="989"/>
      <c r="R162" s="989"/>
      <c r="S162" s="989"/>
      <c r="T162" s="989"/>
      <c r="U162" s="989"/>
      <c r="V162" s="989"/>
      <c r="W162" s="989"/>
      <c r="X162" s="989"/>
      <c r="Y162" s="989"/>
      <c r="Z162" s="989"/>
      <c r="AA162" s="989"/>
      <c r="AB162" s="989"/>
      <c r="AC162" s="989"/>
      <c r="AD162" s="989"/>
      <c r="AE162" s="989"/>
      <c r="AF162" s="989"/>
      <c r="AG162" s="989"/>
    </row>
    <row r="163" spans="1:33">
      <c r="A163" s="277"/>
      <c r="B163" s="988" t="s">
        <v>161</v>
      </c>
      <c r="C163" s="989"/>
      <c r="D163" s="989"/>
      <c r="E163" s="989"/>
      <c r="F163" s="989"/>
      <c r="G163" s="989"/>
      <c r="H163" s="989"/>
      <c r="I163" s="989"/>
      <c r="J163" s="989"/>
      <c r="K163" s="279"/>
      <c r="L163" s="989"/>
      <c r="M163" s="989"/>
      <c r="N163" s="989"/>
      <c r="O163" s="989"/>
      <c r="P163" s="989"/>
      <c r="Q163" s="989"/>
      <c r="R163" s="989"/>
      <c r="S163" s="989"/>
      <c r="T163" s="989"/>
      <c r="U163" s="989"/>
      <c r="V163" s="989"/>
      <c r="W163" s="989"/>
      <c r="X163" s="989"/>
      <c r="Y163" s="989"/>
      <c r="Z163" s="989"/>
      <c r="AA163" s="989"/>
      <c r="AB163" s="989"/>
      <c r="AC163" s="989"/>
      <c r="AD163" s="989"/>
      <c r="AE163" s="989"/>
      <c r="AF163" s="989"/>
      <c r="AG163" s="989"/>
    </row>
    <row r="164" spans="1:33">
      <c r="A164" s="277"/>
      <c r="B164" s="140" t="s">
        <v>780</v>
      </c>
      <c r="C164" s="279"/>
      <c r="D164" s="279"/>
      <c r="E164" s="279"/>
      <c r="F164" s="279"/>
      <c r="G164" s="279"/>
      <c r="H164" s="279"/>
      <c r="I164" s="279"/>
      <c r="J164" s="279"/>
      <c r="K164" s="279"/>
      <c r="L164" s="279"/>
      <c r="M164" s="279"/>
      <c r="N164" s="279"/>
      <c r="O164" s="279"/>
      <c r="P164" s="279"/>
      <c r="Q164" s="279"/>
      <c r="R164" s="279"/>
      <c r="S164" s="279"/>
      <c r="T164" s="279"/>
      <c r="U164" s="279"/>
      <c r="V164" s="279"/>
      <c r="W164" s="279"/>
      <c r="X164" s="279"/>
      <c r="Y164" s="279"/>
      <c r="Z164" s="279"/>
      <c r="AA164" s="279"/>
      <c r="AB164" s="279"/>
      <c r="AC164" s="279"/>
      <c r="AD164" s="279"/>
      <c r="AE164" s="279"/>
      <c r="AF164" s="279"/>
      <c r="AG164" s="279"/>
    </row>
    <row r="165" spans="1:33">
      <c r="A165" s="277"/>
      <c r="B165" s="140" t="s">
        <v>779</v>
      </c>
      <c r="C165" s="279"/>
      <c r="D165" s="279"/>
      <c r="E165" s="279"/>
      <c r="F165" s="279"/>
      <c r="G165" s="279"/>
      <c r="H165" s="279"/>
      <c r="I165" s="279"/>
      <c r="J165" s="279"/>
      <c r="K165" s="279"/>
      <c r="L165" s="279"/>
      <c r="M165" s="279"/>
      <c r="N165" s="279"/>
      <c r="O165" s="279"/>
      <c r="P165" s="279"/>
      <c r="Q165" s="279"/>
      <c r="R165" s="279"/>
      <c r="S165" s="279"/>
      <c r="T165" s="279"/>
      <c r="U165" s="279"/>
      <c r="V165" s="279"/>
      <c r="W165" s="279"/>
      <c r="X165" s="279"/>
      <c r="Y165" s="279"/>
      <c r="Z165" s="279"/>
      <c r="AA165" s="279"/>
      <c r="AB165" s="279"/>
      <c r="AC165" s="279"/>
      <c r="AD165" s="279"/>
      <c r="AE165" s="279"/>
      <c r="AF165" s="279"/>
      <c r="AG165" s="279"/>
    </row>
    <row r="166" spans="1:33">
      <c r="A166" s="277"/>
      <c r="B166" s="140" t="s">
        <v>778</v>
      </c>
      <c r="C166" s="280">
        <f>Wind!U116</f>
        <v>155.9367</v>
      </c>
      <c r="D166" s="280">
        <f>Wind!V116</f>
        <v>194.69269987000001</v>
      </c>
      <c r="E166" s="280">
        <f>Wind!W116</f>
        <v>304.39922982000002</v>
      </c>
      <c r="F166" s="280">
        <f>Wind!X116</f>
        <v>294.97952327999997</v>
      </c>
      <c r="G166" s="280">
        <f>Wind!Y116</f>
        <v>536.38885356000003</v>
      </c>
      <c r="H166" s="280">
        <f>Wind!Z116</f>
        <v>626.19575180999993</v>
      </c>
      <c r="I166" s="280">
        <f>Wind!AA116</f>
        <v>884.36001008000005</v>
      </c>
      <c r="J166" s="280">
        <f>Wind!AB116</f>
        <v>1255.32911842</v>
      </c>
      <c r="K166" s="280"/>
      <c r="L166" s="280">
        <f>Wind!CB116</f>
        <v>0</v>
      </c>
      <c r="M166" s="280">
        <f>Wind!CC116</f>
        <v>340.13720000000001</v>
      </c>
      <c r="N166" s="280">
        <f>Wind!CD116</f>
        <v>0</v>
      </c>
      <c r="O166" s="280">
        <f>Wind!CE116</f>
        <v>294.97952327999997</v>
      </c>
      <c r="P166" s="280">
        <f>Wind!CF116</f>
        <v>319.87720491000005</v>
      </c>
      <c r="Q166" s="280">
        <f>Wind!CG116</f>
        <v>545.35568000000001</v>
      </c>
      <c r="R166" s="280">
        <f>Wind!CH116</f>
        <v>398.51127217000004</v>
      </c>
      <c r="S166" s="280">
        <f>Wind!CI116</f>
        <v>536.38885356000003</v>
      </c>
      <c r="T166" s="280">
        <f>Wind!CJ116</f>
        <v>505.68528379000003</v>
      </c>
      <c r="U166" s="280">
        <f>Wind!CK116</f>
        <v>543.68542262000005</v>
      </c>
      <c r="V166" s="280">
        <f>Wind!CL116</f>
        <v>499.36803531999999</v>
      </c>
      <c r="W166" s="280">
        <f>Wind!CM116</f>
        <v>626.19575180999993</v>
      </c>
      <c r="X166" s="280">
        <f>Wind!CN116</f>
        <v>618.33308476000002</v>
      </c>
      <c r="Y166" s="280">
        <f>Wind!CO116</f>
        <v>716.39364658</v>
      </c>
      <c r="Z166" s="280">
        <f>Wind!CP116</f>
        <v>603.12643069000001</v>
      </c>
      <c r="AA166" s="280">
        <f>Wind!CQ116</f>
        <v>884.36001008000005</v>
      </c>
      <c r="AB166" s="280">
        <f>Wind!CR116</f>
        <v>723.53501046000008</v>
      </c>
      <c r="AC166" s="280">
        <f>Wind!CS116</f>
        <v>1184.6415639500001</v>
      </c>
      <c r="AD166" s="280">
        <f>Wind!CT116</f>
        <v>1051.1117534099999</v>
      </c>
      <c r="AE166" s="280">
        <f>Wind!CU116</f>
        <v>1255.32911842</v>
      </c>
      <c r="AF166" s="280">
        <f>Wind!CV116</f>
        <v>1150.7792688299999</v>
      </c>
      <c r="AG166" s="280">
        <f>Wind!CW116</f>
        <v>1377.8606929500002</v>
      </c>
    </row>
    <row r="167" spans="1:33">
      <c r="A167" s="277"/>
      <c r="B167" s="140" t="s">
        <v>777</v>
      </c>
      <c r="C167" s="280">
        <f>Wind!U115</f>
        <v>22.944099999999999</v>
      </c>
      <c r="D167" s="280">
        <f>Wind!V115</f>
        <v>15.421953800000001</v>
      </c>
      <c r="E167" s="280">
        <f>Wind!W115</f>
        <v>15</v>
      </c>
      <c r="F167" s="280">
        <f>Wind!X115</f>
        <v>3</v>
      </c>
      <c r="G167" s="280">
        <f>Wind!Y115</f>
        <v>18</v>
      </c>
      <c r="H167" s="280">
        <f>Wind!Z115</f>
        <v>25</v>
      </c>
      <c r="I167" s="280">
        <f>Wind!AA115</f>
        <v>31</v>
      </c>
      <c r="J167" s="280">
        <f>Wind!AB115</f>
        <v>10</v>
      </c>
      <c r="K167" s="280"/>
      <c r="L167" s="280">
        <f>Wind!CB115</f>
        <v>0</v>
      </c>
      <c r="M167" s="280">
        <f>Wind!CC115</f>
        <v>15.2</v>
      </c>
      <c r="N167" s="280">
        <f>Wind!CD115</f>
        <v>0</v>
      </c>
      <c r="O167" s="280">
        <f>Wind!CE115</f>
        <v>3</v>
      </c>
      <c r="P167" s="280">
        <f>Wind!CF115</f>
        <v>0</v>
      </c>
      <c r="Q167" s="280">
        <f>Wind!CG115</f>
        <v>0</v>
      </c>
      <c r="R167" s="280">
        <f>Wind!CH115</f>
        <v>0</v>
      </c>
      <c r="S167" s="280">
        <f>Wind!CI115</f>
        <v>18</v>
      </c>
      <c r="T167" s="280">
        <f>Wind!CJ115</f>
        <v>25</v>
      </c>
      <c r="U167" s="280">
        <f>Wind!CK115</f>
        <v>25</v>
      </c>
      <c r="V167" s="280">
        <f>Wind!CL115</f>
        <v>24</v>
      </c>
      <c r="W167" s="280">
        <f>Wind!CM115</f>
        <v>25</v>
      </c>
      <c r="X167" s="280">
        <f>Wind!CN115</f>
        <v>23</v>
      </c>
      <c r="Y167" s="280">
        <f>Wind!CO115</f>
        <v>23</v>
      </c>
      <c r="Z167" s="280">
        <f>Wind!CP115</f>
        <v>27</v>
      </c>
      <c r="AA167" s="280">
        <f>Wind!CQ115</f>
        <v>31</v>
      </c>
      <c r="AB167" s="280">
        <f>Wind!CR115</f>
        <v>27</v>
      </c>
      <c r="AC167" s="280">
        <f>Wind!CS115</f>
        <v>24</v>
      </c>
      <c r="AD167" s="280">
        <f>Wind!CT115</f>
        <v>15</v>
      </c>
      <c r="AE167" s="280">
        <f>Wind!CU115</f>
        <v>10</v>
      </c>
      <c r="AF167" s="280">
        <f>Wind!CV115</f>
        <v>6</v>
      </c>
      <c r="AG167" s="280">
        <f>Wind!CW115</f>
        <v>4</v>
      </c>
    </row>
    <row r="168" spans="1:33">
      <c r="A168" s="277"/>
      <c r="B168" s="140" t="s">
        <v>776</v>
      </c>
      <c r="C168" s="280">
        <f>Wind!U120+Wind!U121+Wind!U122+Wind!U123+Wind!U124</f>
        <v>160.9127</v>
      </c>
      <c r="D168" s="280">
        <f>Wind!V120+Wind!V121+Wind!V122+Wind!V123+Wind!V124</f>
        <v>106.78171274</v>
      </c>
      <c r="E168" s="280">
        <f>Wind!W120+Wind!W121+Wind!W122+Wind!W123+Wind!W124</f>
        <v>290.08681039000004</v>
      </c>
      <c r="F168" s="280">
        <f>Wind!X120+Wind!X121+Wind!X122+Wind!X123+Wind!X124</f>
        <v>223.61966530000001</v>
      </c>
      <c r="G168" s="280">
        <f>Wind!Y120+Wind!Y121+Wind!Y122+Wind!Y123+Wind!Y124</f>
        <v>874.59145024999998</v>
      </c>
      <c r="H168" s="280">
        <f>Wind!Z120+Wind!Z121+Wind!Z122+Wind!Z123+Wind!Z124</f>
        <v>1148.08766952</v>
      </c>
      <c r="I168" s="280">
        <f>Wind!AA120+Wind!AA121+Wind!AA122+Wind!AA123+Wind!AA124</f>
        <v>1335.2300288900001</v>
      </c>
      <c r="J168" s="280">
        <f>Wind!AB120+Wind!AB121+Wind!AB122+Wind!AB123+Wind!AB124</f>
        <v>1883.2629472600001</v>
      </c>
      <c r="K168" s="280"/>
      <c r="L168" s="280">
        <f>Wind!CB120+Wind!CB121+Wind!CB122+Wind!CB123+Wind!CB124</f>
        <v>0</v>
      </c>
      <c r="M168" s="280">
        <f>Wind!CC120+Wind!CC121+Wind!CC122+Wind!CC123+Wind!CC124</f>
        <v>753.24880000000007</v>
      </c>
      <c r="N168" s="280">
        <f>Wind!CD120+Wind!CD121+Wind!CD122+Wind!CD123+Wind!CD124</f>
        <v>0</v>
      </c>
      <c r="O168" s="280">
        <f>Wind!CE120+Wind!CE121+Wind!CE122+Wind!CE123+Wind!CE124</f>
        <v>634.90966530000003</v>
      </c>
      <c r="P168" s="280">
        <f>Wind!CF120+Wind!CF121+Wind!CF122+Wind!CF123+Wind!CF124</f>
        <v>793.36224550999998</v>
      </c>
      <c r="Q168" s="280">
        <f>Wind!CG120+Wind!CG121+Wind!CG122+Wind!CG123+Wind!CG124</f>
        <v>946.73731363999991</v>
      </c>
      <c r="R168" s="280">
        <f>Wind!CH120+Wind!CH121+Wind!CH122+Wind!CH123+Wind!CH124</f>
        <v>870.18745117000003</v>
      </c>
      <c r="S168" s="280">
        <f>Wind!CI120+Wind!CI121+Wind!CI122+Wind!CI123+Wind!CI124</f>
        <v>874.59145024999998</v>
      </c>
      <c r="T168" s="280">
        <f>Wind!CJ120+Wind!CJ121+Wind!CJ122+Wind!CJ123+Wind!CJ124</f>
        <v>1023.6368774399999</v>
      </c>
      <c r="U168" s="280">
        <f>Wind!CK120+Wind!CK121+Wind!CK122+Wind!CK123+Wind!CK124</f>
        <v>1023.8789724800001</v>
      </c>
      <c r="V168" s="280">
        <f>Wind!CL120+Wind!CL121+Wind!CL122+Wind!CL123+Wind!CL124</f>
        <v>494.34150450999994</v>
      </c>
      <c r="W168" s="280">
        <f>Wind!CM120+Wind!CM121+Wind!CM122+Wind!CM123+Wind!CM124</f>
        <v>1148.08766952</v>
      </c>
      <c r="X168" s="280">
        <f>Wind!CN120+Wind!CN121+Wind!CN122+Wind!CN123+Wind!CN124</f>
        <v>553.40170220000005</v>
      </c>
      <c r="Y168" s="280">
        <f>Wind!CO120+Wind!CO121+Wind!CO122+Wind!CO123+Wind!CO124</f>
        <v>1416.95389933</v>
      </c>
      <c r="Z168" s="280">
        <f>Wind!CP120+Wind!CP121+Wind!CP122+Wind!CP123+Wind!CP124</f>
        <v>566.90129864000005</v>
      </c>
      <c r="AA168" s="280">
        <f>Wind!CQ120+Wind!CQ121+Wind!CQ122+Wind!CQ123+Wind!CQ124</f>
        <v>1335.2300288900001</v>
      </c>
      <c r="AB168" s="280">
        <f>Wind!CR120+Wind!CR121+Wind!CR122+Wind!CR123+Wind!CR124</f>
        <v>519.58304956999996</v>
      </c>
      <c r="AC168" s="280">
        <f>Wind!CS120+Wind!CS121+Wind!CS122+Wind!CS123+Wind!CS124</f>
        <v>1650.6213293000001</v>
      </c>
      <c r="AD168" s="280">
        <f>Wind!CT120+Wind!CT121+Wind!CT122+Wind!CT123+Wind!CT124</f>
        <v>770.16940391000003</v>
      </c>
      <c r="AE168" s="280">
        <f>Wind!CU120+Wind!CU121+Wind!CU122+Wind!CU123+Wind!CU124</f>
        <v>1883.2629472600001</v>
      </c>
      <c r="AF168" s="280">
        <f>Wind!CV120+Wind!CV121+Wind!CV122+Wind!CV123+Wind!CV124</f>
        <v>790.61387323000008</v>
      </c>
      <c r="AG168" s="280">
        <f>Wind!CW120+Wind!CW121+Wind!CW122+Wind!CW123+Wind!CW124</f>
        <v>2378.3027004599999</v>
      </c>
    </row>
    <row r="169" spans="1:33">
      <c r="A169" s="277"/>
      <c r="B169" s="140" t="s">
        <v>775</v>
      </c>
      <c r="C169" s="279"/>
      <c r="D169" s="279"/>
      <c r="E169" s="279"/>
      <c r="F169" s="279"/>
      <c r="G169" s="279"/>
      <c r="H169" s="279"/>
      <c r="I169" s="279"/>
      <c r="J169" s="279"/>
      <c r="K169" s="279"/>
      <c r="L169" s="279"/>
      <c r="M169" s="279"/>
      <c r="N169" s="279"/>
      <c r="O169" s="279"/>
      <c r="P169" s="279"/>
      <c r="Q169" s="279"/>
      <c r="R169" s="279"/>
      <c r="S169" s="279"/>
      <c r="T169" s="279"/>
      <c r="U169" s="279"/>
      <c r="V169" s="279"/>
      <c r="W169" s="279"/>
      <c r="X169" s="279"/>
      <c r="Y169" s="279"/>
      <c r="Z169" s="279"/>
      <c r="AA169" s="279"/>
      <c r="AB169" s="279"/>
      <c r="AC169" s="279"/>
      <c r="AD169" s="279"/>
      <c r="AE169" s="279"/>
      <c r="AF169" s="279"/>
      <c r="AG169" s="279"/>
    </row>
    <row r="170" spans="1:33" s="85" customFormat="1">
      <c r="A170" s="276"/>
      <c r="B170" s="282" t="s">
        <v>774</v>
      </c>
      <c r="C170" s="281">
        <f t="shared" ref="C170:I170" si="100">SUM(C164:C169)</f>
        <v>339.79349999999999</v>
      </c>
      <c r="D170" s="281">
        <f t="shared" si="100"/>
        <v>316.89636641000004</v>
      </c>
      <c r="E170" s="281">
        <f t="shared" si="100"/>
        <v>609.48604021000006</v>
      </c>
      <c r="F170" s="281">
        <f t="shared" si="100"/>
        <v>521.59918857999992</v>
      </c>
      <c r="G170" s="281">
        <f t="shared" si="100"/>
        <v>1428.9803038099999</v>
      </c>
      <c r="H170" s="281">
        <f t="shared" si="100"/>
        <v>1799.2834213299998</v>
      </c>
      <c r="I170" s="281">
        <f t="shared" si="100"/>
        <v>2250.59003897</v>
      </c>
      <c r="J170" s="281">
        <f>SUM(J164:J169)</f>
        <v>3148.5920656799999</v>
      </c>
      <c r="K170" s="281"/>
      <c r="L170" s="281">
        <f t="shared" ref="L170:R170" si="101">SUM(L164:L169)</f>
        <v>0</v>
      </c>
      <c r="M170" s="281">
        <f t="shared" si="101"/>
        <v>1108.586</v>
      </c>
      <c r="N170" s="281">
        <f t="shared" si="101"/>
        <v>0</v>
      </c>
      <c r="O170" s="281">
        <f t="shared" si="101"/>
        <v>932.88918858</v>
      </c>
      <c r="P170" s="281">
        <f t="shared" si="101"/>
        <v>1113.2394504200001</v>
      </c>
      <c r="Q170" s="281">
        <f t="shared" si="101"/>
        <v>1492.0929936399998</v>
      </c>
      <c r="R170" s="281">
        <f t="shared" si="101"/>
        <v>1268.69872334</v>
      </c>
      <c r="S170" s="281">
        <f t="shared" ref="S170:AB170" si="102">SUM(S164:S169)</f>
        <v>1428.9803038099999</v>
      </c>
      <c r="T170" s="281">
        <f t="shared" si="102"/>
        <v>1554.3221612299999</v>
      </c>
      <c r="U170" s="281">
        <f t="shared" si="102"/>
        <v>1592.5643951000002</v>
      </c>
      <c r="V170" s="281">
        <f t="shared" si="102"/>
        <v>1017.7095398299999</v>
      </c>
      <c r="W170" s="281">
        <f t="shared" si="102"/>
        <v>1799.2834213299998</v>
      </c>
      <c r="X170" s="281">
        <f t="shared" si="102"/>
        <v>1194.7347869600001</v>
      </c>
      <c r="Y170" s="281">
        <f t="shared" si="102"/>
        <v>2156.34754591</v>
      </c>
      <c r="Z170" s="281">
        <f t="shared" si="102"/>
        <v>1197.0277293300001</v>
      </c>
      <c r="AA170" s="281">
        <f t="shared" si="102"/>
        <v>2250.59003897</v>
      </c>
      <c r="AB170" s="281">
        <f t="shared" si="102"/>
        <v>1270.1180600299999</v>
      </c>
      <c r="AC170" s="281">
        <f>SUM(AC164:AC169)</f>
        <v>2859.2628932500002</v>
      </c>
      <c r="AD170" s="281">
        <f>SUM(AD164:AD169)</f>
        <v>1836.2811573199999</v>
      </c>
      <c r="AE170" s="281">
        <f>SUM(AE164:AE169)</f>
        <v>3148.5920656799999</v>
      </c>
      <c r="AF170" s="281">
        <f t="shared" ref="AF170:AG170" si="103">SUM(AF164:AF169)</f>
        <v>1947.3931420599999</v>
      </c>
      <c r="AG170" s="281">
        <f t="shared" si="103"/>
        <v>3760.16339341</v>
      </c>
    </row>
    <row r="171" spans="1:33">
      <c r="A171" s="277"/>
      <c r="C171" s="279"/>
      <c r="D171" s="279"/>
      <c r="E171" s="279"/>
      <c r="F171" s="279"/>
      <c r="G171" s="279"/>
      <c r="H171" s="279"/>
      <c r="I171" s="279"/>
      <c r="J171" s="279"/>
      <c r="K171" s="279"/>
      <c r="L171" s="279"/>
      <c r="M171" s="279"/>
      <c r="N171" s="279"/>
      <c r="O171" s="279"/>
      <c r="P171" s="279"/>
      <c r="Q171" s="279"/>
      <c r="R171" s="279"/>
      <c r="S171" s="279"/>
      <c r="T171" s="279"/>
      <c r="U171" s="279"/>
      <c r="V171" s="279"/>
      <c r="W171" s="279"/>
      <c r="X171" s="279"/>
      <c r="Y171" s="279"/>
      <c r="Z171" s="279"/>
      <c r="AA171" s="279"/>
      <c r="AB171" s="279"/>
      <c r="AC171" s="279"/>
      <c r="AD171" s="279"/>
      <c r="AE171" s="279"/>
      <c r="AF171" s="279"/>
      <c r="AG171" s="279"/>
    </row>
    <row r="172" spans="1:33">
      <c r="A172" s="277"/>
      <c r="B172" s="140" t="s">
        <v>773</v>
      </c>
      <c r="C172" s="280">
        <f>Wind!U110</f>
        <v>125</v>
      </c>
      <c r="D172" s="280">
        <f>Wind!V110</f>
        <v>154.79784472999998</v>
      </c>
      <c r="E172" s="280">
        <f>Wind!W110</f>
        <v>10</v>
      </c>
      <c r="F172" s="280">
        <f>Wind!X110</f>
        <v>110</v>
      </c>
      <c r="G172" s="280">
        <f>Wind!Y110</f>
        <v>623.5</v>
      </c>
      <c r="H172" s="280">
        <f>Wind!Z110</f>
        <v>3181.5996330300004</v>
      </c>
      <c r="I172" s="280">
        <f>Wind!AA110</f>
        <v>2995.7055691300002</v>
      </c>
      <c r="J172" s="280">
        <f>Wind!AB110</f>
        <v>6551.3369212799998</v>
      </c>
      <c r="K172" s="280"/>
      <c r="L172" s="280">
        <f>Wind!CB110</f>
        <v>0</v>
      </c>
      <c r="M172" s="280">
        <f>Wind!CC110</f>
        <v>50</v>
      </c>
      <c r="N172" s="280">
        <f>Wind!CD110</f>
        <v>0</v>
      </c>
      <c r="O172" s="280">
        <f>Wind!CE110</f>
        <v>110</v>
      </c>
      <c r="P172" s="280">
        <f>Wind!CF110</f>
        <v>0</v>
      </c>
      <c r="Q172" s="280">
        <f>Wind!CG110</f>
        <v>0</v>
      </c>
      <c r="R172" s="280">
        <f>Wind!CH110</f>
        <v>290</v>
      </c>
      <c r="S172" s="280">
        <f>Wind!CI110</f>
        <v>623.5</v>
      </c>
      <c r="T172" s="280">
        <f>Wind!CJ110</f>
        <v>1401.5</v>
      </c>
      <c r="U172" s="280">
        <f>Wind!CK110</f>
        <v>2199.7059368099999</v>
      </c>
      <c r="V172" s="280">
        <f>Wind!CL110</f>
        <v>2479.85367099</v>
      </c>
      <c r="W172" s="280">
        <f>Wind!CM110</f>
        <v>3181.5996330300004</v>
      </c>
      <c r="X172" s="280">
        <f>Wind!CN110</f>
        <v>3460.3089307800001</v>
      </c>
      <c r="Y172" s="280">
        <f>Wind!CO110</f>
        <v>3912.95869485</v>
      </c>
      <c r="Z172" s="280">
        <f>Wind!CP110</f>
        <v>4337.1723254199997</v>
      </c>
      <c r="AA172" s="280">
        <f>Wind!CQ110</f>
        <v>2995.7055691300002</v>
      </c>
      <c r="AB172" s="280">
        <f>Wind!CR110</f>
        <v>3366.78659866</v>
      </c>
      <c r="AC172" s="280">
        <f>Wind!CS110</f>
        <v>5690.5186663199993</v>
      </c>
      <c r="AD172" s="280">
        <f>Wind!CT110</f>
        <v>6822.3103977000001</v>
      </c>
      <c r="AE172" s="280">
        <f>Wind!CU110</f>
        <v>6551.3369212799998</v>
      </c>
      <c r="AF172" s="280">
        <f>Wind!CV110</f>
        <v>6065.0442872900003</v>
      </c>
      <c r="AG172" s="280">
        <f>Wind!CW110</f>
        <v>6128.3984215600003</v>
      </c>
    </row>
    <row r="173" spans="1:33">
      <c r="A173" s="277"/>
      <c r="B173" s="140" t="s">
        <v>772</v>
      </c>
      <c r="C173" s="279">
        <f>Wind!U133</f>
        <v>0</v>
      </c>
      <c r="D173" s="279">
        <f>Wind!V133</f>
        <v>0</v>
      </c>
      <c r="E173" s="279">
        <f>Wind!W133</f>
        <v>0</v>
      </c>
      <c r="F173" s="279">
        <f>Wind!X133</f>
        <v>0</v>
      </c>
      <c r="G173" s="279">
        <f>Wind!Y133</f>
        <v>0</v>
      </c>
      <c r="H173" s="279">
        <f>Wind!Z133</f>
        <v>0</v>
      </c>
      <c r="I173" s="279">
        <f>Wind!AA133</f>
        <v>0</v>
      </c>
      <c r="J173" s="279">
        <f>Wind!AB133</f>
        <v>0</v>
      </c>
      <c r="K173" s="279"/>
      <c r="L173" s="279">
        <f>Wind!CB133</f>
        <v>0</v>
      </c>
      <c r="M173" s="279">
        <f>Wind!CC133</f>
        <v>0</v>
      </c>
      <c r="N173" s="279">
        <f>Wind!CD133</f>
        <v>0</v>
      </c>
      <c r="O173" s="279">
        <f>Wind!CE133</f>
        <v>0</v>
      </c>
      <c r="P173" s="279">
        <f>Wind!CF133</f>
        <v>0</v>
      </c>
      <c r="Q173" s="279">
        <f>Wind!CG133</f>
        <v>0</v>
      </c>
      <c r="R173" s="279">
        <f>Wind!CH133</f>
        <v>0</v>
      </c>
      <c r="S173" s="279">
        <f>Wind!CI133</f>
        <v>0</v>
      </c>
      <c r="T173" s="279">
        <f>Wind!CJ133</f>
        <v>0</v>
      </c>
      <c r="U173" s="279">
        <f>Wind!CK133</f>
        <v>0</v>
      </c>
      <c r="V173" s="279">
        <f>Wind!CL133</f>
        <v>0</v>
      </c>
      <c r="W173" s="279">
        <f>Wind!CM133</f>
        <v>0</v>
      </c>
      <c r="X173" s="279">
        <f>Wind!CN133</f>
        <v>0</v>
      </c>
      <c r="Y173" s="279">
        <f>Wind!CO133</f>
        <v>0</v>
      </c>
      <c r="Z173" s="279">
        <f>Wind!CP133</f>
        <v>0</v>
      </c>
      <c r="AA173" s="279">
        <f>Wind!CQ133</f>
        <v>0</v>
      </c>
      <c r="AB173" s="279">
        <f>Wind!CR133</f>
        <v>0</v>
      </c>
      <c r="AC173" s="279">
        <f>Wind!CS133</f>
        <v>0</v>
      </c>
      <c r="AD173" s="279">
        <f>Wind!CT133</f>
        <v>0</v>
      </c>
      <c r="AE173" s="279">
        <f>Wind!CU133</f>
        <v>0</v>
      </c>
      <c r="AF173" s="279">
        <f>Wind!CV133</f>
        <v>0</v>
      </c>
      <c r="AG173" s="279">
        <f>Wind!CW133</f>
        <v>0</v>
      </c>
    </row>
    <row r="174" spans="1:33">
      <c r="A174" s="277"/>
      <c r="B174" s="140" t="s">
        <v>667</v>
      </c>
      <c r="C174" s="279"/>
      <c r="D174" s="279"/>
      <c r="E174" s="279"/>
      <c r="F174" s="279"/>
      <c r="G174" s="279"/>
      <c r="H174" s="279"/>
      <c r="I174" s="279"/>
      <c r="J174" s="279"/>
      <c r="K174" s="279"/>
      <c r="L174" s="279"/>
      <c r="M174" s="279"/>
      <c r="N174" s="279"/>
      <c r="O174" s="279"/>
      <c r="P174" s="279"/>
      <c r="Q174" s="279"/>
      <c r="R174" s="279"/>
      <c r="S174" s="279"/>
      <c r="T174" s="279"/>
      <c r="U174" s="279"/>
      <c r="V174" s="279"/>
      <c r="W174" s="279"/>
      <c r="X174" s="279"/>
      <c r="Y174" s="279"/>
      <c r="Z174" s="279"/>
      <c r="AA174" s="279"/>
      <c r="AB174" s="279"/>
      <c r="AC174" s="279"/>
      <c r="AD174" s="279"/>
      <c r="AE174" s="279"/>
      <c r="AF174" s="279"/>
      <c r="AG174" s="279"/>
    </row>
    <row r="175" spans="1:33" s="85" customFormat="1">
      <c r="A175" s="276"/>
      <c r="B175" s="282" t="s">
        <v>771</v>
      </c>
      <c r="C175" s="281">
        <f t="shared" ref="C175:I175" si="104">SUM(C172:C174)</f>
        <v>125</v>
      </c>
      <c r="D175" s="281">
        <f t="shared" si="104"/>
        <v>154.79784472999998</v>
      </c>
      <c r="E175" s="281">
        <f t="shared" si="104"/>
        <v>10</v>
      </c>
      <c r="F175" s="281">
        <f t="shared" si="104"/>
        <v>110</v>
      </c>
      <c r="G175" s="281">
        <f t="shared" si="104"/>
        <v>623.5</v>
      </c>
      <c r="H175" s="281">
        <f t="shared" si="104"/>
        <v>3181.5996330300004</v>
      </c>
      <c r="I175" s="281">
        <f t="shared" si="104"/>
        <v>2995.7055691300002</v>
      </c>
      <c r="J175" s="281">
        <f>SUM(J172:J174)</f>
        <v>6551.3369212799998</v>
      </c>
      <c r="K175" s="281"/>
      <c r="L175" s="281">
        <f t="shared" ref="L175:R175" si="105">SUM(L172:L174)</f>
        <v>0</v>
      </c>
      <c r="M175" s="281">
        <f t="shared" si="105"/>
        <v>50</v>
      </c>
      <c r="N175" s="281">
        <f t="shared" si="105"/>
        <v>0</v>
      </c>
      <c r="O175" s="281">
        <f t="shared" si="105"/>
        <v>110</v>
      </c>
      <c r="P175" s="281">
        <f t="shared" si="105"/>
        <v>0</v>
      </c>
      <c r="Q175" s="281">
        <f t="shared" si="105"/>
        <v>0</v>
      </c>
      <c r="R175" s="281">
        <f t="shared" si="105"/>
        <v>290</v>
      </c>
      <c r="S175" s="281">
        <f t="shared" ref="S175:AB175" si="106">SUM(S172:S174)</f>
        <v>623.5</v>
      </c>
      <c r="T175" s="281">
        <f t="shared" si="106"/>
        <v>1401.5</v>
      </c>
      <c r="U175" s="281">
        <f t="shared" si="106"/>
        <v>2199.7059368099999</v>
      </c>
      <c r="V175" s="281">
        <f t="shared" si="106"/>
        <v>2479.85367099</v>
      </c>
      <c r="W175" s="281">
        <f t="shared" si="106"/>
        <v>3181.5996330300004</v>
      </c>
      <c r="X175" s="281">
        <f t="shared" si="106"/>
        <v>3460.3089307800001</v>
      </c>
      <c r="Y175" s="281">
        <f t="shared" si="106"/>
        <v>3912.95869485</v>
      </c>
      <c r="Z175" s="281">
        <f t="shared" si="106"/>
        <v>4337.1723254199997</v>
      </c>
      <c r="AA175" s="281">
        <f t="shared" si="106"/>
        <v>2995.7055691300002</v>
      </c>
      <c r="AB175" s="281">
        <f t="shared" si="106"/>
        <v>3366.78659866</v>
      </c>
      <c r="AC175" s="281">
        <f>SUM(AC172:AC174)</f>
        <v>5690.5186663199993</v>
      </c>
      <c r="AD175" s="281">
        <f>SUM(AD172:AD174)</f>
        <v>6822.3103977000001</v>
      </c>
      <c r="AE175" s="281">
        <f>SUM(AE172:AE174)</f>
        <v>6551.3369212799998</v>
      </c>
      <c r="AF175" s="281">
        <f t="shared" ref="AF175:AG175" si="107">SUM(AF172:AF174)</f>
        <v>6065.0442872900003</v>
      </c>
      <c r="AG175" s="281">
        <f t="shared" si="107"/>
        <v>6128.3984215600003</v>
      </c>
    </row>
    <row r="176" spans="1:33">
      <c r="A176" s="277"/>
      <c r="C176" s="279"/>
      <c r="D176" s="279"/>
      <c r="E176" s="279"/>
      <c r="F176" s="279"/>
      <c r="G176" s="279"/>
      <c r="H176" s="279"/>
      <c r="I176" s="279"/>
      <c r="J176" s="279"/>
      <c r="K176" s="279"/>
      <c r="L176" s="279"/>
      <c r="M176" s="279"/>
      <c r="N176" s="279"/>
      <c r="O176" s="279"/>
      <c r="P176" s="279"/>
      <c r="Q176" s="279"/>
      <c r="R176" s="279"/>
      <c r="S176" s="279"/>
      <c r="T176" s="279"/>
      <c r="U176" s="279"/>
      <c r="V176" s="279"/>
      <c r="W176" s="279"/>
      <c r="X176" s="279"/>
      <c r="Y176" s="279"/>
      <c r="Z176" s="279"/>
      <c r="AA176" s="279"/>
      <c r="AB176" s="279"/>
      <c r="AC176" s="279"/>
      <c r="AD176" s="279"/>
      <c r="AE176" s="279"/>
      <c r="AF176" s="279"/>
      <c r="AG176" s="279"/>
    </row>
    <row r="177" spans="1:33">
      <c r="A177" s="277"/>
      <c r="B177" s="140" t="s">
        <v>770</v>
      </c>
      <c r="C177" s="279"/>
      <c r="D177" s="279"/>
      <c r="E177" s="279"/>
      <c r="F177" s="279"/>
      <c r="G177" s="279"/>
      <c r="H177" s="279"/>
      <c r="I177" s="279"/>
      <c r="J177" s="279"/>
      <c r="K177" s="279"/>
      <c r="L177" s="279"/>
      <c r="M177" s="279"/>
      <c r="N177" s="279"/>
      <c r="O177" s="279"/>
      <c r="P177" s="279"/>
      <c r="Q177" s="279"/>
      <c r="R177" s="279"/>
      <c r="S177" s="279"/>
      <c r="T177" s="279"/>
      <c r="U177" s="279"/>
      <c r="V177" s="279"/>
      <c r="W177" s="279"/>
      <c r="X177" s="279"/>
      <c r="Y177" s="279"/>
      <c r="Z177" s="279"/>
      <c r="AA177" s="279"/>
      <c r="AB177" s="279"/>
      <c r="AC177" s="279"/>
      <c r="AD177" s="279"/>
      <c r="AE177" s="279"/>
      <c r="AF177" s="279"/>
      <c r="AG177" s="279"/>
    </row>
    <row r="178" spans="1:33">
      <c r="A178" s="277"/>
      <c r="B178" s="140" t="s">
        <v>769</v>
      </c>
      <c r="C178" s="280">
        <f>Wind!U117</f>
        <v>92.758899999999997</v>
      </c>
      <c r="D178" s="280">
        <f>Wind!V117</f>
        <v>58.798859719999996</v>
      </c>
      <c r="E178" s="280">
        <f>Wind!W117</f>
        <v>264.81390090000002</v>
      </c>
      <c r="F178" s="280">
        <f>Wind!X117</f>
        <v>0</v>
      </c>
      <c r="G178" s="280">
        <f>Wind!Y117</f>
        <v>0</v>
      </c>
      <c r="H178" s="280">
        <f>Wind!Z117</f>
        <v>0</v>
      </c>
      <c r="I178" s="280">
        <f>Wind!AA117</f>
        <v>0</v>
      </c>
      <c r="J178" s="280">
        <f>Wind!AB117</f>
        <v>0</v>
      </c>
      <c r="K178" s="280"/>
      <c r="L178" s="280">
        <f>Wind!CB117</f>
        <v>0</v>
      </c>
      <c r="M178" s="280">
        <f>Wind!CC117</f>
        <v>0</v>
      </c>
      <c r="N178" s="280">
        <f>Wind!CD117</f>
        <v>0</v>
      </c>
      <c r="O178" s="280">
        <f>Wind!CE117</f>
        <v>0</v>
      </c>
      <c r="P178" s="280">
        <f>Wind!CF117</f>
        <v>0</v>
      </c>
      <c r="Q178" s="280">
        <f>Wind!CG117</f>
        <v>0</v>
      </c>
      <c r="R178" s="280">
        <f>Wind!CH117</f>
        <v>0</v>
      </c>
      <c r="S178" s="280">
        <f>Wind!CI117</f>
        <v>0</v>
      </c>
      <c r="T178" s="280">
        <f>Wind!CJ117</f>
        <v>0</v>
      </c>
      <c r="U178" s="280">
        <f>Wind!CK117</f>
        <v>0</v>
      </c>
      <c r="V178" s="280">
        <f>Wind!CL117</f>
        <v>0</v>
      </c>
      <c r="W178" s="280">
        <f>Wind!CM117</f>
        <v>0</v>
      </c>
      <c r="X178" s="280">
        <f>Wind!CN117</f>
        <v>0</v>
      </c>
      <c r="Y178" s="280">
        <f>Wind!CO117</f>
        <v>0</v>
      </c>
      <c r="Z178" s="280">
        <f>Wind!CP117</f>
        <v>0</v>
      </c>
      <c r="AA178" s="280">
        <f>Wind!CQ117</f>
        <v>0</v>
      </c>
      <c r="AB178" s="280">
        <f>Wind!CR117</f>
        <v>0</v>
      </c>
      <c r="AC178" s="280">
        <f>Wind!CS117</f>
        <v>0</v>
      </c>
      <c r="AD178" s="280">
        <f>Wind!CT117</f>
        <v>0</v>
      </c>
      <c r="AE178" s="280">
        <f>Wind!CU117</f>
        <v>0</v>
      </c>
      <c r="AF178" s="280">
        <f>Wind!CV117</f>
        <v>0</v>
      </c>
      <c r="AG178" s="280">
        <f>Wind!CW117</f>
        <v>0</v>
      </c>
    </row>
    <row r="179" spans="1:33">
      <c r="A179" s="277"/>
      <c r="B179" s="140" t="s">
        <v>768</v>
      </c>
      <c r="C179" s="280">
        <f>Wind!U130</f>
        <v>0</v>
      </c>
      <c r="D179" s="280">
        <f>Wind!V130</f>
        <v>0</v>
      </c>
      <c r="E179" s="280">
        <f>Wind!W130</f>
        <v>0</v>
      </c>
      <c r="F179" s="280">
        <f>Wind!X130</f>
        <v>0</v>
      </c>
      <c r="G179" s="280">
        <f>Wind!Y130</f>
        <v>0</v>
      </c>
      <c r="H179" s="280">
        <f>Wind!Z130</f>
        <v>0</v>
      </c>
      <c r="I179" s="280">
        <f>Wind!AA130</f>
        <v>0</v>
      </c>
      <c r="J179" s="280">
        <f>Wind!AB130</f>
        <v>0</v>
      </c>
      <c r="K179" s="280"/>
      <c r="L179" s="280">
        <f>Wind!CB130</f>
        <v>0</v>
      </c>
      <c r="M179" s="280">
        <f>Wind!CC130</f>
        <v>0</v>
      </c>
      <c r="N179" s="280">
        <f>Wind!CD130</f>
        <v>0</v>
      </c>
      <c r="O179" s="280">
        <f>Wind!CE130</f>
        <v>0</v>
      </c>
      <c r="P179" s="280">
        <f>Wind!CF130</f>
        <v>0</v>
      </c>
      <c r="Q179" s="280">
        <f>Wind!CG130</f>
        <v>0</v>
      </c>
      <c r="R179" s="280">
        <f>Wind!CH130</f>
        <v>0</v>
      </c>
      <c r="S179" s="280">
        <f>Wind!CI130</f>
        <v>0</v>
      </c>
      <c r="T179" s="280">
        <f>Wind!CJ130</f>
        <v>0</v>
      </c>
      <c r="U179" s="280">
        <f>Wind!CK130</f>
        <v>0</v>
      </c>
      <c r="V179" s="280">
        <f>Wind!CL130</f>
        <v>0</v>
      </c>
      <c r="W179" s="280">
        <f>Wind!CM130</f>
        <v>0</v>
      </c>
      <c r="X179" s="280">
        <f>Wind!CN130</f>
        <v>0</v>
      </c>
      <c r="Y179" s="280">
        <f>Wind!CO130</f>
        <v>0</v>
      </c>
      <c r="Z179" s="280">
        <f>Wind!CP130</f>
        <v>0</v>
      </c>
      <c r="AA179" s="280">
        <f>Wind!CQ130</f>
        <v>0</v>
      </c>
      <c r="AB179" s="280">
        <f>Wind!CR130</f>
        <v>0</v>
      </c>
      <c r="AC179" s="280">
        <f>Wind!CS130</f>
        <v>0</v>
      </c>
      <c r="AD179" s="280">
        <f>Wind!CT130</f>
        <v>686.81656246</v>
      </c>
      <c r="AE179" s="280">
        <f>Wind!CU130</f>
        <v>0</v>
      </c>
      <c r="AF179" s="280">
        <f>Wind!CV130</f>
        <v>0</v>
      </c>
      <c r="AG179" s="280">
        <f>Wind!CW130</f>
        <v>0</v>
      </c>
    </row>
    <row r="180" spans="1:33">
      <c r="A180" s="277"/>
      <c r="B180" s="140" t="s">
        <v>767</v>
      </c>
      <c r="C180" s="279"/>
      <c r="D180" s="279"/>
      <c r="E180" s="279"/>
      <c r="F180" s="279"/>
      <c r="G180" s="279"/>
      <c r="H180" s="279"/>
      <c r="I180" s="279"/>
      <c r="J180" s="279"/>
      <c r="K180" s="279"/>
      <c r="L180" s="279"/>
      <c r="M180" s="279"/>
      <c r="N180" s="279"/>
      <c r="O180" s="279"/>
      <c r="P180" s="279"/>
      <c r="Q180" s="279"/>
      <c r="R180" s="279"/>
      <c r="S180" s="279"/>
      <c r="T180" s="279"/>
      <c r="U180" s="279"/>
      <c r="V180" s="279"/>
      <c r="W180" s="279"/>
      <c r="X180" s="279"/>
      <c r="Y180" s="279"/>
      <c r="Z180" s="279"/>
      <c r="AA180" s="279"/>
      <c r="AB180" s="279"/>
      <c r="AC180" s="279"/>
      <c r="AD180" s="279"/>
      <c r="AE180" s="279"/>
      <c r="AF180" s="279"/>
      <c r="AG180" s="279"/>
    </row>
    <row r="181" spans="1:33">
      <c r="A181" s="277"/>
      <c r="B181" s="140" t="s">
        <v>1336</v>
      </c>
      <c r="C181" s="279"/>
      <c r="D181" s="279"/>
      <c r="E181" s="279"/>
      <c r="F181" s="1307">
        <f>Wind!X118</f>
        <v>950.34291589999998</v>
      </c>
      <c r="G181" s="1307">
        <f>Wind!Y118</f>
        <v>1241.3694575100001</v>
      </c>
      <c r="H181" s="1307">
        <f>Wind!Z118</f>
        <v>1627.1675837499999</v>
      </c>
      <c r="I181" s="1307">
        <f>Wind!AA118</f>
        <v>2607.2214336500001</v>
      </c>
      <c r="J181" s="1307">
        <f>Wind!AB118</f>
        <v>4760.5512853800001</v>
      </c>
      <c r="K181" s="279"/>
      <c r="L181" s="279" t="str">
        <f>Wind!CB118</f>
        <v/>
      </c>
      <c r="M181" s="1307">
        <f>Wind!CC118</f>
        <v>565.92499999999995</v>
      </c>
      <c r="N181" s="1307" t="str">
        <f>Wind!CD118</f>
        <v/>
      </c>
      <c r="O181" s="1307">
        <f>Wind!CE118</f>
        <v>950.34291589999998</v>
      </c>
      <c r="P181" s="1307">
        <f>Wind!CF118</f>
        <v>794.26119180000001</v>
      </c>
      <c r="Q181" s="1307">
        <f>Wind!CG118</f>
        <v>810.72122394000007</v>
      </c>
      <c r="R181" s="1307">
        <f>Wind!CH118</f>
        <v>866.24222252999994</v>
      </c>
      <c r="S181" s="1307">
        <f>Wind!CI118</f>
        <v>1241.3694575100001</v>
      </c>
      <c r="T181" s="1307">
        <f>Wind!CJ118</f>
        <v>1202.0115372600001</v>
      </c>
      <c r="U181" s="1307">
        <f>Wind!CK118</f>
        <v>1268.94391535</v>
      </c>
      <c r="V181" s="1307">
        <f>Wind!CL118</f>
        <v>1343.99305914</v>
      </c>
      <c r="W181" s="1307">
        <f>Wind!CM118</f>
        <v>1627.1675837499999</v>
      </c>
      <c r="X181" s="1307">
        <f>Wind!CN118</f>
        <v>1685.82443126</v>
      </c>
      <c r="Y181" s="1307">
        <f>Wind!CO118</f>
        <v>1851.4305818099999</v>
      </c>
      <c r="Z181" s="1307">
        <f>Wind!CP118</f>
        <v>1916.4812166400002</v>
      </c>
      <c r="AA181" s="1307">
        <f>Wind!CQ118</f>
        <v>2607.2214336500001</v>
      </c>
      <c r="AB181" s="1307">
        <f>Wind!CR118</f>
        <v>2687.5416308000003</v>
      </c>
      <c r="AC181" s="1307">
        <f>Wind!CS118</f>
        <v>2501.12192456</v>
      </c>
      <c r="AD181" s="1307">
        <f>Wind!CT118</f>
        <v>2379.8039257</v>
      </c>
      <c r="AE181" s="1307">
        <f>Wind!CU118</f>
        <v>4760.5512853800001</v>
      </c>
      <c r="AF181" s="1307">
        <f>Wind!CV118</f>
        <v>3869.6188125600002</v>
      </c>
      <c r="AG181" s="1307">
        <f>Wind!CW118</f>
        <v>3667.0879203600002</v>
      </c>
    </row>
    <row r="182" spans="1:33">
      <c r="A182" s="277"/>
      <c r="B182" s="140" t="s">
        <v>762</v>
      </c>
      <c r="C182" s="280">
        <f>Wind!U132</f>
        <v>0</v>
      </c>
      <c r="D182" s="280">
        <f>Wind!V132</f>
        <v>0</v>
      </c>
      <c r="E182" s="280">
        <f>Wind!W132</f>
        <v>0</v>
      </c>
      <c r="F182" s="280">
        <f>Wind!X132</f>
        <v>0</v>
      </c>
      <c r="G182" s="280">
        <f>Wind!Y132</f>
        <v>0</v>
      </c>
      <c r="H182" s="280">
        <f>Wind!Z132</f>
        <v>0</v>
      </c>
      <c r="I182" s="280">
        <f>Wind!AA132</f>
        <v>0</v>
      </c>
      <c r="J182" s="280">
        <f>Wind!AB132</f>
        <v>0</v>
      </c>
      <c r="K182" s="280"/>
      <c r="L182" s="280">
        <f>Wind!CB132</f>
        <v>0</v>
      </c>
      <c r="M182" s="280">
        <f>Wind!CC132</f>
        <v>0</v>
      </c>
      <c r="N182" s="280">
        <f>Wind!CD132</f>
        <v>0</v>
      </c>
      <c r="O182" s="280">
        <f>Wind!CE132</f>
        <v>0</v>
      </c>
      <c r="P182" s="280">
        <f>Wind!CF132</f>
        <v>0</v>
      </c>
      <c r="Q182" s="280">
        <f>Wind!CG132</f>
        <v>0</v>
      </c>
      <c r="R182" s="280">
        <f>Wind!CH132</f>
        <v>0</v>
      </c>
      <c r="S182" s="280">
        <f>Wind!CI132</f>
        <v>0</v>
      </c>
      <c r="T182" s="280">
        <f>Wind!CJ132</f>
        <v>0</v>
      </c>
      <c r="U182" s="280">
        <f>Wind!CK132</f>
        <v>0</v>
      </c>
      <c r="V182" s="280">
        <f>Wind!CL132</f>
        <v>0</v>
      </c>
      <c r="W182" s="280">
        <f>Wind!CM132</f>
        <v>0</v>
      </c>
      <c r="X182" s="280">
        <f>Wind!CN132</f>
        <v>0</v>
      </c>
      <c r="Y182" s="280">
        <f>Wind!CO132</f>
        <v>0</v>
      </c>
      <c r="Z182" s="280">
        <f>Wind!CP132</f>
        <v>0</v>
      </c>
      <c r="AA182" s="280">
        <f>Wind!CQ132</f>
        <v>0</v>
      </c>
      <c r="AB182" s="280">
        <f>Wind!CR132</f>
        <v>0</v>
      </c>
      <c r="AC182" s="280">
        <f>Wind!CS132</f>
        <v>0</v>
      </c>
      <c r="AD182" s="280">
        <f>Wind!CT132</f>
        <v>0</v>
      </c>
      <c r="AE182" s="280">
        <f>Wind!CU132</f>
        <v>0</v>
      </c>
      <c r="AF182" s="280">
        <f>Wind!CV132</f>
        <v>0</v>
      </c>
      <c r="AG182" s="280">
        <f>Wind!CW132</f>
        <v>0</v>
      </c>
    </row>
    <row r="183" spans="1:33">
      <c r="A183" s="277"/>
      <c r="B183" s="140" t="s">
        <v>1349</v>
      </c>
      <c r="C183" s="279"/>
      <c r="D183" s="279"/>
      <c r="E183" s="279"/>
      <c r="F183" s="279"/>
      <c r="G183" s="279"/>
      <c r="H183" s="279"/>
      <c r="I183" s="279"/>
      <c r="J183" s="279"/>
      <c r="K183" s="279"/>
      <c r="L183" s="279"/>
      <c r="M183" s="279"/>
      <c r="N183" s="279"/>
      <c r="O183" s="279"/>
      <c r="P183" s="279"/>
      <c r="Q183" s="279"/>
      <c r="R183" s="279"/>
      <c r="S183" s="279"/>
      <c r="T183" s="279"/>
      <c r="U183" s="279"/>
      <c r="V183" s="279"/>
      <c r="W183" s="279"/>
      <c r="X183" s="279"/>
      <c r="Y183" s="279"/>
      <c r="Z183" s="279"/>
      <c r="AA183" s="279"/>
      <c r="AB183" s="279"/>
      <c r="AC183" s="279"/>
      <c r="AD183" s="279"/>
      <c r="AE183" s="279"/>
      <c r="AF183" s="279"/>
      <c r="AG183" s="279"/>
    </row>
    <row r="184" spans="1:33" s="85" customFormat="1">
      <c r="A184" s="276"/>
      <c r="B184" s="282" t="s">
        <v>162</v>
      </c>
      <c r="C184" s="284">
        <f>Wind!U137-'Raw Data'!C175-'Raw Data'!C170</f>
        <v>674.60660000000007</v>
      </c>
      <c r="D184" s="284">
        <f>Wind!V137-'Raw Data'!D175-'Raw Data'!D170</f>
        <v>485.07704509000007</v>
      </c>
      <c r="E184" s="284">
        <f>Wind!W137-'Raw Data'!E175-'Raw Data'!E170</f>
        <v>832.52533096000002</v>
      </c>
      <c r="F184" s="284">
        <f>Wind!X137-'Raw Data'!F175-'Raw Data'!F170</f>
        <v>1498.4038941700001</v>
      </c>
      <c r="G184" s="284">
        <f>Wind!Y137-'Raw Data'!G175-'Raw Data'!G170</f>
        <v>1362.6075678899997</v>
      </c>
      <c r="H184" s="284">
        <f>Wind!Z137-'Raw Data'!H175-'Raw Data'!H170</f>
        <v>1724.8158845700004</v>
      </c>
      <c r="I184" s="284">
        <f>Wind!AA137-'Raw Data'!I175-'Raw Data'!I170</f>
        <v>2801.0442215000003</v>
      </c>
      <c r="J184" s="284">
        <f>Wind!AB137-'Raw Data'!J175-'Raw Data'!J170</f>
        <v>5145.1127782599988</v>
      </c>
      <c r="K184" s="284"/>
      <c r="L184" s="284">
        <f>Wind!CB137-'Raw Data'!L175-'Raw Data'!L170</f>
        <v>0</v>
      </c>
      <c r="M184" s="284">
        <f>Wind!CC137-'Raw Data'!M175-'Raw Data'!M170</f>
        <v>582.99549999999999</v>
      </c>
      <c r="N184" s="284">
        <f>Wind!CD137-'Raw Data'!N175-'Raw Data'!N170</f>
        <v>0</v>
      </c>
      <c r="O184" s="284">
        <f>Wind!CE137-'Raw Data'!O175-'Raw Data'!O170</f>
        <v>1087.1138941700001</v>
      </c>
      <c r="P184" s="284">
        <f>Wind!CF137-'Raw Data'!P175-'Raw Data'!P170</f>
        <v>887.09325801999989</v>
      </c>
      <c r="Q184" s="284">
        <f>Wind!CG137-'Raw Data'!Q175-'Raw Data'!Q170</f>
        <v>1150.3468666700001</v>
      </c>
      <c r="R184" s="284">
        <f>Wind!CH137-'Raw Data'!R175-'Raw Data'!R170</f>
        <v>932.33571658000028</v>
      </c>
      <c r="S184" s="284">
        <f>Wind!CI137-'Raw Data'!S175-'Raw Data'!S170</f>
        <v>1362.6075678899997</v>
      </c>
      <c r="T184" s="284">
        <f>Wind!CJ137-'Raw Data'!T175-'Raw Data'!T170</f>
        <v>1892.0895210499998</v>
      </c>
      <c r="U184" s="284">
        <f>Wind!CK137-'Raw Data'!U175-'Raw Data'!U170</f>
        <v>1344.0939392499995</v>
      </c>
      <c r="V184" s="284">
        <f>Wind!CL137-'Raw Data'!V175-'Raw Data'!V170</f>
        <v>2081.00209043</v>
      </c>
      <c r="W184" s="284">
        <f>Wind!CM137-'Raw Data'!W175-'Raw Data'!W170</f>
        <v>1724.8158845700004</v>
      </c>
      <c r="X184" s="284">
        <f>Wind!CN137-'Raw Data'!X175-'Raw Data'!X170</f>
        <v>2523.1843603799998</v>
      </c>
      <c r="Y184" s="284">
        <f>Wind!CO137-'Raw Data'!Y175-'Raw Data'!Y170</f>
        <v>1889.6787960000001</v>
      </c>
      <c r="Z184" s="284">
        <f>Wind!CP137-'Raw Data'!Z175-'Raw Data'!Z170</f>
        <v>2933.012051180001</v>
      </c>
      <c r="AA184" s="284">
        <f>Wind!CQ137-'Raw Data'!AA175-'Raw Data'!AA170</f>
        <v>2801.0442215000003</v>
      </c>
      <c r="AB184" s="284">
        <f>Wind!CR137-'Raw Data'!AB175-'Raw Data'!AB170</f>
        <v>3764.21454494</v>
      </c>
      <c r="AC184" s="284">
        <f>Wind!CS137-'Raw Data'!AC175-'Raw Data'!AC170</f>
        <v>2608.5305667900011</v>
      </c>
      <c r="AD184" s="284">
        <f>Wind!CT137-'Raw Data'!AD175-'Raw Data'!AD170</f>
        <v>4102.9404492900003</v>
      </c>
      <c r="AE184" s="284">
        <f>Wind!CU137-'Raw Data'!AE175-'Raw Data'!AE170</f>
        <v>5145.1127782599988</v>
      </c>
      <c r="AF184" s="284">
        <f>Wind!CV137-'Raw Data'!AF175-'Raw Data'!AF170</f>
        <v>5865.4588307499998</v>
      </c>
      <c r="AG184" s="284">
        <f>Wind!CW137-'Raw Data'!AG175-'Raw Data'!AG170</f>
        <v>3814.9349297599983</v>
      </c>
    </row>
    <row r="185" spans="1:33">
      <c r="A185" s="277"/>
      <c r="C185" s="279"/>
      <c r="D185" s="279"/>
      <c r="E185" s="279"/>
      <c r="F185" s="279"/>
      <c r="G185" s="279"/>
      <c r="H185" s="279"/>
      <c r="I185" s="279"/>
      <c r="J185" s="279"/>
      <c r="K185" s="279"/>
      <c r="L185" s="279"/>
      <c r="M185" s="279"/>
      <c r="N185" s="279"/>
      <c r="O185" s="279"/>
      <c r="P185" s="279"/>
      <c r="Q185" s="279"/>
      <c r="R185" s="279"/>
      <c r="S185" s="279"/>
      <c r="T185" s="279"/>
      <c r="U185" s="279"/>
      <c r="V185" s="279"/>
      <c r="W185" s="279"/>
      <c r="X185" s="279"/>
      <c r="Y185" s="279"/>
      <c r="Z185" s="279"/>
      <c r="AA185" s="279"/>
      <c r="AB185" s="279"/>
      <c r="AC185" s="279"/>
      <c r="AD185" s="279"/>
      <c r="AE185" s="279"/>
      <c r="AF185" s="279"/>
      <c r="AG185" s="279"/>
    </row>
    <row r="186" spans="1:33">
      <c r="A186" s="277"/>
      <c r="B186" s="988" t="s">
        <v>766</v>
      </c>
      <c r="C186" s="989"/>
      <c r="D186" s="989"/>
      <c r="E186" s="989"/>
      <c r="F186" s="989"/>
      <c r="G186" s="989"/>
      <c r="H186" s="989"/>
      <c r="I186" s="989"/>
      <c r="J186" s="989"/>
      <c r="K186" s="279"/>
      <c r="L186" s="989"/>
      <c r="M186" s="989"/>
      <c r="N186" s="989"/>
      <c r="O186" s="989"/>
      <c r="P186" s="989"/>
      <c r="Q186" s="989"/>
      <c r="R186" s="989"/>
      <c r="S186" s="989"/>
      <c r="T186" s="989"/>
      <c r="U186" s="989"/>
      <c r="V186" s="989"/>
      <c r="W186" s="989"/>
      <c r="X186" s="989"/>
      <c r="Y186" s="989"/>
      <c r="Z186" s="989"/>
      <c r="AA186" s="989"/>
      <c r="AB186" s="989"/>
      <c r="AC186" s="989"/>
      <c r="AD186" s="989"/>
      <c r="AE186" s="989"/>
      <c r="AF186" s="989"/>
      <c r="AG186" s="989"/>
    </row>
    <row r="187" spans="1:33">
      <c r="A187" s="277"/>
      <c r="B187" s="140" t="s">
        <v>765</v>
      </c>
      <c r="C187" s="280">
        <f>Wind!U139</f>
        <v>0</v>
      </c>
      <c r="D187" s="280">
        <f>Wind!V139</f>
        <v>50</v>
      </c>
      <c r="E187" s="280">
        <f>Wind!W139</f>
        <v>236.875</v>
      </c>
      <c r="F187" s="280">
        <f>Wind!X139</f>
        <v>301.72664379000003</v>
      </c>
      <c r="G187" s="280">
        <f>Wind!Y139</f>
        <v>25.824999999999999</v>
      </c>
      <c r="H187" s="280">
        <f>Wind!Z139</f>
        <v>0</v>
      </c>
      <c r="I187" s="280">
        <f>Wind!AA139</f>
        <v>220</v>
      </c>
      <c r="J187" s="280">
        <f>Wind!AB139</f>
        <v>0</v>
      </c>
      <c r="K187" s="280"/>
      <c r="L187" s="280">
        <f>Wind!CB139</f>
        <v>0</v>
      </c>
      <c r="M187" s="280">
        <f>Wind!CC139</f>
        <v>254.7</v>
      </c>
      <c r="N187" s="280">
        <f>Wind!CD139</f>
        <v>0</v>
      </c>
      <c r="O187" s="280">
        <f>Wind!CE139</f>
        <v>301.72664379000003</v>
      </c>
      <c r="P187" s="280">
        <f>Wind!CF139</f>
        <v>314.88664378999999</v>
      </c>
      <c r="Q187" s="280">
        <f>Wind!CG139</f>
        <v>41</v>
      </c>
      <c r="R187" s="280">
        <f>Wind!CH139</f>
        <v>33.412500000000001</v>
      </c>
      <c r="S187" s="280">
        <f>Wind!CI139</f>
        <v>25.824999999999999</v>
      </c>
      <c r="T187" s="280">
        <f>Wind!CJ139</f>
        <v>18.237500000000001</v>
      </c>
      <c r="U187" s="280">
        <f>Wind!CK139</f>
        <v>10.65</v>
      </c>
      <c r="V187" s="280">
        <f>Wind!CL139</f>
        <v>3.0625</v>
      </c>
      <c r="W187" s="280">
        <f>Wind!CM139</f>
        <v>0</v>
      </c>
      <c r="X187" s="280">
        <f>Wind!CN139</f>
        <v>0</v>
      </c>
      <c r="Y187" s="280">
        <f>Wind!CO139</f>
        <v>20.01277777</v>
      </c>
      <c r="Z187" s="280">
        <f>Wind!CP139</f>
        <v>86.012777760000006</v>
      </c>
      <c r="AA187" s="280">
        <f>Wind!CQ139</f>
        <v>220</v>
      </c>
      <c r="AB187" s="280">
        <f>Wind!CR139</f>
        <v>300</v>
      </c>
      <c r="AC187" s="280">
        <f>Wind!CS139</f>
        <v>300</v>
      </c>
      <c r="AD187" s="280">
        <f>Wind!CT139</f>
        <v>0</v>
      </c>
      <c r="AE187" s="280">
        <f>Wind!CU139</f>
        <v>0</v>
      </c>
      <c r="AF187" s="280">
        <f>Wind!CV139</f>
        <v>0</v>
      </c>
      <c r="AG187" s="280">
        <f>Wind!CW139</f>
        <v>0</v>
      </c>
    </row>
    <row r="188" spans="1:33">
      <c r="A188" s="277"/>
      <c r="B188" s="140" t="s">
        <v>764</v>
      </c>
      <c r="C188" s="279"/>
      <c r="D188" s="279"/>
      <c r="E188" s="279"/>
      <c r="F188" s="279"/>
      <c r="G188" s="279"/>
      <c r="H188" s="279"/>
      <c r="I188" s="279"/>
      <c r="J188" s="279"/>
      <c r="K188" s="279"/>
      <c r="L188" s="279"/>
      <c r="M188" s="279"/>
      <c r="N188" s="279"/>
      <c r="O188" s="279"/>
      <c r="P188" s="279"/>
      <c r="Q188" s="279"/>
      <c r="R188" s="279"/>
      <c r="S188" s="279"/>
      <c r="T188" s="279"/>
      <c r="U188" s="279"/>
      <c r="V188" s="279"/>
      <c r="W188" s="279"/>
      <c r="X188" s="279"/>
      <c r="Y188" s="279"/>
      <c r="Z188" s="279"/>
      <c r="AA188" s="279"/>
      <c r="AB188" s="279"/>
      <c r="AC188" s="279"/>
      <c r="AD188" s="279"/>
      <c r="AE188" s="279"/>
      <c r="AF188" s="279"/>
      <c r="AG188" s="279"/>
    </row>
    <row r="189" spans="1:33">
      <c r="A189" s="277"/>
      <c r="B189" s="140" t="s">
        <v>763</v>
      </c>
      <c r="C189" s="279">
        <f>Wind!U140</f>
        <v>35</v>
      </c>
      <c r="D189" s="279">
        <f>Wind!V140</f>
        <v>0</v>
      </c>
      <c r="E189" s="279">
        <f>Wind!W140</f>
        <v>0</v>
      </c>
      <c r="F189" s="279">
        <f>Wind!X140</f>
        <v>0</v>
      </c>
      <c r="G189" s="279">
        <f>Wind!Y140</f>
        <v>0</v>
      </c>
      <c r="H189" s="279">
        <f>Wind!Z140</f>
        <v>0</v>
      </c>
      <c r="I189" s="279">
        <f>Wind!AA140</f>
        <v>0</v>
      </c>
      <c r="J189" s="279">
        <f>Wind!AB140</f>
        <v>0</v>
      </c>
      <c r="K189" s="279"/>
      <c r="L189" s="279">
        <f>Wind!CB140</f>
        <v>0</v>
      </c>
      <c r="M189" s="279">
        <f>Wind!CC140</f>
        <v>0</v>
      </c>
      <c r="N189" s="279">
        <f>Wind!CD140</f>
        <v>0</v>
      </c>
      <c r="O189" s="279">
        <f>Wind!CE140</f>
        <v>0</v>
      </c>
      <c r="P189" s="279">
        <f>Wind!CF140</f>
        <v>0</v>
      </c>
      <c r="Q189" s="279">
        <f>Wind!CG140</f>
        <v>0</v>
      </c>
      <c r="R189" s="279">
        <f>Wind!CH140</f>
        <v>0</v>
      </c>
      <c r="S189" s="279">
        <f>Wind!CI140</f>
        <v>0</v>
      </c>
      <c r="T189" s="279">
        <f>Wind!CJ140</f>
        <v>0</v>
      </c>
      <c r="U189" s="279">
        <f>Wind!CK140</f>
        <v>0</v>
      </c>
      <c r="V189" s="279">
        <f>Wind!CL140</f>
        <v>0</v>
      </c>
      <c r="W189" s="279">
        <f>Wind!CM140</f>
        <v>0</v>
      </c>
      <c r="X189" s="279">
        <f>Wind!CN140</f>
        <v>0</v>
      </c>
      <c r="Y189" s="279">
        <f>Wind!CO140</f>
        <v>0</v>
      </c>
      <c r="Z189" s="279">
        <f>Wind!CP140</f>
        <v>0</v>
      </c>
      <c r="AA189" s="279">
        <f>Wind!CQ140</f>
        <v>0</v>
      </c>
      <c r="AB189" s="279">
        <f>Wind!CR140</f>
        <v>0</v>
      </c>
      <c r="AC189" s="279">
        <f>Wind!CS140</f>
        <v>0</v>
      </c>
      <c r="AD189" s="279">
        <f>Wind!CT140</f>
        <v>0</v>
      </c>
      <c r="AE189" s="279">
        <f>Wind!CU140</f>
        <v>0</v>
      </c>
      <c r="AF189" s="279">
        <f>Wind!CV140</f>
        <v>0</v>
      </c>
      <c r="AG189" s="279">
        <f>Wind!CW140</f>
        <v>0</v>
      </c>
    </row>
    <row r="190" spans="1:33" s="85" customFormat="1">
      <c r="A190" s="276"/>
      <c r="B190" s="282" t="s">
        <v>160</v>
      </c>
      <c r="C190" s="281">
        <f t="shared" ref="C190:I190" si="108">SUM(C187:C189)</f>
        <v>35</v>
      </c>
      <c r="D190" s="281">
        <f t="shared" si="108"/>
        <v>50</v>
      </c>
      <c r="E190" s="281">
        <f t="shared" si="108"/>
        <v>236.875</v>
      </c>
      <c r="F190" s="281">
        <f t="shared" si="108"/>
        <v>301.72664379000003</v>
      </c>
      <c r="G190" s="281">
        <f t="shared" si="108"/>
        <v>25.824999999999999</v>
      </c>
      <c r="H190" s="281">
        <f t="shared" si="108"/>
        <v>0</v>
      </c>
      <c r="I190" s="281">
        <f t="shared" si="108"/>
        <v>220</v>
      </c>
      <c r="J190" s="281">
        <f>SUM(J187:J189)</f>
        <v>0</v>
      </c>
      <c r="K190" s="281"/>
      <c r="L190" s="281">
        <f t="shared" ref="L190:R190" si="109">SUM(L187:L189)</f>
        <v>0</v>
      </c>
      <c r="M190" s="281">
        <f t="shared" si="109"/>
        <v>254.7</v>
      </c>
      <c r="N190" s="281">
        <f t="shared" si="109"/>
        <v>0</v>
      </c>
      <c r="O190" s="281">
        <f t="shared" si="109"/>
        <v>301.72664379000003</v>
      </c>
      <c r="P190" s="281">
        <f t="shared" si="109"/>
        <v>314.88664378999999</v>
      </c>
      <c r="Q190" s="281">
        <f t="shared" si="109"/>
        <v>41</v>
      </c>
      <c r="R190" s="281">
        <f t="shared" si="109"/>
        <v>33.412500000000001</v>
      </c>
      <c r="S190" s="281">
        <f t="shared" ref="S190:AB190" si="110">SUM(S187:S189)</f>
        <v>25.824999999999999</v>
      </c>
      <c r="T190" s="281">
        <f t="shared" si="110"/>
        <v>18.237500000000001</v>
      </c>
      <c r="U190" s="281">
        <f t="shared" si="110"/>
        <v>10.65</v>
      </c>
      <c r="V190" s="281">
        <f t="shared" si="110"/>
        <v>3.0625</v>
      </c>
      <c r="W190" s="281">
        <f t="shared" si="110"/>
        <v>0</v>
      </c>
      <c r="X190" s="281">
        <f t="shared" si="110"/>
        <v>0</v>
      </c>
      <c r="Y190" s="281">
        <f t="shared" si="110"/>
        <v>20.01277777</v>
      </c>
      <c r="Z190" s="281">
        <f t="shared" si="110"/>
        <v>86.012777760000006</v>
      </c>
      <c r="AA190" s="281">
        <f t="shared" si="110"/>
        <v>220</v>
      </c>
      <c r="AB190" s="281">
        <f t="shared" si="110"/>
        <v>300</v>
      </c>
      <c r="AC190" s="281">
        <f>SUM(AC187:AC189)</f>
        <v>300</v>
      </c>
      <c r="AD190" s="281">
        <f>SUM(AD187:AD189)</f>
        <v>0</v>
      </c>
      <c r="AE190" s="281">
        <f>SUM(AE187:AE189)</f>
        <v>0</v>
      </c>
      <c r="AF190" s="281">
        <f t="shared" ref="AF190:AG190" si="111">SUM(AF187:AF189)</f>
        <v>0</v>
      </c>
      <c r="AG190" s="281">
        <f t="shared" si="111"/>
        <v>0</v>
      </c>
    </row>
    <row r="191" spans="1:33">
      <c r="A191" s="277"/>
      <c r="C191" s="279"/>
      <c r="D191" s="279"/>
      <c r="E191" s="279"/>
      <c r="F191" s="279"/>
      <c r="G191" s="279"/>
      <c r="H191" s="279"/>
      <c r="I191" s="279"/>
      <c r="J191" s="279"/>
      <c r="K191" s="279"/>
      <c r="L191" s="279"/>
      <c r="M191" s="279"/>
      <c r="N191" s="279"/>
      <c r="O191" s="279"/>
      <c r="P191" s="279"/>
      <c r="Q191" s="279"/>
      <c r="R191" s="279"/>
      <c r="S191" s="279"/>
      <c r="T191" s="279"/>
      <c r="U191" s="279"/>
      <c r="V191" s="279"/>
      <c r="W191" s="279"/>
      <c r="X191" s="279"/>
      <c r="Y191" s="279"/>
      <c r="Z191" s="279"/>
      <c r="AA191" s="279"/>
      <c r="AB191" s="279"/>
      <c r="AC191" s="279"/>
      <c r="AD191" s="279"/>
      <c r="AE191" s="279"/>
      <c r="AF191" s="279"/>
      <c r="AG191" s="279"/>
    </row>
    <row r="192" spans="1:33">
      <c r="A192" s="277"/>
      <c r="B192" s="140" t="s">
        <v>762</v>
      </c>
      <c r="C192" s="280">
        <f>Wind!U146</f>
        <v>0</v>
      </c>
      <c r="D192" s="280">
        <f>Wind!V146</f>
        <v>12.002923819999999</v>
      </c>
      <c r="E192" s="280">
        <f>Wind!W146</f>
        <v>15.44958596</v>
      </c>
      <c r="F192" s="280">
        <f>Wind!X146</f>
        <v>15.316965779999999</v>
      </c>
      <c r="G192" s="280">
        <f>Wind!Y146</f>
        <v>13.117385259999999</v>
      </c>
      <c r="H192" s="280">
        <f>Wind!Z146</f>
        <v>13.664405550000001</v>
      </c>
      <c r="I192" s="280">
        <f>Wind!AA146</f>
        <v>19.960515749999999</v>
      </c>
      <c r="J192" s="280">
        <f>Wind!AB146</f>
        <v>50.951298890000004</v>
      </c>
      <c r="K192" s="280"/>
      <c r="L192" s="280">
        <f>Wind!CB146</f>
        <v>0</v>
      </c>
      <c r="M192" s="280">
        <f>Wind!CC146</f>
        <v>16.416799999999999</v>
      </c>
      <c r="N192" s="280">
        <f>Wind!CD146</f>
        <v>0</v>
      </c>
      <c r="O192" s="280">
        <f>Wind!CE146</f>
        <v>15.316965779999999</v>
      </c>
      <c r="P192" s="280">
        <f>Wind!CF146</f>
        <v>14.767070650000001</v>
      </c>
      <c r="Q192" s="280">
        <f>Wind!CG146</f>
        <v>14.21717552</v>
      </c>
      <c r="R192" s="280">
        <f>Wind!CH146</f>
        <v>13.66728039</v>
      </c>
      <c r="S192" s="280">
        <f>Wind!CI146</f>
        <v>13.117385259999999</v>
      </c>
      <c r="T192" s="280">
        <f>Wind!CJ146</f>
        <v>12.567490150000001</v>
      </c>
      <c r="U192" s="280">
        <f>Wind!CK146</f>
        <v>12.017595</v>
      </c>
      <c r="V192" s="280">
        <f>Wind!CL146</f>
        <v>11.46769989</v>
      </c>
      <c r="W192" s="280">
        <f>Wind!CM146</f>
        <v>13.664405550000001</v>
      </c>
      <c r="X192" s="280">
        <f>Wind!CN146</f>
        <v>13.144504939999999</v>
      </c>
      <c r="Y192" s="280">
        <f>Wind!CO146</f>
        <v>18.031147230000002</v>
      </c>
      <c r="Z192" s="280">
        <f>Wind!CP146</f>
        <v>19.14268032</v>
      </c>
      <c r="AA192" s="280">
        <f>Wind!CQ146</f>
        <v>19.960515749999999</v>
      </c>
      <c r="AB192" s="280">
        <f>Wind!CR146</f>
        <v>24.01479475</v>
      </c>
      <c r="AC192" s="280">
        <f>Wind!CS146</f>
        <v>30.388777050000002</v>
      </c>
      <c r="AD192" s="280">
        <f>Wind!CT146</f>
        <v>34.372523210000004</v>
      </c>
      <c r="AE192" s="280">
        <f>Wind!CU146</f>
        <v>50.951298890000004</v>
      </c>
      <c r="AF192" s="280">
        <f>Wind!CV146</f>
        <v>54.777163219999998</v>
      </c>
      <c r="AG192" s="280">
        <f>Wind!CW146</f>
        <v>56.901325970000002</v>
      </c>
    </row>
    <row r="193" spans="1:33">
      <c r="A193" s="277"/>
      <c r="B193" s="140" t="s">
        <v>1349</v>
      </c>
      <c r="C193" s="279"/>
      <c r="D193" s="279"/>
      <c r="E193" s="279"/>
      <c r="F193" s="279"/>
      <c r="G193" s="279"/>
      <c r="H193" s="279"/>
      <c r="I193" s="279"/>
      <c r="J193" s="279"/>
      <c r="K193" s="279"/>
      <c r="L193" s="279"/>
      <c r="M193" s="279"/>
      <c r="N193" s="279"/>
      <c r="O193" s="279"/>
      <c r="P193" s="279"/>
      <c r="Q193" s="279"/>
      <c r="R193" s="279"/>
      <c r="S193" s="279"/>
      <c r="T193" s="279"/>
      <c r="U193" s="279"/>
      <c r="V193" s="279"/>
      <c r="W193" s="279"/>
      <c r="X193" s="279"/>
      <c r="Y193" s="279"/>
      <c r="Z193" s="279"/>
      <c r="AA193" s="279"/>
      <c r="AB193" s="279"/>
      <c r="AC193" s="279"/>
      <c r="AD193" s="279"/>
      <c r="AE193" s="279"/>
      <c r="AF193" s="279"/>
      <c r="AG193" s="279"/>
    </row>
    <row r="194" spans="1:33">
      <c r="A194" s="277"/>
      <c r="B194" s="140" t="s">
        <v>761</v>
      </c>
      <c r="C194" s="279"/>
      <c r="D194" s="279"/>
      <c r="E194" s="279"/>
      <c r="F194" s="279" t="str">
        <f>Wind!X141</f>
        <v/>
      </c>
      <c r="G194" s="279">
        <f>Wind!Y141</f>
        <v>94.317364269999999</v>
      </c>
      <c r="H194" s="279">
        <f>Wind!Z141</f>
        <v>85.244622440000001</v>
      </c>
      <c r="I194" s="279">
        <f>Wind!AA141</f>
        <v>95.386367700000008</v>
      </c>
      <c r="J194" s="279">
        <f>Wind!AB141</f>
        <v>85.454382379999998</v>
      </c>
      <c r="K194" s="279"/>
      <c r="L194" s="279"/>
      <c r="M194" s="279"/>
      <c r="N194" s="279"/>
      <c r="O194" s="279"/>
      <c r="P194" s="279"/>
      <c r="Q194" s="279"/>
      <c r="R194" s="279"/>
      <c r="S194" s="279"/>
      <c r="T194" s="279"/>
      <c r="U194" s="279"/>
      <c r="V194" s="279"/>
      <c r="W194" s="279"/>
      <c r="X194" s="279"/>
      <c r="Y194" s="279"/>
      <c r="Z194" s="279"/>
      <c r="AA194" s="279"/>
      <c r="AB194" s="279"/>
      <c r="AC194" s="279"/>
      <c r="AD194" s="279"/>
      <c r="AE194" s="279"/>
      <c r="AF194" s="279"/>
      <c r="AG194" s="279"/>
    </row>
    <row r="195" spans="1:33" s="85" customFormat="1">
      <c r="A195" s="276"/>
      <c r="B195" s="282" t="s">
        <v>760</v>
      </c>
      <c r="C195" s="284">
        <f>Wind!U150-'Raw Data'!C190</f>
        <v>5.5013000000000005</v>
      </c>
      <c r="D195" s="284">
        <f>Wind!V150-'Raw Data'!D190</f>
        <v>13.810463119999994</v>
      </c>
      <c r="E195" s="284">
        <f>Wind!W150-'Raw Data'!E190</f>
        <v>16.633072529999993</v>
      </c>
      <c r="F195" s="284">
        <f>Wind!X150-'Raw Data'!F190</f>
        <v>16.303346309999995</v>
      </c>
      <c r="G195" s="284">
        <f>Wind!Y150-'Raw Data'!G190</f>
        <v>111.45274658000001</v>
      </c>
      <c r="H195" s="284">
        <f>Wind!Z150-'Raw Data'!H190</f>
        <v>99.658335969999996</v>
      </c>
      <c r="I195" s="284">
        <f>Wind!AA150-'Raw Data'!I190</f>
        <v>118.95223469999996</v>
      </c>
      <c r="J195" s="284">
        <f>Wind!AB150-'Raw Data'!J190</f>
        <v>139.67439768</v>
      </c>
      <c r="K195" s="284"/>
      <c r="L195" s="284">
        <f>Wind!CB150-'Raw Data'!L190</f>
        <v>0</v>
      </c>
      <c r="M195" s="284">
        <f>Wind!CC150-'Raw Data'!M190</f>
        <v>17.570699999999988</v>
      </c>
      <c r="N195" s="284">
        <f>Wind!CD150-'Raw Data'!N190</f>
        <v>0</v>
      </c>
      <c r="O195" s="284">
        <f>Wind!CE150-'Raw Data'!O190</f>
        <v>16.303346309999995</v>
      </c>
      <c r="P195" s="284">
        <f>Wind!CF150-'Raw Data'!P190</f>
        <v>90.820149190000052</v>
      </c>
      <c r="Q195" s="284">
        <f>Wind!CG150-'Raw Data'!Q190</f>
        <v>92.479978259999996</v>
      </c>
      <c r="R195" s="284">
        <f>Wind!CH150-'Raw Data'!R190</f>
        <v>113.09353571000003</v>
      </c>
      <c r="S195" s="284">
        <f>Wind!CI150-'Raw Data'!S190</f>
        <v>111.45274658000001</v>
      </c>
      <c r="T195" s="284">
        <f>Wind!CJ150-'Raw Data'!T190</f>
        <v>106.65426999</v>
      </c>
      <c r="U195" s="284">
        <f>Wind!CK150-'Raw Data'!U190</f>
        <v>107.77535098</v>
      </c>
      <c r="V195" s="284">
        <f>Wind!CL150-'Raw Data'!V190</f>
        <v>97.671894010000003</v>
      </c>
      <c r="W195" s="284">
        <f>Wind!CM150-'Raw Data'!W190</f>
        <v>99.658335969999996</v>
      </c>
      <c r="X195" s="284">
        <f>Wind!CN150-'Raw Data'!X190</f>
        <v>96.383436410000002</v>
      </c>
      <c r="Y195" s="284">
        <f>Wind!CO150-'Raw Data'!Y190</f>
        <v>104.63650187</v>
      </c>
      <c r="Z195" s="284">
        <f>Wind!CP150-'Raw Data'!Z190</f>
        <v>100.84079180999998</v>
      </c>
      <c r="AA195" s="284">
        <f>Wind!CQ150-'Raw Data'!AA190</f>
        <v>118.95223469999996</v>
      </c>
      <c r="AB195" s="284">
        <f>Wind!CR150-'Raw Data'!AB190</f>
        <v>127.00458560000004</v>
      </c>
      <c r="AC195" s="284">
        <f>Wind!CS150-'Raw Data'!AC190</f>
        <v>124.13783916</v>
      </c>
      <c r="AD195" s="284">
        <f>Wind!CT150-'Raw Data'!AD190</f>
        <v>125.14434579</v>
      </c>
      <c r="AE195" s="284">
        <f>Wind!CU150-'Raw Data'!AE190</f>
        <v>139.67439768</v>
      </c>
      <c r="AF195" s="284">
        <f>Wind!CV150-'Raw Data'!AF190</f>
        <v>142.04730284999999</v>
      </c>
      <c r="AG195" s="284">
        <f>Wind!CW150-'Raw Data'!AG190</f>
        <v>472.78032200999996</v>
      </c>
    </row>
    <row r="196" spans="1:33">
      <c r="A196" s="277"/>
      <c r="B196" s="275"/>
      <c r="C196" s="279"/>
      <c r="D196" s="279"/>
      <c r="E196" s="279"/>
      <c r="F196" s="279"/>
      <c r="G196" s="279"/>
      <c r="H196" s="279"/>
      <c r="I196" s="279"/>
      <c r="J196" s="279"/>
      <c r="K196" s="279"/>
      <c r="L196" s="279"/>
      <c r="M196" s="279"/>
      <c r="N196" s="279"/>
      <c r="O196" s="279"/>
      <c r="P196" s="279"/>
      <c r="Q196" s="279"/>
      <c r="R196" s="279"/>
      <c r="S196" s="279"/>
      <c r="T196" s="279"/>
      <c r="U196" s="279"/>
      <c r="V196" s="279"/>
      <c r="W196" s="279"/>
      <c r="X196" s="279"/>
      <c r="Y196" s="279"/>
      <c r="Z196" s="279"/>
      <c r="AA196" s="279"/>
      <c r="AB196" s="279"/>
      <c r="AC196" s="279"/>
      <c r="AD196" s="279"/>
      <c r="AE196" s="279"/>
      <c r="AF196" s="279"/>
      <c r="AG196" s="279"/>
    </row>
    <row r="197" spans="1:33">
      <c r="A197" s="277"/>
      <c r="B197" s="988" t="s">
        <v>759</v>
      </c>
      <c r="C197" s="989"/>
      <c r="D197" s="989"/>
      <c r="E197" s="989"/>
      <c r="F197" s="989"/>
      <c r="G197" s="989"/>
      <c r="H197" s="989"/>
      <c r="I197" s="989"/>
      <c r="J197" s="989"/>
      <c r="K197" s="279"/>
      <c r="L197" s="989"/>
      <c r="M197" s="989"/>
      <c r="N197" s="989"/>
      <c r="O197" s="989"/>
      <c r="P197" s="989"/>
      <c r="Q197" s="989"/>
      <c r="R197" s="989"/>
      <c r="S197" s="989"/>
      <c r="T197" s="989"/>
      <c r="U197" s="989"/>
      <c r="V197" s="989"/>
      <c r="W197" s="989"/>
      <c r="X197" s="989"/>
      <c r="Y197" s="989"/>
      <c r="Z197" s="989"/>
      <c r="AA197" s="989"/>
      <c r="AB197" s="989"/>
      <c r="AC197" s="989"/>
      <c r="AD197" s="989"/>
      <c r="AE197" s="989"/>
      <c r="AF197" s="989"/>
      <c r="AG197" s="989"/>
    </row>
    <row r="198" spans="1:33">
      <c r="A198" s="277"/>
      <c r="B198" s="149" t="s">
        <v>758</v>
      </c>
      <c r="C198" s="280">
        <f>Wind!U155</f>
        <v>150.81970000000001</v>
      </c>
      <c r="D198" s="280">
        <f>Wind!V155</f>
        <v>350</v>
      </c>
      <c r="E198" s="280">
        <f>Wind!W155</f>
        <v>360</v>
      </c>
      <c r="F198" s="280">
        <f>Wind!X155</f>
        <v>360</v>
      </c>
      <c r="G198" s="280">
        <f>Wind!Y155</f>
        <v>400.01</v>
      </c>
      <c r="H198" s="280">
        <f>Wind!Z155</f>
        <v>400.01</v>
      </c>
      <c r="I198" s="280">
        <f>Wind!AA155</f>
        <v>400.01</v>
      </c>
      <c r="J198" s="280">
        <f>Wind!AB155</f>
        <v>520.01300000000003</v>
      </c>
      <c r="K198" s="280"/>
      <c r="L198" s="280">
        <f>Wind!CB155</f>
        <v>0</v>
      </c>
      <c r="M198" s="280">
        <f>Wind!CC155</f>
        <v>360</v>
      </c>
      <c r="N198" s="280">
        <f>Wind!CD155</f>
        <v>0</v>
      </c>
      <c r="O198" s="280">
        <f>Wind!CE155</f>
        <v>360</v>
      </c>
      <c r="P198" s="280">
        <f>Wind!CF155</f>
        <v>360</v>
      </c>
      <c r="Q198" s="280">
        <f>Wind!CG155</f>
        <v>400.01</v>
      </c>
      <c r="R198" s="280">
        <f>Wind!CH155</f>
        <v>400.01</v>
      </c>
      <c r="S198" s="280">
        <f>Wind!CI155</f>
        <v>400.01</v>
      </c>
      <c r="T198" s="280">
        <f>Wind!CJ155</f>
        <v>400.01</v>
      </c>
      <c r="U198" s="280">
        <f>Wind!CK155</f>
        <v>400.01</v>
      </c>
      <c r="V198" s="280">
        <f>Wind!CL155</f>
        <v>400.01</v>
      </c>
      <c r="W198" s="280">
        <f>Wind!CM155</f>
        <v>400.01</v>
      </c>
      <c r="X198" s="280">
        <f>Wind!CN155</f>
        <v>400.01</v>
      </c>
      <c r="Y198" s="280">
        <f>Wind!CO155</f>
        <v>400.01</v>
      </c>
      <c r="Z198" s="280">
        <f>Wind!CP155</f>
        <v>400.01</v>
      </c>
      <c r="AA198" s="280">
        <f>Wind!CQ155</f>
        <v>400.01</v>
      </c>
      <c r="AB198" s="280">
        <f>Wind!CR155</f>
        <v>400.01</v>
      </c>
      <c r="AC198" s="280">
        <f>Wind!CS155</f>
        <v>400.01</v>
      </c>
      <c r="AD198" s="280">
        <f>Wind!CT155</f>
        <v>520.01300000000003</v>
      </c>
      <c r="AE198" s="280">
        <f>Wind!CU155</f>
        <v>520.01300000000003</v>
      </c>
      <c r="AF198" s="280">
        <f>Wind!CV155</f>
        <v>520.01300000000003</v>
      </c>
      <c r="AG198" s="280">
        <f>Wind!CW155</f>
        <v>520.01300000000003</v>
      </c>
    </row>
    <row r="199" spans="1:33">
      <c r="A199" s="277"/>
      <c r="B199" s="149"/>
      <c r="C199" s="279"/>
      <c r="D199" s="279"/>
      <c r="E199" s="279"/>
      <c r="F199" s="279"/>
      <c r="G199" s="279"/>
      <c r="H199" s="279"/>
      <c r="I199" s="279"/>
      <c r="J199" s="279"/>
      <c r="K199" s="279"/>
      <c r="L199" s="279"/>
      <c r="M199" s="279"/>
      <c r="N199" s="279"/>
      <c r="O199" s="279"/>
      <c r="P199" s="279"/>
      <c r="Q199" s="279"/>
      <c r="R199" s="279"/>
      <c r="S199" s="279"/>
      <c r="T199" s="279"/>
      <c r="U199" s="279"/>
      <c r="V199" s="279"/>
      <c r="W199" s="279"/>
      <c r="X199" s="279"/>
      <c r="Y199" s="279"/>
      <c r="Z199" s="279"/>
      <c r="AA199" s="279"/>
      <c r="AB199" s="279"/>
      <c r="AC199" s="279"/>
      <c r="AD199" s="279"/>
      <c r="AE199" s="279"/>
      <c r="AF199" s="279"/>
      <c r="AG199" s="279"/>
    </row>
    <row r="200" spans="1:33">
      <c r="A200" s="277"/>
      <c r="B200" s="149"/>
      <c r="C200" s="279"/>
      <c r="D200" s="279"/>
      <c r="E200" s="279"/>
      <c r="F200" s="279"/>
      <c r="G200" s="279"/>
      <c r="H200" s="279"/>
      <c r="I200" s="279"/>
      <c r="J200" s="279"/>
      <c r="K200" s="279"/>
      <c r="L200" s="279"/>
      <c r="M200" s="279"/>
      <c r="N200" s="279"/>
      <c r="O200" s="279"/>
      <c r="P200" s="279"/>
      <c r="Q200" s="279"/>
      <c r="R200" s="279"/>
      <c r="S200" s="279"/>
      <c r="T200" s="279"/>
      <c r="U200" s="279"/>
      <c r="V200" s="279"/>
      <c r="W200" s="279"/>
      <c r="X200" s="279"/>
      <c r="Y200" s="279"/>
      <c r="Z200" s="279"/>
      <c r="AA200" s="279"/>
      <c r="AB200" s="279"/>
      <c r="AC200" s="279"/>
      <c r="AD200" s="279"/>
      <c r="AE200" s="279"/>
      <c r="AF200" s="279"/>
      <c r="AG200" s="279"/>
    </row>
    <row r="201" spans="1:33">
      <c r="A201" s="291" t="s">
        <v>363</v>
      </c>
      <c r="B201" s="149" t="s">
        <v>757</v>
      </c>
      <c r="C201" s="290">
        <f>Wind!U158+Wind!U160</f>
        <v>435.613</v>
      </c>
      <c r="D201" s="290">
        <f>Wind!V158+Wind!V160</f>
        <v>462.13633170999998</v>
      </c>
      <c r="E201" s="290">
        <f>Wind!W158+Wind!W160</f>
        <v>892.71022730000004</v>
      </c>
      <c r="F201" s="290">
        <f>Wind!X158+Wind!X160</f>
        <v>1164.7737382800001</v>
      </c>
      <c r="G201" s="290">
        <f>Wind!Y158+Wind!Y160</f>
        <v>1757.7191458699999</v>
      </c>
      <c r="H201" s="290">
        <f>Wind!Z158+Wind!Z160</f>
        <v>2598.2247172300004</v>
      </c>
      <c r="I201" s="290">
        <f>Wind!AA158+Wind!AA160</f>
        <v>3838.2863147900002</v>
      </c>
      <c r="J201" s="290">
        <f>Wind!AB158+Wind!AB160</f>
        <v>5164.9451672300002</v>
      </c>
      <c r="K201" s="290"/>
      <c r="L201" s="290">
        <f>Wind!CB158+Wind!CB160</f>
        <v>0</v>
      </c>
      <c r="M201" s="290">
        <f>Wind!CC158+Wind!CC160</f>
        <v>974.01739999999995</v>
      </c>
      <c r="N201" s="290">
        <f>Wind!CD158+Wind!CD160</f>
        <v>0</v>
      </c>
      <c r="O201" s="290">
        <f>Wind!CE158+Wind!CE160</f>
        <v>1164.7737382800001</v>
      </c>
      <c r="P201" s="290">
        <f>Wind!CF158+Wind!CF160</f>
        <v>1506.6632038400001</v>
      </c>
      <c r="Q201" s="290">
        <f>Wind!CG158+Wind!CG160</f>
        <v>1840.5998687200001</v>
      </c>
      <c r="R201" s="290">
        <f>Wind!CH158+Wind!CH160</f>
        <v>1560.7926877699999</v>
      </c>
      <c r="S201" s="290">
        <f>Wind!CI158+Wind!CI160</f>
        <v>1757.7191458699999</v>
      </c>
      <c r="T201" s="290">
        <f>Wind!CJ158+Wind!CJ160</f>
        <v>1502.3530656400003</v>
      </c>
      <c r="U201" s="290">
        <f>Wind!CK158+Wind!CK160</f>
        <v>1912.3339227900001</v>
      </c>
      <c r="V201" s="290">
        <f>Wind!CL158+Wind!CL160</f>
        <v>2323.2101962199999</v>
      </c>
      <c r="W201" s="290">
        <f>Wind!CM158+Wind!CM160</f>
        <v>2598.2247172300004</v>
      </c>
      <c r="X201" s="290">
        <f>Wind!CN158+Wind!CN160</f>
        <v>3095.7852408700001</v>
      </c>
      <c r="Y201" s="290">
        <f>Wind!CO158+Wind!CO160</f>
        <v>2906.6337599899998</v>
      </c>
      <c r="Z201" s="290">
        <f>Wind!CP158+Wind!CP160</f>
        <v>3454.1143652400001</v>
      </c>
      <c r="AA201" s="290">
        <f>Wind!CQ158+Wind!CQ160</f>
        <v>3838.2863147900002</v>
      </c>
      <c r="AB201" s="290">
        <f>Wind!CR158+Wind!CR160</f>
        <v>4502.1667130900005</v>
      </c>
      <c r="AC201" s="290">
        <f>Wind!CS158+Wind!CS160</f>
        <v>4568.8528135799997</v>
      </c>
      <c r="AD201" s="290">
        <f>Wind!CT158+Wind!CT160</f>
        <v>4545.6287222299998</v>
      </c>
      <c r="AE201" s="290">
        <f>Wind!CU158+Wind!CU160</f>
        <v>5164.9451672300002</v>
      </c>
      <c r="AF201" s="290">
        <f>Wind!CV158+Wind!CV160</f>
        <v>6144.9546974900004</v>
      </c>
      <c r="AG201" s="290">
        <f>Wind!CW158+Wind!CW160</f>
        <v>6239.6634526700009</v>
      </c>
    </row>
    <row r="202" spans="1:33">
      <c r="A202" s="277"/>
      <c r="B202" s="149" t="s">
        <v>156</v>
      </c>
      <c r="C202" s="279"/>
      <c r="D202" s="279"/>
      <c r="E202" s="279"/>
      <c r="F202" s="279"/>
      <c r="G202" s="279"/>
      <c r="H202" s="279"/>
      <c r="I202" s="279"/>
      <c r="J202" s="279"/>
      <c r="K202" s="279"/>
      <c r="L202" s="279"/>
      <c r="M202" s="279"/>
      <c r="N202" s="279"/>
      <c r="O202" s="279"/>
      <c r="P202" s="279"/>
      <c r="Q202" s="279"/>
      <c r="R202" s="279"/>
      <c r="S202" s="279"/>
      <c r="T202" s="279"/>
      <c r="U202" s="279"/>
      <c r="V202" s="279"/>
      <c r="W202" s="279"/>
      <c r="X202" s="279"/>
      <c r="Y202" s="279"/>
      <c r="Z202" s="279"/>
      <c r="AA202" s="279"/>
      <c r="AB202" s="279"/>
      <c r="AC202" s="279"/>
      <c r="AD202" s="279"/>
      <c r="AE202" s="279"/>
      <c r="AF202" s="279"/>
      <c r="AG202" s="279"/>
    </row>
    <row r="203" spans="1:33">
      <c r="A203" s="277"/>
      <c r="B203" s="149" t="s">
        <v>154</v>
      </c>
      <c r="C203" s="280">
        <f>-Wind!U157</f>
        <v>0</v>
      </c>
      <c r="D203" s="280">
        <f>-Wind!V157</f>
        <v>0</v>
      </c>
      <c r="E203" s="280">
        <f>-Wind!W157</f>
        <v>0</v>
      </c>
      <c r="F203" s="280">
        <f>-Wind!X157</f>
        <v>0</v>
      </c>
      <c r="G203" s="280">
        <f>-Wind!Y157</f>
        <v>0</v>
      </c>
      <c r="H203" s="280">
        <f>-Wind!Z157</f>
        <v>0</v>
      </c>
      <c r="I203" s="280">
        <f>-Wind!AA157</f>
        <v>0</v>
      </c>
      <c r="J203" s="280">
        <f>-Wind!AB157</f>
        <v>0</v>
      </c>
      <c r="K203" s="280"/>
      <c r="L203" s="280">
        <f>-Wind!CB157</f>
        <v>0</v>
      </c>
      <c r="M203" s="280">
        <f>-Wind!CC157</f>
        <v>0</v>
      </c>
      <c r="N203" s="280">
        <f>-Wind!CD157</f>
        <v>0</v>
      </c>
      <c r="O203" s="280">
        <f>-Wind!CE157</f>
        <v>0</v>
      </c>
      <c r="P203" s="280">
        <f>-Wind!CF157</f>
        <v>0</v>
      </c>
      <c r="Q203" s="280">
        <f>-Wind!CG157</f>
        <v>0</v>
      </c>
      <c r="R203" s="280">
        <f>-Wind!CH157</f>
        <v>0</v>
      </c>
      <c r="S203" s="280">
        <f>-Wind!CI157</f>
        <v>0</v>
      </c>
      <c r="T203" s="280">
        <f>-Wind!CJ157</f>
        <v>0</v>
      </c>
      <c r="U203" s="280">
        <f>-Wind!CK157</f>
        <v>0</v>
      </c>
      <c r="V203" s="280">
        <f>-Wind!CL157</f>
        <v>0</v>
      </c>
      <c r="W203" s="280">
        <f>-Wind!CM157</f>
        <v>0</v>
      </c>
      <c r="X203" s="280">
        <f>-Wind!CN157</f>
        <v>0</v>
      </c>
      <c r="Y203" s="280">
        <f>-Wind!CO157</f>
        <v>0</v>
      </c>
      <c r="Z203" s="280">
        <f>-Wind!CP157</f>
        <v>0</v>
      </c>
      <c r="AA203" s="280">
        <f>-Wind!CQ157</f>
        <v>0</v>
      </c>
      <c r="AB203" s="280">
        <f>-Wind!CR157</f>
        <v>0</v>
      </c>
      <c r="AC203" s="280">
        <f>-Wind!CS157</f>
        <v>0</v>
      </c>
      <c r="AD203" s="280">
        <f>-Wind!CT157</f>
        <v>0</v>
      </c>
      <c r="AE203" s="280">
        <f>-Wind!CU157</f>
        <v>0</v>
      </c>
      <c r="AF203" s="280">
        <f>-Wind!CV157</f>
        <v>0</v>
      </c>
      <c r="AG203" s="280">
        <f>-Wind!CW157</f>
        <v>0</v>
      </c>
    </row>
    <row r="204" spans="1:33">
      <c r="A204" s="277"/>
      <c r="B204" s="149" t="s">
        <v>756</v>
      </c>
      <c r="C204" s="280">
        <f>Wind!U167-'Raw Data'!C198-'Raw Data'!C201-'Raw Data'!C202-'Raw Data'!C203-'Raw Data'!C205</f>
        <v>284.68030000000005</v>
      </c>
      <c r="D204" s="280">
        <f>Wind!V167-'Raw Data'!D198-'Raw Data'!D201-'Raw Data'!D202-'Raw Data'!D203-'Raw Data'!D205</f>
        <v>274.80763627999994</v>
      </c>
      <c r="E204" s="280">
        <f>Wind!W167-'Raw Data'!E198-'Raw Data'!E201-'Raw Data'!E202-'Raw Data'!E203-'Raw Data'!E205</f>
        <v>382.47063627999978</v>
      </c>
      <c r="F204" s="280">
        <f>Wind!X167-'Raw Data'!F198-'Raw Data'!F201-'Raw Data'!F202-'Raw Data'!F203-'Raw Data'!F205</f>
        <v>388.4796362799998</v>
      </c>
      <c r="G204" s="280">
        <f>Wind!Y167-'Raw Data'!G198-'Raw Data'!G201-'Raw Data'!G202-'Raw Data'!G203-'Raw Data'!G205</f>
        <v>2080.3963948299997</v>
      </c>
      <c r="H204" s="280">
        <f>Wind!Z167-'Raw Data'!H198-'Raw Data'!H201-'Raw Data'!H202-'Raw Data'!H203-'Raw Data'!H205</f>
        <v>2066.0562937299992</v>
      </c>
      <c r="I204" s="280">
        <f>Wind!AA167-'Raw Data'!I198-'Raw Data'!I201-'Raw Data'!I202-'Raw Data'!I203-'Raw Data'!I205</f>
        <v>2085.4615335799995</v>
      </c>
      <c r="J204" s="280">
        <f>Wind!AB167-'Raw Data'!J198-'Raw Data'!J201-'Raw Data'!J202-'Raw Data'!J203-'Raw Data'!J205</f>
        <v>2002.8451705199998</v>
      </c>
      <c r="K204" s="280"/>
      <c r="L204" s="280">
        <f>Wind!CB167-'Raw Data'!L198-'Raw Data'!L201-'Raw Data'!L202-'Raw Data'!L203-'Raw Data'!L205</f>
        <v>0</v>
      </c>
      <c r="M204" s="280">
        <f>Wind!CC167-'Raw Data'!M198-'Raw Data'!M201-'Raw Data'!M202-'Raw Data'!M203-'Raw Data'!M205</f>
        <v>382.76860000000011</v>
      </c>
      <c r="N204" s="280">
        <f>Wind!CD167-'Raw Data'!N198-'Raw Data'!N201-'Raw Data'!N202-'Raw Data'!N203-'Raw Data'!N205</f>
        <v>0</v>
      </c>
      <c r="O204" s="280">
        <f>Wind!CE167-'Raw Data'!O198-'Raw Data'!O201-'Raw Data'!O202-'Raw Data'!O203-'Raw Data'!O205</f>
        <v>388.4796362799998</v>
      </c>
      <c r="P204" s="280">
        <f>Wind!CF167-'Raw Data'!P198-'Raw Data'!P201-'Raw Data'!P202-'Raw Data'!P203-'Raw Data'!P205</f>
        <v>388.47963628000002</v>
      </c>
      <c r="Q204" s="280">
        <f>Wind!CG167-'Raw Data'!Q198-'Raw Data'!Q201-'Raw Data'!Q202-'Raw Data'!Q203-'Raw Data'!Q205</f>
        <v>2080.3963948299997</v>
      </c>
      <c r="R204" s="280">
        <f>Wind!CH167-'Raw Data'!R198-'Raw Data'!R201-'Raw Data'!R202-'Raw Data'!R203-'Raw Data'!R205</f>
        <v>2080.3963948299997</v>
      </c>
      <c r="S204" s="280">
        <f>Wind!CI167-'Raw Data'!S198-'Raw Data'!S201-'Raw Data'!S202-'Raw Data'!S203-'Raw Data'!S205</f>
        <v>2080.3963948299997</v>
      </c>
      <c r="T204" s="280">
        <f>Wind!CJ167-'Raw Data'!T198-'Raw Data'!T201-'Raw Data'!T202-'Raw Data'!T203-'Raw Data'!T205</f>
        <v>2080.3963948299993</v>
      </c>
      <c r="U204" s="280">
        <f>Wind!CK167-'Raw Data'!U198-'Raw Data'!U201-'Raw Data'!U202-'Raw Data'!U203-'Raw Data'!U205</f>
        <v>2080.3963948299993</v>
      </c>
      <c r="V204" s="280">
        <f>Wind!CL167-'Raw Data'!V198-'Raw Data'!V201-'Raw Data'!V202-'Raw Data'!V203-'Raw Data'!V205</f>
        <v>2080.4055225500001</v>
      </c>
      <c r="W204" s="280">
        <f>Wind!CM167-'Raw Data'!W198-'Raw Data'!W201-'Raw Data'!W202-'Raw Data'!W203-'Raw Data'!W205</f>
        <v>2066.0562937299992</v>
      </c>
      <c r="X204" s="280">
        <f>Wind!CN167-'Raw Data'!X198-'Raw Data'!X201-'Raw Data'!X202-'Raw Data'!X203-'Raw Data'!X205</f>
        <v>2057.5330621499998</v>
      </c>
      <c r="Y204" s="280">
        <f>Wind!CO167-'Raw Data'!Y198-'Raw Data'!Y201-'Raw Data'!Y202-'Raw Data'!Y203-'Raw Data'!Y205</f>
        <v>2128.02686429</v>
      </c>
      <c r="Z204" s="280">
        <f>Wind!CP167-'Raw Data'!Z198-'Raw Data'!Z201-'Raw Data'!Z202-'Raw Data'!Z203-'Raw Data'!Z205</f>
        <v>2121.7926673099996</v>
      </c>
      <c r="AA204" s="280">
        <f>Wind!CQ167-'Raw Data'!AA198-'Raw Data'!AA201-'Raw Data'!AA202-'Raw Data'!AA203-'Raw Data'!AA205</f>
        <v>2085.4615335799995</v>
      </c>
      <c r="AB204" s="280">
        <f>Wind!CR167-'Raw Data'!AB198-'Raw Data'!AB201-'Raw Data'!AB202-'Raw Data'!AB203-'Raw Data'!AB205</f>
        <v>2085.9841251799999</v>
      </c>
      <c r="AC204" s="280">
        <f>Wind!CS167-'Raw Data'!AC198-'Raw Data'!AC201-'Raw Data'!AC202-'Raw Data'!AC203-'Raw Data'!AC205</f>
        <v>2096.0144164400008</v>
      </c>
      <c r="AD204" s="280">
        <f>Wind!CT167-'Raw Data'!AD198-'Raw Data'!AD201-'Raw Data'!AD202-'Raw Data'!AD203-'Raw Data'!AD205</f>
        <v>1957.2238216699998</v>
      </c>
      <c r="AE204" s="280">
        <f>Wind!CU167-'Raw Data'!AE198-'Raw Data'!AE201-'Raw Data'!AE202-'Raw Data'!AE203-'Raw Data'!AE205</f>
        <v>2002.8451705199998</v>
      </c>
      <c r="AF204" s="280">
        <f>Wind!CV167-'Raw Data'!AF198-'Raw Data'!AF201-'Raw Data'!AF202-'Raw Data'!AF203-'Raw Data'!AF205</f>
        <v>1993.1867346699989</v>
      </c>
      <c r="AG204" s="280">
        <f>Wind!CW167-'Raw Data'!AG198-'Raw Data'!AG201-'Raw Data'!AG202-'Raw Data'!AG203-'Raw Data'!AG205</f>
        <v>1975.9075049599983</v>
      </c>
    </row>
    <row r="205" spans="1:33">
      <c r="A205" s="277"/>
      <c r="B205" s="149" t="s">
        <v>755</v>
      </c>
      <c r="C205" s="280">
        <f>Wind!U163</f>
        <v>0</v>
      </c>
      <c r="D205" s="280">
        <f>Wind!V163</f>
        <v>0</v>
      </c>
      <c r="E205" s="280">
        <f>Wind!W163</f>
        <v>0</v>
      </c>
      <c r="F205" s="280">
        <f>Wind!X163</f>
        <v>0</v>
      </c>
      <c r="G205" s="280">
        <f>Wind!Y163</f>
        <v>0</v>
      </c>
      <c r="H205" s="280">
        <f>Wind!Z163</f>
        <v>0</v>
      </c>
      <c r="I205" s="280">
        <f>Wind!AA163</f>
        <v>0</v>
      </c>
      <c r="J205" s="280">
        <f>Wind!AB163</f>
        <v>3.77663225</v>
      </c>
      <c r="K205" s="280"/>
      <c r="L205" s="280">
        <f>Wind!CB163</f>
        <v>0</v>
      </c>
      <c r="M205" s="280">
        <f>Wind!CC163</f>
        <v>0</v>
      </c>
      <c r="N205" s="280">
        <f>Wind!CD163</f>
        <v>0</v>
      </c>
      <c r="O205" s="280">
        <f>Wind!CE163</f>
        <v>0</v>
      </c>
      <c r="P205" s="280">
        <f>Wind!CF163</f>
        <v>0</v>
      </c>
      <c r="Q205" s="280">
        <f>Wind!CG163</f>
        <v>0</v>
      </c>
      <c r="R205" s="280">
        <f>Wind!CH163</f>
        <v>0</v>
      </c>
      <c r="S205" s="280">
        <f>Wind!CI163</f>
        <v>0</v>
      </c>
      <c r="T205" s="280">
        <f>Wind!CJ163</f>
        <v>0</v>
      </c>
      <c r="U205" s="280">
        <f>Wind!CK163</f>
        <v>0</v>
      </c>
      <c r="V205" s="280">
        <f>Wind!CL163</f>
        <v>0</v>
      </c>
      <c r="W205" s="280">
        <f>Wind!CM163</f>
        <v>0</v>
      </c>
      <c r="X205" s="280">
        <f>Wind!CN163</f>
        <v>0</v>
      </c>
      <c r="Y205" s="280">
        <f>Wind!CO163</f>
        <v>0</v>
      </c>
      <c r="Z205" s="280">
        <f>Wind!CP163</f>
        <v>0</v>
      </c>
      <c r="AA205" s="280">
        <f>Wind!CQ163</f>
        <v>0</v>
      </c>
      <c r="AB205" s="280">
        <f>Wind!CR163</f>
        <v>0</v>
      </c>
      <c r="AC205" s="280">
        <f>Wind!CS163</f>
        <v>0</v>
      </c>
      <c r="AD205" s="280">
        <f>Wind!CT163</f>
        <v>0</v>
      </c>
      <c r="AE205" s="280">
        <f>Wind!CU163</f>
        <v>3.77663225</v>
      </c>
      <c r="AF205" s="280">
        <f>Wind!CV163</f>
        <v>3.7224751499999997</v>
      </c>
      <c r="AG205" s="280">
        <f>Wind!CW163</f>
        <v>3.5404106099999999</v>
      </c>
    </row>
    <row r="206" spans="1:33">
      <c r="A206" s="277"/>
      <c r="B206" s="149"/>
      <c r="C206" s="279"/>
      <c r="D206" s="279"/>
      <c r="E206" s="279"/>
      <c r="F206" s="279"/>
      <c r="G206" s="279"/>
      <c r="H206" s="279"/>
      <c r="I206" s="279"/>
      <c r="J206" s="279"/>
      <c r="K206" s="279"/>
      <c r="L206" s="279"/>
      <c r="M206" s="279"/>
      <c r="N206" s="279"/>
      <c r="O206" s="279"/>
      <c r="P206" s="279"/>
      <c r="Q206" s="279"/>
      <c r="R206" s="279"/>
      <c r="S206" s="279"/>
      <c r="T206" s="279"/>
      <c r="U206" s="279"/>
      <c r="V206" s="279"/>
      <c r="W206" s="279"/>
      <c r="X206" s="279"/>
      <c r="Y206" s="279"/>
      <c r="Z206" s="279"/>
      <c r="AA206" s="279"/>
      <c r="AB206" s="279"/>
      <c r="AC206" s="279"/>
      <c r="AD206" s="279"/>
      <c r="AE206" s="279"/>
      <c r="AF206" s="279"/>
      <c r="AG206" s="279"/>
    </row>
    <row r="207" spans="1:33" s="85" customFormat="1">
      <c r="A207" s="276"/>
      <c r="B207" s="282" t="s">
        <v>754</v>
      </c>
      <c r="C207" s="281">
        <f t="shared" ref="C207:I207" si="112">C170+C175+C184+C190+C195+SUM(C198:C205)</f>
        <v>2051.0144</v>
      </c>
      <c r="D207" s="281">
        <f t="shared" si="112"/>
        <v>2107.5256873399999</v>
      </c>
      <c r="E207" s="281">
        <f t="shared" si="112"/>
        <v>3340.7003072799998</v>
      </c>
      <c r="F207" s="281">
        <f t="shared" si="112"/>
        <v>4361.2864474100006</v>
      </c>
      <c r="G207" s="281">
        <f t="shared" si="112"/>
        <v>7790.4911589799995</v>
      </c>
      <c r="H207" s="281">
        <f t="shared" si="112"/>
        <v>11869.648285859999</v>
      </c>
      <c r="I207" s="281">
        <f t="shared" si="112"/>
        <v>14710.049912670002</v>
      </c>
      <c r="J207" s="281">
        <f>J170+J175+J184+J190+J195+SUM(J198:J205)</f>
        <v>22676.296132899999</v>
      </c>
      <c r="K207" s="281"/>
      <c r="L207" s="281">
        <f t="shared" ref="L207:R207" si="113">L170+L175+L184+L190+L195+SUM(L198:L205)</f>
        <v>0</v>
      </c>
      <c r="M207" s="281">
        <f t="shared" si="113"/>
        <v>3730.6382000000003</v>
      </c>
      <c r="N207" s="281">
        <f t="shared" si="113"/>
        <v>0</v>
      </c>
      <c r="O207" s="281">
        <f t="shared" si="113"/>
        <v>4361.2864474100006</v>
      </c>
      <c r="P207" s="281">
        <f t="shared" si="113"/>
        <v>4661.1823415399995</v>
      </c>
      <c r="Q207" s="281">
        <f t="shared" si="113"/>
        <v>7096.92610212</v>
      </c>
      <c r="R207" s="281">
        <f t="shared" si="113"/>
        <v>6678.7395582299996</v>
      </c>
      <c r="S207" s="281">
        <f t="shared" ref="S207:AB207" si="114">S170+S175+S184+S190+S195+SUM(S198:S205)</f>
        <v>7790.4911589799995</v>
      </c>
      <c r="T207" s="281">
        <f t="shared" si="114"/>
        <v>8955.5629127399989</v>
      </c>
      <c r="U207" s="281">
        <f t="shared" si="114"/>
        <v>9647.5299397599993</v>
      </c>
      <c r="V207" s="281">
        <f t="shared" si="114"/>
        <v>10482.92541403</v>
      </c>
      <c r="W207" s="281">
        <f t="shared" si="114"/>
        <v>11869.648285859999</v>
      </c>
      <c r="X207" s="281">
        <f t="shared" si="114"/>
        <v>12827.939817549999</v>
      </c>
      <c r="Y207" s="281">
        <f t="shared" si="114"/>
        <v>13518.30494068</v>
      </c>
      <c r="Z207" s="281">
        <f t="shared" si="114"/>
        <v>14629.98270805</v>
      </c>
      <c r="AA207" s="281">
        <f t="shared" si="114"/>
        <v>14710.049912670002</v>
      </c>
      <c r="AB207" s="281">
        <f t="shared" si="114"/>
        <v>15816.284627500001</v>
      </c>
      <c r="AC207" s="281">
        <f>AC170+AC175+AC184+AC190+AC195+SUM(AC198:AC205)</f>
        <v>18647.327195540001</v>
      </c>
      <c r="AD207" s="281">
        <f>AD170+AD175+AD184+AD190+AD195+SUM(AD198:AD205)</f>
        <v>19909.541894000002</v>
      </c>
      <c r="AE207" s="281">
        <f>AE170+AE175+AE184+AE190+AE195+SUM(AE198:AE205)</f>
        <v>22676.296132899999</v>
      </c>
      <c r="AF207" s="281">
        <f t="shared" ref="AF207" si="115">AF170+AF175+AF184+AF190+AF195+SUM(AF198:AF205)</f>
        <v>22681.820470259998</v>
      </c>
      <c r="AG207" s="281">
        <f t="shared" ref="AG207" si="116">AG170+AG175+AG184+AG190+AG195+SUM(AG198:AG205)</f>
        <v>22915.401434979998</v>
      </c>
    </row>
    <row r="208" spans="1:33" s="273" customFormat="1">
      <c r="A208" s="274"/>
      <c r="B208" s="275" t="s">
        <v>657</v>
      </c>
    </row>
    <row r="209" spans="1:33" s="85" customFormat="1">
      <c r="A209" s="276"/>
      <c r="B209" s="289" t="s">
        <v>753</v>
      </c>
      <c r="C209" s="288">
        <f t="shared" ref="C209:I209" si="117">IF(ROUND(C159-C207,10)=0,"OK",C159-C207)</f>
        <v>-4.2000000003099558E-3</v>
      </c>
      <c r="D209" s="288">
        <f t="shared" si="117"/>
        <v>4.2730000131996349E-5</v>
      </c>
      <c r="E209" s="288">
        <f t="shared" si="117"/>
        <v>-2.7269999463896966E-5</v>
      </c>
      <c r="F209" s="288">
        <f t="shared" si="117"/>
        <v>-2.5170000299112871E-5</v>
      </c>
      <c r="G209" s="288" t="str">
        <f t="shared" si="117"/>
        <v>OK</v>
      </c>
      <c r="H209" s="288" t="str">
        <f t="shared" si="117"/>
        <v>OK</v>
      </c>
      <c r="I209" s="288" t="str">
        <f t="shared" si="117"/>
        <v>OK</v>
      </c>
      <c r="J209" s="288" t="str">
        <f>IF(ROUND(J159-J207,10)=0,"OK",J159-J207)</f>
        <v>OK</v>
      </c>
      <c r="K209" s="288"/>
      <c r="L209" s="288"/>
      <c r="M209" s="288"/>
      <c r="N209" s="288"/>
      <c r="O209" s="288"/>
      <c r="P209" s="288"/>
      <c r="Q209" s="288"/>
      <c r="R209" s="288"/>
      <c r="S209" s="288"/>
      <c r="T209" s="288"/>
      <c r="U209" s="288"/>
      <c r="V209" s="288"/>
      <c r="W209" s="288"/>
      <c r="X209" s="288"/>
      <c r="Y209" s="288"/>
      <c r="Z209" s="288"/>
      <c r="AA209" s="288"/>
      <c r="AB209" s="288"/>
      <c r="AC209" s="288"/>
      <c r="AD209" s="288"/>
      <c r="AE209" s="288"/>
      <c r="AF209" s="288"/>
      <c r="AG209" s="288"/>
    </row>
    <row r="210" spans="1:33" s="85" customFormat="1">
      <c r="A210" s="276"/>
      <c r="B210" s="149"/>
    </row>
    <row r="211" spans="1:33">
      <c r="A211" s="277"/>
      <c r="B211" s="988" t="s">
        <v>752</v>
      </c>
      <c r="C211" s="989"/>
      <c r="D211" s="989"/>
      <c r="E211" s="989"/>
      <c r="F211" s="989"/>
      <c r="G211" s="989"/>
      <c r="H211" s="989"/>
      <c r="I211" s="989"/>
      <c r="J211" s="989"/>
      <c r="K211" s="279"/>
      <c r="L211" s="989"/>
      <c r="M211" s="989"/>
      <c r="N211" s="989"/>
      <c r="O211" s="989"/>
      <c r="P211" s="989"/>
      <c r="Q211" s="989"/>
      <c r="R211" s="989"/>
      <c r="S211" s="989"/>
      <c r="T211" s="989"/>
      <c r="U211" s="989"/>
      <c r="V211" s="989"/>
      <c r="W211" s="989"/>
      <c r="X211" s="989"/>
      <c r="Y211" s="989"/>
      <c r="Z211" s="989"/>
      <c r="AA211" s="989"/>
      <c r="AB211" s="989"/>
      <c r="AC211" s="989"/>
      <c r="AD211" s="989"/>
      <c r="AE211" s="989"/>
      <c r="AF211" s="989"/>
      <c r="AG211" s="989"/>
    </row>
    <row r="212" spans="1:33" s="279" customFormat="1">
      <c r="A212" s="287"/>
      <c r="B212" s="140" t="s">
        <v>751</v>
      </c>
    </row>
    <row r="213" spans="1:33" s="279" customFormat="1">
      <c r="A213" s="287"/>
      <c r="B213" s="140" t="s">
        <v>750</v>
      </c>
    </row>
    <row r="214" spans="1:33" s="279" customFormat="1">
      <c r="A214" s="287"/>
      <c r="B214" s="140" t="s">
        <v>749</v>
      </c>
    </row>
    <row r="215" spans="1:33" s="279" customFormat="1">
      <c r="A215" s="287"/>
      <c r="B215" s="140" t="s">
        <v>748</v>
      </c>
    </row>
    <row r="216" spans="1:33" s="279" customFormat="1">
      <c r="A216" s="287"/>
      <c r="B216" s="140" t="s">
        <v>747</v>
      </c>
    </row>
    <row r="217" spans="1:33" s="85" customFormat="1">
      <c r="A217" s="276"/>
      <c r="B217" s="282" t="s">
        <v>746</v>
      </c>
      <c r="C217" s="281">
        <f>SUM(C212:C216)</f>
        <v>0</v>
      </c>
      <c r="D217" s="281">
        <f>SUM(D212:D216)</f>
        <v>0</v>
      </c>
      <c r="E217" s="281">
        <f>SUM(E212:E216)</f>
        <v>0</v>
      </c>
      <c r="F217" s="281">
        <f>SUM(F212:F216)</f>
        <v>0</v>
      </c>
      <c r="G217" s="281">
        <f>SUM(G212:G216)</f>
        <v>0</v>
      </c>
      <c r="H217" s="281"/>
      <c r="I217" s="281"/>
      <c r="J217" s="281"/>
      <c r="K217" s="281"/>
      <c r="L217" s="281">
        <f t="shared" ref="L217:R217" si="118">SUM(L212:L216)</f>
        <v>0</v>
      </c>
      <c r="M217" s="281">
        <f t="shared" si="118"/>
        <v>0</v>
      </c>
      <c r="N217" s="281">
        <f t="shared" si="118"/>
        <v>0</v>
      </c>
      <c r="O217" s="281">
        <f t="shared" si="118"/>
        <v>0</v>
      </c>
      <c r="P217" s="281">
        <f t="shared" si="118"/>
        <v>0</v>
      </c>
      <c r="Q217" s="281">
        <f t="shared" si="118"/>
        <v>0</v>
      </c>
      <c r="R217" s="281">
        <f t="shared" si="118"/>
        <v>0</v>
      </c>
      <c r="S217" s="281">
        <f t="shared" ref="S217:AB217" si="119">SUM(S212:S216)</f>
        <v>0</v>
      </c>
      <c r="T217" s="281">
        <f t="shared" si="119"/>
        <v>0</v>
      </c>
      <c r="U217" s="281">
        <f t="shared" si="119"/>
        <v>0</v>
      </c>
      <c r="V217" s="281">
        <f t="shared" si="119"/>
        <v>0</v>
      </c>
      <c r="W217" s="281">
        <f t="shared" si="119"/>
        <v>0</v>
      </c>
      <c r="X217" s="281">
        <f t="shared" si="119"/>
        <v>0</v>
      </c>
      <c r="Y217" s="281">
        <f t="shared" si="119"/>
        <v>0</v>
      </c>
      <c r="Z217" s="281">
        <f t="shared" si="119"/>
        <v>0</v>
      </c>
      <c r="AA217" s="281">
        <f t="shared" si="119"/>
        <v>0</v>
      </c>
      <c r="AB217" s="281">
        <f t="shared" si="119"/>
        <v>0</v>
      </c>
      <c r="AC217" s="281">
        <f>SUM(AC212:AC216)</f>
        <v>0</v>
      </c>
      <c r="AD217" s="281">
        <f>SUM(AD212:AD216)</f>
        <v>0</v>
      </c>
      <c r="AE217" s="281">
        <f>SUM(AE212:AE216)</f>
        <v>0</v>
      </c>
      <c r="AF217" s="281">
        <f t="shared" ref="AF217:AG217" si="120">SUM(AF212:AF216)</f>
        <v>0</v>
      </c>
      <c r="AG217" s="281">
        <f t="shared" si="120"/>
        <v>0</v>
      </c>
    </row>
    <row r="218" spans="1:33">
      <c r="A218" s="277"/>
      <c r="C218" s="279"/>
      <c r="D218" s="279"/>
      <c r="E218" s="279"/>
      <c r="F218" s="279"/>
      <c r="G218" s="279"/>
      <c r="H218" s="279"/>
      <c r="I218" s="279"/>
      <c r="J218" s="279"/>
      <c r="K218" s="279"/>
      <c r="L218" s="279"/>
      <c r="M218" s="279"/>
      <c r="N218" s="279"/>
      <c r="O218" s="279"/>
      <c r="P218" s="279"/>
      <c r="Q218" s="279"/>
      <c r="R218" s="279"/>
      <c r="S218" s="279"/>
      <c r="T218" s="279"/>
      <c r="U218" s="279"/>
      <c r="V218" s="279"/>
      <c r="W218" s="279"/>
      <c r="X218" s="279"/>
      <c r="Y218" s="279"/>
      <c r="Z218" s="279"/>
      <c r="AA218" s="279"/>
      <c r="AB218" s="279"/>
      <c r="AC218" s="279"/>
      <c r="AD218" s="279"/>
      <c r="AE218" s="279"/>
      <c r="AF218" s="279"/>
      <c r="AG218" s="279"/>
    </row>
    <row r="219" spans="1:33">
      <c r="A219" s="277"/>
      <c r="C219" s="279"/>
      <c r="D219" s="279"/>
      <c r="E219" s="279"/>
      <c r="F219" s="279"/>
      <c r="G219" s="279"/>
      <c r="H219" s="279"/>
      <c r="I219" s="279"/>
      <c r="J219" s="279"/>
      <c r="K219" s="279"/>
      <c r="L219" s="279"/>
      <c r="M219" s="279"/>
      <c r="N219" s="279"/>
      <c r="O219" s="279"/>
      <c r="P219" s="279"/>
      <c r="Q219" s="279"/>
      <c r="R219" s="279"/>
      <c r="S219" s="279"/>
      <c r="T219" s="279"/>
      <c r="U219" s="279"/>
      <c r="V219" s="279"/>
      <c r="W219" s="279"/>
      <c r="X219" s="279"/>
      <c r="Y219" s="279"/>
      <c r="Z219" s="279"/>
      <c r="AA219" s="279"/>
      <c r="AB219" s="279"/>
      <c r="AC219" s="279"/>
      <c r="AD219" s="279"/>
      <c r="AE219" s="279"/>
      <c r="AF219" s="279"/>
      <c r="AG219" s="279"/>
    </row>
    <row r="220" spans="1:33" s="286" customFormat="1" ht="15">
      <c r="A220" s="986"/>
      <c r="B220" s="986" t="s">
        <v>135</v>
      </c>
      <c r="C220" s="987">
        <f t="shared" ref="C220:I220" si="121">C4</f>
        <v>2017</v>
      </c>
      <c r="D220" s="987">
        <f t="shared" si="121"/>
        <v>2018</v>
      </c>
      <c r="E220" s="987">
        <f t="shared" si="121"/>
        <v>2019</v>
      </c>
      <c r="F220" s="987">
        <f t="shared" si="121"/>
        <v>2020</v>
      </c>
      <c r="G220" s="987">
        <f t="shared" si="121"/>
        <v>2021</v>
      </c>
      <c r="H220" s="987">
        <f t="shared" si="121"/>
        <v>2022</v>
      </c>
      <c r="I220" s="987">
        <f t="shared" si="121"/>
        <v>2023</v>
      </c>
      <c r="J220" s="987">
        <f>J4</f>
        <v>2024</v>
      </c>
      <c r="K220" s="810"/>
      <c r="L220" s="987" t="str">
        <f t="shared" ref="L220:R220" si="122">L4</f>
        <v>1Q20</v>
      </c>
      <c r="M220" s="987" t="str">
        <f t="shared" si="122"/>
        <v>1H20</v>
      </c>
      <c r="N220" s="987" t="str">
        <f t="shared" si="122"/>
        <v>9M20</v>
      </c>
      <c r="O220" s="987">
        <f t="shared" si="122"/>
        <v>2020</v>
      </c>
      <c r="P220" s="987" t="str">
        <f t="shared" si="122"/>
        <v>1Q21</v>
      </c>
      <c r="Q220" s="987" t="str">
        <f t="shared" si="122"/>
        <v>1H21</v>
      </c>
      <c r="R220" s="987" t="str">
        <f t="shared" si="122"/>
        <v>9M21</v>
      </c>
      <c r="S220" s="987">
        <f t="shared" ref="S220:AB220" si="123">S4</f>
        <v>2021</v>
      </c>
      <c r="T220" s="987" t="str">
        <f t="shared" si="123"/>
        <v>1Q22</v>
      </c>
      <c r="U220" s="987" t="str">
        <f t="shared" si="123"/>
        <v>1H22</v>
      </c>
      <c r="V220" s="987" t="str">
        <f t="shared" si="123"/>
        <v>9M22</v>
      </c>
      <c r="W220" s="987">
        <f t="shared" si="123"/>
        <v>2022</v>
      </c>
      <c r="X220" s="987" t="str">
        <f t="shared" si="123"/>
        <v>1Q23</v>
      </c>
      <c r="Y220" s="987" t="str">
        <f t="shared" si="123"/>
        <v>1H23</v>
      </c>
      <c r="Z220" s="987" t="str">
        <f t="shared" si="123"/>
        <v>9M23</v>
      </c>
      <c r="AA220" s="987">
        <f t="shared" si="123"/>
        <v>2023</v>
      </c>
      <c r="AB220" s="987" t="str">
        <f t="shared" si="123"/>
        <v>1Q24</v>
      </c>
      <c r="AC220" s="987" t="str">
        <f>AC4</f>
        <v>1H24</v>
      </c>
      <c r="AD220" s="987" t="str">
        <f>AD4</f>
        <v>9M24</v>
      </c>
      <c r="AE220" s="987">
        <f>AE4</f>
        <v>2024</v>
      </c>
      <c r="AF220" s="987" t="str">
        <f t="shared" ref="AF220" si="124">AF4</f>
        <v>1Q25</v>
      </c>
      <c r="AG220" s="987" t="str">
        <f t="shared" ref="AG220" si="125">AG4</f>
        <v>1H25</v>
      </c>
    </row>
    <row r="221" spans="1:33">
      <c r="A221" s="277"/>
      <c r="B221" s="149"/>
      <c r="C221" s="279"/>
      <c r="D221" s="279"/>
      <c r="E221" s="279"/>
      <c r="F221" s="279"/>
      <c r="G221" s="279"/>
      <c r="H221" s="279"/>
      <c r="I221" s="279"/>
      <c r="J221" s="279"/>
      <c r="K221" s="279"/>
      <c r="L221" s="279"/>
      <c r="M221" s="279"/>
      <c r="N221" s="279"/>
      <c r="O221" s="279"/>
      <c r="P221" s="279"/>
      <c r="Q221" s="279"/>
      <c r="R221" s="279"/>
      <c r="S221" s="279"/>
      <c r="T221" s="279"/>
      <c r="U221" s="279"/>
      <c r="V221" s="279"/>
      <c r="W221" s="279"/>
      <c r="X221" s="279"/>
      <c r="Y221" s="279"/>
      <c r="Z221" s="279"/>
      <c r="AA221" s="279"/>
      <c r="AB221" s="279"/>
      <c r="AC221" s="279"/>
      <c r="AD221" s="279"/>
      <c r="AE221" s="279"/>
      <c r="AF221" s="279"/>
      <c r="AG221" s="279"/>
    </row>
    <row r="222" spans="1:33">
      <c r="A222" s="277"/>
      <c r="B222" s="149" t="s">
        <v>745</v>
      </c>
      <c r="C222" s="85">
        <f t="shared" ref="C222:I222" si="126">C51</f>
        <v>389.8082</v>
      </c>
      <c r="D222" s="85">
        <f t="shared" si="126"/>
        <v>273.32789243999997</v>
      </c>
      <c r="E222" s="85">
        <f t="shared" si="126"/>
        <v>736.50293046000002</v>
      </c>
      <c r="F222" s="85">
        <f t="shared" si="126"/>
        <v>1029.5496495899999</v>
      </c>
      <c r="G222" s="85">
        <f t="shared" si="126"/>
        <v>1513.5168144100001</v>
      </c>
      <c r="H222" s="85">
        <f t="shared" si="126"/>
        <v>1836.0097494300001</v>
      </c>
      <c r="I222" s="85">
        <f t="shared" si="126"/>
        <v>2579.2709355900001</v>
      </c>
      <c r="J222" s="85">
        <f>J51</f>
        <v>4107.3122986999997</v>
      </c>
      <c r="K222" s="85"/>
      <c r="L222" s="85">
        <f t="shared" ref="L222:R222" si="127">L51</f>
        <v>198.12074183000001</v>
      </c>
      <c r="M222" s="85">
        <f t="shared" si="127"/>
        <v>564.93989999999997</v>
      </c>
      <c r="N222" s="85">
        <f t="shared" si="127"/>
        <v>897.71600450999995</v>
      </c>
      <c r="O222" s="85">
        <f t="shared" si="127"/>
        <v>1029.5496495899999</v>
      </c>
      <c r="P222" s="85">
        <f t="shared" si="127"/>
        <v>438.29790216000004</v>
      </c>
      <c r="Q222" s="85">
        <f t="shared" si="127"/>
        <v>859.86617842999999</v>
      </c>
      <c r="R222" s="85">
        <f t="shared" si="127"/>
        <v>1263.2795053900002</v>
      </c>
      <c r="S222" s="85">
        <f t="shared" ref="S222:AB222" si="128">S51</f>
        <v>1513.5168144100001</v>
      </c>
      <c r="T222" s="85">
        <f t="shared" si="128"/>
        <v>439.35791008999996</v>
      </c>
      <c r="U222" s="85">
        <f t="shared" si="128"/>
        <v>961.01138064999998</v>
      </c>
      <c r="V222" s="85">
        <f t="shared" si="128"/>
        <v>1482.8329227000002</v>
      </c>
      <c r="W222" s="85">
        <f t="shared" si="128"/>
        <v>1836.0097494300001</v>
      </c>
      <c r="X222" s="85">
        <f t="shared" si="128"/>
        <v>641.29402140000002</v>
      </c>
      <c r="Y222" s="85">
        <f t="shared" si="128"/>
        <v>1402.1657768900002</v>
      </c>
      <c r="Z222" s="85">
        <f t="shared" si="128"/>
        <v>2082.13988053</v>
      </c>
      <c r="AA222" s="85">
        <f t="shared" si="128"/>
        <v>2579.2709355900001</v>
      </c>
      <c r="AB222" s="85">
        <f t="shared" si="128"/>
        <v>829.71824337999999</v>
      </c>
      <c r="AC222" s="85">
        <f>AC51</f>
        <v>2141.9413504300001</v>
      </c>
      <c r="AD222" s="85">
        <f>AD51</f>
        <v>3353.9735188899999</v>
      </c>
      <c r="AE222" s="85">
        <f>AE51</f>
        <v>4107.3122986999997</v>
      </c>
      <c r="AF222" s="85">
        <f t="shared" ref="AF222" si="129">AF51</f>
        <v>1233.1900676600001</v>
      </c>
      <c r="AG222" s="85">
        <f t="shared" ref="AG222" si="130">AG51</f>
        <v>3001.56947541</v>
      </c>
    </row>
    <row r="223" spans="1:33">
      <c r="A223" s="277"/>
      <c r="B223" s="149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</row>
    <row r="224" spans="1:33">
      <c r="A224" s="277"/>
      <c r="B224" s="988" t="s">
        <v>744</v>
      </c>
      <c r="C224" s="989"/>
      <c r="D224" s="989"/>
      <c r="E224" s="989"/>
      <c r="F224" s="989"/>
      <c r="G224" s="989"/>
      <c r="H224" s="989"/>
      <c r="I224" s="989"/>
      <c r="J224" s="989"/>
      <c r="K224" s="279"/>
      <c r="L224" s="989"/>
      <c r="M224" s="989"/>
      <c r="N224" s="989"/>
      <c r="O224" s="989"/>
      <c r="P224" s="989"/>
      <c r="Q224" s="989"/>
      <c r="R224" s="989"/>
      <c r="S224" s="989"/>
      <c r="T224" s="989"/>
      <c r="U224" s="989"/>
      <c r="V224" s="989"/>
      <c r="W224" s="989"/>
      <c r="X224" s="989"/>
      <c r="Y224" s="989"/>
      <c r="Z224" s="989"/>
      <c r="AA224" s="989"/>
      <c r="AB224" s="989"/>
      <c r="AC224" s="989"/>
      <c r="AD224" s="989"/>
      <c r="AE224" s="989"/>
      <c r="AF224" s="989"/>
      <c r="AG224" s="989"/>
    </row>
    <row r="225" spans="1:206">
      <c r="A225" s="277"/>
      <c r="B225" s="285" t="s">
        <v>743</v>
      </c>
      <c r="C225" s="279"/>
      <c r="D225" s="279"/>
      <c r="E225" s="279"/>
      <c r="F225" s="279"/>
      <c r="G225" s="279"/>
      <c r="H225" s="279"/>
      <c r="I225" s="279"/>
      <c r="J225" s="279"/>
      <c r="K225" s="279"/>
      <c r="L225" s="279"/>
      <c r="M225" s="279"/>
      <c r="N225" s="279"/>
      <c r="O225" s="279"/>
      <c r="P225" s="279"/>
      <c r="Q225" s="279"/>
      <c r="R225" s="279"/>
      <c r="S225" s="279"/>
      <c r="T225" s="279"/>
      <c r="U225" s="279"/>
      <c r="V225" s="279"/>
      <c r="W225" s="279"/>
      <c r="X225" s="279"/>
      <c r="Y225" s="279"/>
      <c r="Z225" s="279"/>
      <c r="AA225" s="279"/>
      <c r="AB225" s="279"/>
      <c r="AC225" s="279"/>
      <c r="AD225" s="279"/>
      <c r="AE225" s="279"/>
      <c r="AF225" s="279"/>
      <c r="AG225" s="279"/>
    </row>
    <row r="226" spans="1:206">
      <c r="A226" s="277"/>
      <c r="B226" s="140" t="s">
        <v>742</v>
      </c>
      <c r="C226" s="280">
        <f>Wind!U238</f>
        <v>0</v>
      </c>
      <c r="D226" s="280">
        <f>Wind!V238</f>
        <v>4.0799488100000003</v>
      </c>
      <c r="E226" s="280">
        <f>Wind!W238</f>
        <v>4.60600436</v>
      </c>
      <c r="F226" s="280">
        <f>Wind!X238</f>
        <v>7.0157415099999998</v>
      </c>
      <c r="G226" s="280">
        <f>Wind!Y238</f>
        <v>8.9344921700000004</v>
      </c>
      <c r="H226" s="280">
        <f>Wind!Z238</f>
        <v>8.5049594099999997</v>
      </c>
      <c r="I226" s="280">
        <f>Wind!AA238</f>
        <v>7.9923130999999996</v>
      </c>
      <c r="J226" s="280">
        <f>Wind!AB238</f>
        <v>10.63093694</v>
      </c>
      <c r="K226" s="280"/>
      <c r="L226" s="280">
        <f>Wind!CB238</f>
        <v>1.28248929</v>
      </c>
      <c r="M226" s="280">
        <f>Wind!CC238</f>
        <v>0</v>
      </c>
      <c r="N226" s="280">
        <f>Wind!CD238</f>
        <v>0</v>
      </c>
      <c r="O226" s="280">
        <f>Wind!CE238</f>
        <v>7.0157415099999998</v>
      </c>
      <c r="P226" s="280">
        <f>Wind!CF238</f>
        <v>2.1127846699999999</v>
      </c>
      <c r="Q226" s="280">
        <f>Wind!CG238</f>
        <v>4.2356492300000008</v>
      </c>
      <c r="R226" s="280">
        <f>Wind!CH238</f>
        <v>0</v>
      </c>
      <c r="S226" s="280">
        <f>Wind!CI238</f>
        <v>8.9344921700000004</v>
      </c>
      <c r="T226" s="280">
        <f>Wind!CJ238</f>
        <v>0</v>
      </c>
      <c r="U226" s="280">
        <f>Wind!CK238</f>
        <v>6.1766713200000005</v>
      </c>
      <c r="V226" s="280">
        <f>Wind!CL238</f>
        <v>0</v>
      </c>
      <c r="W226" s="280">
        <f>Wind!CM238</f>
        <v>8.5049594099999997</v>
      </c>
      <c r="X226" s="280">
        <f>Wind!CN238</f>
        <v>0</v>
      </c>
      <c r="Y226" s="280">
        <f>Wind!CO238</f>
        <v>4.84006487</v>
      </c>
      <c r="Z226" s="280">
        <f>Wind!CP238</f>
        <v>0</v>
      </c>
      <c r="AA226" s="280">
        <f>Wind!CQ238</f>
        <v>7.9923130999999996</v>
      </c>
      <c r="AB226" s="280">
        <f>Wind!CR238</f>
        <v>0</v>
      </c>
      <c r="AC226" s="280">
        <f>Wind!CS238</f>
        <v>6.6539868099999993</v>
      </c>
      <c r="AD226" s="280">
        <f>Wind!CT238</f>
        <v>0</v>
      </c>
      <c r="AE226" s="280">
        <f>Wind!CU238</f>
        <v>10.63093694</v>
      </c>
      <c r="AF226" s="280">
        <f>Wind!CV238</f>
        <v>0</v>
      </c>
      <c r="AG226" s="280">
        <f>Wind!CW238</f>
        <v>10.066407609999999</v>
      </c>
    </row>
    <row r="227" spans="1:206">
      <c r="A227" s="277"/>
      <c r="B227" s="140" t="s">
        <v>741</v>
      </c>
      <c r="C227" s="280">
        <f>Wind!U240</f>
        <v>0</v>
      </c>
      <c r="D227" s="280">
        <f>Wind!V240</f>
        <v>3.03196428</v>
      </c>
      <c r="E227" s="280">
        <f>Wind!W240</f>
        <v>2.94254682</v>
      </c>
      <c r="F227" s="280">
        <f>Wind!X240</f>
        <v>2.8417045399999998</v>
      </c>
      <c r="G227" s="280">
        <f>Wind!Y240</f>
        <v>3.07341504</v>
      </c>
      <c r="H227" s="280">
        <f>Wind!Z240</f>
        <v>3.44539068</v>
      </c>
      <c r="I227" s="280">
        <f>Wind!AA240</f>
        <v>4.3476773299999998</v>
      </c>
      <c r="J227" s="280">
        <f>Wind!AB240</f>
        <v>6.4890330800000005</v>
      </c>
      <c r="K227" s="280"/>
      <c r="L227" s="280">
        <f>Wind!CB240</f>
        <v>0.99889373000000004</v>
      </c>
      <c r="M227" s="280">
        <f>Wind!CC240</f>
        <v>0</v>
      </c>
      <c r="N227" s="280">
        <f>Wind!CD240</f>
        <v>0</v>
      </c>
      <c r="O227" s="280">
        <f>Wind!CE240</f>
        <v>2.8417045399999998</v>
      </c>
      <c r="P227" s="280">
        <f>Wind!CF240</f>
        <v>0.79013734999999996</v>
      </c>
      <c r="Q227" s="280">
        <f>Wind!CG240</f>
        <v>1.54114306</v>
      </c>
      <c r="R227" s="280">
        <f>Wind!CH240</f>
        <v>0</v>
      </c>
      <c r="S227" s="280">
        <f>Wind!CI240</f>
        <v>3.07341504</v>
      </c>
      <c r="T227" s="280">
        <f>Wind!CJ240</f>
        <v>0</v>
      </c>
      <c r="U227" s="280">
        <f>Wind!CK240</f>
        <v>2.7291516200000001</v>
      </c>
      <c r="V227" s="280">
        <f>Wind!CL240</f>
        <v>0</v>
      </c>
      <c r="W227" s="280">
        <f>Wind!CM240</f>
        <v>3.44539068</v>
      </c>
      <c r="X227" s="280">
        <f>Wind!CN240</f>
        <v>0</v>
      </c>
      <c r="Y227" s="280">
        <f>Wind!CO240</f>
        <v>1.89203202</v>
      </c>
      <c r="Z227" s="280">
        <f>Wind!CP240</f>
        <v>0</v>
      </c>
      <c r="AA227" s="280">
        <f>Wind!CQ240</f>
        <v>4.3476773299999998</v>
      </c>
      <c r="AB227" s="280">
        <f>Wind!CR240</f>
        <v>0</v>
      </c>
      <c r="AC227" s="280">
        <f>Wind!CS240</f>
        <v>2.7336520000000002</v>
      </c>
      <c r="AD227" s="280">
        <f>Wind!CT240</f>
        <v>0</v>
      </c>
      <c r="AE227" s="280">
        <f>Wind!CU240</f>
        <v>6.4890330800000005</v>
      </c>
      <c r="AF227" s="280">
        <f>Wind!CV240</f>
        <v>0</v>
      </c>
      <c r="AG227" s="280">
        <f>Wind!CW240</f>
        <v>7.3144447300000008</v>
      </c>
    </row>
    <row r="228" spans="1:206">
      <c r="A228" s="277"/>
      <c r="B228" s="140" t="s">
        <v>740</v>
      </c>
      <c r="C228" s="280">
        <f>Wind!U237</f>
        <v>0</v>
      </c>
      <c r="D228" s="280">
        <f>Wind!V237</f>
        <v>77.859574969999997</v>
      </c>
      <c r="E228" s="280">
        <f>Wind!W237</f>
        <v>102.17591390000001</v>
      </c>
      <c r="F228" s="280">
        <f>Wind!X237</f>
        <v>124.58530337000001</v>
      </c>
      <c r="G228" s="280">
        <f>Wind!Y237</f>
        <v>173.10489672</v>
      </c>
      <c r="H228" s="280">
        <f>Wind!Z237</f>
        <v>211.9910213</v>
      </c>
      <c r="I228" s="280">
        <f>Wind!AA237</f>
        <v>241.69913559</v>
      </c>
      <c r="J228" s="280">
        <f>Wind!AB237</f>
        <v>325.93171645999996</v>
      </c>
      <c r="K228" s="280"/>
      <c r="L228" s="280">
        <f>Wind!CB237</f>
        <v>28.306063089999999</v>
      </c>
      <c r="M228" s="280">
        <f>Wind!CC237</f>
        <v>0</v>
      </c>
      <c r="N228" s="280">
        <f>Wind!CD237</f>
        <v>0</v>
      </c>
      <c r="O228" s="280">
        <f>Wind!CE237</f>
        <v>124.58530337000001</v>
      </c>
      <c r="P228" s="280">
        <f>Wind!CF237</f>
        <v>37.137888789999998</v>
      </c>
      <c r="Q228" s="280">
        <f>Wind!CG237</f>
        <v>79.766064379999989</v>
      </c>
      <c r="R228" s="280">
        <f>Wind!CH237</f>
        <v>0</v>
      </c>
      <c r="S228" s="280">
        <f>Wind!CI237</f>
        <v>173.10489672</v>
      </c>
      <c r="T228" s="280">
        <f>Wind!CJ237</f>
        <v>0</v>
      </c>
      <c r="U228" s="280">
        <f>Wind!CK237</f>
        <v>99.823009129999988</v>
      </c>
      <c r="V228" s="280">
        <f>Wind!CL237</f>
        <v>0</v>
      </c>
      <c r="W228" s="280">
        <f>Wind!CM237</f>
        <v>211.9910213</v>
      </c>
      <c r="X228" s="280">
        <f>Wind!CN237</f>
        <v>0</v>
      </c>
      <c r="Y228" s="280">
        <f>Wind!CO237</f>
        <v>114.75821863</v>
      </c>
      <c r="Z228" s="280">
        <f>Wind!CP237</f>
        <v>0</v>
      </c>
      <c r="AA228" s="280">
        <f>Wind!CQ237</f>
        <v>241.69913559</v>
      </c>
      <c r="AB228" s="280">
        <f>Wind!CR237</f>
        <v>0</v>
      </c>
      <c r="AC228" s="280">
        <f>Wind!CS237</f>
        <v>154.38296821</v>
      </c>
      <c r="AD228" s="280">
        <f>Wind!CT237</f>
        <v>0</v>
      </c>
      <c r="AE228" s="280">
        <f>Wind!CU237</f>
        <v>325.93171645999996</v>
      </c>
      <c r="AF228" s="280">
        <f>Wind!CV237</f>
        <v>0</v>
      </c>
      <c r="AG228" s="280">
        <f>Wind!CW237</f>
        <v>202.23706357</v>
      </c>
    </row>
    <row r="229" spans="1:206">
      <c r="A229" s="277"/>
      <c r="B229" s="140" t="s">
        <v>739</v>
      </c>
      <c r="C229" s="279"/>
      <c r="D229" s="279"/>
      <c r="E229" s="279"/>
      <c r="F229" s="279"/>
      <c r="G229" s="279"/>
      <c r="H229" s="279"/>
      <c r="I229" s="279"/>
      <c r="J229" s="279"/>
      <c r="K229" s="279"/>
      <c r="L229" s="279"/>
      <c r="M229" s="279"/>
      <c r="N229" s="279"/>
      <c r="O229" s="279"/>
      <c r="P229" s="279"/>
      <c r="Q229" s="279"/>
      <c r="R229" s="279"/>
      <c r="S229" s="279"/>
      <c r="T229" s="279"/>
      <c r="U229" s="279"/>
      <c r="V229" s="279"/>
      <c r="W229" s="279"/>
      <c r="X229" s="279"/>
      <c r="Y229" s="279"/>
      <c r="Z229" s="279"/>
      <c r="AA229" s="279"/>
      <c r="AB229" s="279"/>
      <c r="AC229" s="279"/>
      <c r="AD229" s="279"/>
      <c r="AE229" s="279"/>
      <c r="AF229" s="279"/>
      <c r="AG229" s="279"/>
    </row>
    <row r="230" spans="1:206">
      <c r="A230" s="277"/>
      <c r="B230" s="140" t="s">
        <v>738</v>
      </c>
      <c r="C230" s="279"/>
      <c r="D230" s="279"/>
      <c r="E230" s="279"/>
      <c r="F230" s="279"/>
      <c r="G230" s="279"/>
      <c r="H230" s="279"/>
      <c r="I230" s="279"/>
      <c r="J230" s="279"/>
      <c r="K230" s="279"/>
      <c r="L230" s="279"/>
      <c r="M230" s="279"/>
      <c r="N230" s="279"/>
      <c r="O230" s="279"/>
      <c r="P230" s="279"/>
      <c r="Q230" s="279"/>
      <c r="R230" s="279"/>
      <c r="S230" s="279"/>
      <c r="T230" s="279"/>
      <c r="U230" s="279"/>
      <c r="V230" s="279"/>
      <c r="W230" s="279"/>
      <c r="X230" s="279"/>
      <c r="Y230" s="279"/>
      <c r="Z230" s="279"/>
      <c r="AA230" s="279"/>
      <c r="AB230" s="279"/>
      <c r="AC230" s="279"/>
      <c r="AD230" s="279"/>
      <c r="AE230" s="279"/>
      <c r="AF230" s="279"/>
      <c r="AG230" s="279"/>
    </row>
    <row r="231" spans="1:206">
      <c r="A231" s="277"/>
      <c r="B231" s="140" t="s">
        <v>737</v>
      </c>
      <c r="C231" s="279"/>
      <c r="D231" s="279"/>
      <c r="E231" s="279"/>
      <c r="F231" s="279"/>
      <c r="G231" s="279"/>
      <c r="H231" s="279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79"/>
      <c r="T231" s="279"/>
      <c r="U231" s="279"/>
      <c r="V231" s="279"/>
      <c r="W231" s="279"/>
      <c r="X231" s="279"/>
      <c r="Y231" s="279"/>
      <c r="Z231" s="279"/>
      <c r="AA231" s="279"/>
      <c r="AB231" s="279"/>
      <c r="AC231" s="279"/>
      <c r="AD231" s="279"/>
      <c r="AE231" s="279"/>
      <c r="AF231" s="279"/>
      <c r="AG231" s="279"/>
    </row>
    <row r="232" spans="1:206">
      <c r="A232" s="277"/>
      <c r="B232" s="140" t="s">
        <v>736</v>
      </c>
      <c r="C232" s="279"/>
      <c r="D232" s="279"/>
      <c r="E232" s="279"/>
      <c r="F232" s="279"/>
      <c r="G232" s="279"/>
      <c r="H232" s="279"/>
      <c r="I232" s="279"/>
      <c r="J232" s="279"/>
      <c r="K232" s="279"/>
      <c r="L232" s="279"/>
      <c r="M232" s="279"/>
      <c r="N232" s="279"/>
      <c r="O232" s="279"/>
      <c r="P232" s="279"/>
      <c r="Q232" s="279"/>
      <c r="R232" s="279"/>
      <c r="S232" s="279"/>
      <c r="T232" s="279"/>
      <c r="U232" s="279"/>
      <c r="V232" s="279"/>
      <c r="W232" s="279"/>
      <c r="X232" s="279"/>
      <c r="Y232" s="279"/>
      <c r="Z232" s="279"/>
      <c r="AA232" s="279"/>
      <c r="AB232" s="279"/>
      <c r="AC232" s="279"/>
      <c r="AD232" s="279"/>
      <c r="AE232" s="279"/>
      <c r="AF232" s="279"/>
      <c r="AG232" s="279"/>
    </row>
    <row r="233" spans="1:206">
      <c r="A233" s="277"/>
      <c r="B233" s="140" t="s">
        <v>735</v>
      </c>
      <c r="C233" s="279"/>
      <c r="D233" s="279"/>
      <c r="E233" s="279"/>
      <c r="F233" s="279"/>
      <c r="G233" s="279"/>
      <c r="H233" s="279"/>
      <c r="I233" s="279"/>
      <c r="J233" s="279"/>
      <c r="K233" s="279"/>
      <c r="L233" s="279"/>
      <c r="M233" s="279"/>
      <c r="N233" s="279"/>
      <c r="O233" s="279"/>
      <c r="P233" s="279"/>
      <c r="Q233" s="279"/>
      <c r="R233" s="279"/>
      <c r="S233" s="279"/>
      <c r="T233" s="279"/>
      <c r="U233" s="279"/>
      <c r="V233" s="279"/>
      <c r="W233" s="279"/>
      <c r="X233" s="279"/>
      <c r="Y233" s="279"/>
      <c r="Z233" s="279"/>
      <c r="AA233" s="279"/>
      <c r="AB233" s="279"/>
      <c r="AC233" s="279"/>
      <c r="AD233" s="279"/>
      <c r="AE233" s="279"/>
      <c r="AF233" s="279"/>
      <c r="AG233" s="279"/>
    </row>
    <row r="234" spans="1:206" s="85" customFormat="1">
      <c r="A234" s="276"/>
      <c r="B234" s="282" t="s">
        <v>734</v>
      </c>
      <c r="C234" s="281">
        <f t="shared" ref="C234:I234" si="131">SUM(C226:C233)</f>
        <v>0</v>
      </c>
      <c r="D234" s="281">
        <f t="shared" si="131"/>
        <v>84.971488059999999</v>
      </c>
      <c r="E234" s="281">
        <f t="shared" si="131"/>
        <v>109.72446508000002</v>
      </c>
      <c r="F234" s="281">
        <f t="shared" si="131"/>
        <v>134.44274942000001</v>
      </c>
      <c r="G234" s="281">
        <f t="shared" si="131"/>
        <v>185.11280393000001</v>
      </c>
      <c r="H234" s="281">
        <f t="shared" si="131"/>
        <v>223.94137139</v>
      </c>
      <c r="I234" s="281">
        <f t="shared" si="131"/>
        <v>254.03912602</v>
      </c>
      <c r="J234" s="281">
        <f>SUM(J226:J233)</f>
        <v>343.05168647999994</v>
      </c>
      <c r="K234" s="281"/>
      <c r="L234" s="281">
        <f t="shared" ref="L234:R234" si="132">SUM(L226:L233)</f>
        <v>30.587446109999998</v>
      </c>
      <c r="M234" s="281">
        <f t="shared" si="132"/>
        <v>0</v>
      </c>
      <c r="N234" s="281">
        <f t="shared" si="132"/>
        <v>0</v>
      </c>
      <c r="O234" s="281">
        <f t="shared" si="132"/>
        <v>134.44274942000001</v>
      </c>
      <c r="P234" s="281">
        <f t="shared" si="132"/>
        <v>40.040810809999996</v>
      </c>
      <c r="Q234" s="281">
        <f t="shared" si="132"/>
        <v>85.542856669999992</v>
      </c>
      <c r="R234" s="281">
        <f t="shared" si="132"/>
        <v>0</v>
      </c>
      <c r="S234" s="281">
        <f t="shared" ref="S234:AB234" si="133">SUM(S226:S233)</f>
        <v>185.11280393000001</v>
      </c>
      <c r="T234" s="281">
        <f t="shared" si="133"/>
        <v>0</v>
      </c>
      <c r="U234" s="281">
        <f t="shared" si="133"/>
        <v>108.72883206999998</v>
      </c>
      <c r="V234" s="281">
        <f t="shared" si="133"/>
        <v>0</v>
      </c>
      <c r="W234" s="281">
        <f t="shared" si="133"/>
        <v>223.94137139</v>
      </c>
      <c r="X234" s="281">
        <f t="shared" si="133"/>
        <v>0</v>
      </c>
      <c r="Y234" s="281">
        <f t="shared" si="133"/>
        <v>121.49031552</v>
      </c>
      <c r="Z234" s="281">
        <f t="shared" si="133"/>
        <v>0</v>
      </c>
      <c r="AA234" s="281">
        <f t="shared" si="133"/>
        <v>254.03912602</v>
      </c>
      <c r="AB234" s="281">
        <f t="shared" si="133"/>
        <v>0</v>
      </c>
      <c r="AC234" s="281">
        <f>SUM(AC226:AC233)</f>
        <v>163.77060702</v>
      </c>
      <c r="AD234" s="281">
        <f>SUM(AD226:AD233)</f>
        <v>0</v>
      </c>
      <c r="AE234" s="281">
        <f>SUM(AE226:AE233)</f>
        <v>343.05168647999994</v>
      </c>
      <c r="AF234" s="281">
        <f t="shared" ref="AF234:AG234" si="134">SUM(AF226:AF233)</f>
        <v>0</v>
      </c>
      <c r="AG234" s="281">
        <f t="shared" si="134"/>
        <v>219.61791590999999</v>
      </c>
    </row>
    <row r="235" spans="1:206">
      <c r="A235" s="277"/>
      <c r="B235" s="140"/>
      <c r="C235" s="279"/>
      <c r="D235" s="279"/>
      <c r="E235" s="279"/>
      <c r="F235" s="279"/>
      <c r="G235" s="279"/>
      <c r="H235" s="279"/>
      <c r="I235" s="279"/>
      <c r="J235" s="279"/>
      <c r="K235" s="279"/>
      <c r="L235" s="279"/>
      <c r="M235" s="279"/>
      <c r="N235" s="279"/>
      <c r="O235" s="279"/>
      <c r="P235" s="279"/>
      <c r="Q235" s="279"/>
      <c r="R235" s="279"/>
      <c r="S235" s="279"/>
      <c r="T235" s="279"/>
      <c r="U235" s="279"/>
      <c r="V235" s="279"/>
      <c r="W235" s="279"/>
      <c r="X235" s="279"/>
      <c r="Y235" s="279"/>
      <c r="Z235" s="279"/>
      <c r="AA235" s="279"/>
      <c r="AB235" s="279"/>
      <c r="AC235" s="279"/>
      <c r="AD235" s="279"/>
      <c r="AE235" s="279"/>
      <c r="AF235" s="279"/>
      <c r="AG235" s="279"/>
    </row>
    <row r="236" spans="1:206">
      <c r="A236" s="277"/>
      <c r="B236" s="140" t="s">
        <v>733</v>
      </c>
      <c r="C236" s="280">
        <f>Wind!U243+Wind!U244</f>
        <v>0</v>
      </c>
      <c r="D236" s="280">
        <f>Wind!V243+Wind!V244</f>
        <v>0</v>
      </c>
      <c r="E236" s="280">
        <f>Wind!W243+Wind!W244</f>
        <v>0</v>
      </c>
      <c r="F236" s="280">
        <f>Wind!X243+Wind!X244</f>
        <v>0</v>
      </c>
      <c r="G236" s="280">
        <f>Wind!Y243+Wind!Y244</f>
        <v>6.7292364000000005</v>
      </c>
      <c r="H236" s="280">
        <f>Wind!Z243+Wind!Z244</f>
        <v>2.83745015</v>
      </c>
      <c r="I236" s="280">
        <f>Wind!AA243+Wind!AA244</f>
        <v>0.41496262</v>
      </c>
      <c r="J236" s="280">
        <f>Wind!AB243+Wind!AB244</f>
        <v>0.81558523999999999</v>
      </c>
      <c r="K236" s="280"/>
      <c r="L236" s="280">
        <f>Wind!CB243+Wind!CB244</f>
        <v>0</v>
      </c>
      <c r="M236" s="280">
        <f>Wind!CC243+Wind!CC244</f>
        <v>0</v>
      </c>
      <c r="N236" s="280">
        <f>Wind!CD243+Wind!CD244</f>
        <v>0</v>
      </c>
      <c r="O236" s="280">
        <f>Wind!CE243+Wind!CE244</f>
        <v>0</v>
      </c>
      <c r="P236" s="280">
        <f>Wind!CF243+Wind!CF244</f>
        <v>0</v>
      </c>
      <c r="Q236" s="280">
        <f>Wind!CG243+Wind!CG244</f>
        <v>1.2356203700000001</v>
      </c>
      <c r="R236" s="280">
        <f>Wind!CH243+Wind!CH244</f>
        <v>0</v>
      </c>
      <c r="S236" s="280">
        <f>Wind!CI243+Wind!CI244</f>
        <v>6.7292364000000005</v>
      </c>
      <c r="T236" s="280">
        <f>Wind!CJ243+Wind!CJ244</f>
        <v>0</v>
      </c>
      <c r="U236" s="280">
        <f>Wind!CK243+Wind!CK244</f>
        <v>9.3722189999999997E-2</v>
      </c>
      <c r="V236" s="280">
        <f>Wind!CL243+Wind!CL244</f>
        <v>0</v>
      </c>
      <c r="W236" s="280">
        <f>Wind!CM243+Wind!CM244</f>
        <v>2.83745015</v>
      </c>
      <c r="X236" s="280">
        <f>Wind!CN243+Wind!CN244</f>
        <v>0</v>
      </c>
      <c r="Y236" s="280">
        <f>Wind!CO243+Wind!CO244</f>
        <v>0.37747205</v>
      </c>
      <c r="Z236" s="280">
        <f>Wind!CP243+Wind!CP244</f>
        <v>0</v>
      </c>
      <c r="AA236" s="280">
        <f>Wind!CQ243+Wind!CQ244</f>
        <v>0.41496262</v>
      </c>
      <c r="AB236" s="280">
        <f>Wind!CR243+Wind!CR244</f>
        <v>0</v>
      </c>
      <c r="AC236" s="280">
        <f>Wind!CS243+Wind!CS244</f>
        <v>0.70161136000000002</v>
      </c>
      <c r="AD236" s="280">
        <f>Wind!CT243+Wind!CT244</f>
        <v>0</v>
      </c>
      <c r="AE236" s="280">
        <f>Wind!CU243+Wind!CU244</f>
        <v>0.81558523999999999</v>
      </c>
      <c r="AF236" s="280">
        <f>Wind!CV243+Wind!CV244</f>
        <v>0</v>
      </c>
      <c r="AG236" s="280">
        <f>Wind!CW243+Wind!CW244</f>
        <v>0.50524181999999995</v>
      </c>
    </row>
    <row r="237" spans="1:206">
      <c r="A237" s="277"/>
      <c r="B237" s="140" t="s">
        <v>1083</v>
      </c>
      <c r="C237" s="280">
        <f>Wind!U247</f>
        <v>0</v>
      </c>
      <c r="D237" s="280">
        <f>Wind!V247</f>
        <v>-13.060715949999999</v>
      </c>
      <c r="E237" s="280">
        <f>Wind!W247</f>
        <v>-7.1893000999999996</v>
      </c>
      <c r="F237" s="280">
        <f>Wind!X247</f>
        <v>-9.8371245799999993</v>
      </c>
      <c r="G237" s="280">
        <f>Wind!Y247</f>
        <v>-22.52671557</v>
      </c>
      <c r="H237" s="280">
        <f>Wind!Z247</f>
        <v>-70.018458499999994</v>
      </c>
      <c r="I237" s="280">
        <f>Wind!AA247</f>
        <v>-141.56359981</v>
      </c>
      <c r="J237" s="280">
        <f>Wind!AB247</f>
        <v>-95.315854420000008</v>
      </c>
      <c r="K237" s="280"/>
      <c r="L237" s="280">
        <f>Wind!CB247</f>
        <v>-1.09064915</v>
      </c>
      <c r="M237" s="280">
        <f>Wind!CC247</f>
        <v>0</v>
      </c>
      <c r="N237" s="280">
        <f>Wind!CD247</f>
        <v>0</v>
      </c>
      <c r="O237" s="280">
        <f>Wind!CE247</f>
        <v>-9.8371245799999993</v>
      </c>
      <c r="P237" s="280">
        <f>Wind!CF247</f>
        <v>-3.9421580199999999</v>
      </c>
      <c r="Q237" s="280">
        <f>Wind!CG247</f>
        <v>-9.5305684100000008</v>
      </c>
      <c r="R237" s="280">
        <f>Wind!CH247</f>
        <v>0</v>
      </c>
      <c r="S237" s="280">
        <f>Wind!CI247</f>
        <v>-22.52671557</v>
      </c>
      <c r="T237" s="280">
        <f>Wind!CJ247</f>
        <v>0</v>
      </c>
      <c r="U237" s="280">
        <f>Wind!CK247</f>
        <v>-15.019116070000001</v>
      </c>
      <c r="V237" s="280">
        <f>Wind!CL247</f>
        <v>0</v>
      </c>
      <c r="W237" s="280">
        <f>Wind!CM247</f>
        <v>-70.018458499999994</v>
      </c>
      <c r="X237" s="280">
        <f>Wind!CN247</f>
        <v>0</v>
      </c>
      <c r="Y237" s="280">
        <f>Wind!CO247</f>
        <v>-72.838272590000003</v>
      </c>
      <c r="Z237" s="280">
        <f>Wind!CP247</f>
        <v>0</v>
      </c>
      <c r="AA237" s="280">
        <f>Wind!CQ247</f>
        <v>-141.56359981</v>
      </c>
      <c r="AB237" s="280">
        <f>Wind!CR247</f>
        <v>0</v>
      </c>
      <c r="AC237" s="280">
        <f>Wind!CS247</f>
        <v>-35.853332039999998</v>
      </c>
      <c r="AD237" s="280">
        <f>Wind!CT247</f>
        <v>0</v>
      </c>
      <c r="AE237" s="280">
        <f>Wind!CU247</f>
        <v>-95.315854420000008</v>
      </c>
      <c r="AF237" s="280">
        <f>Wind!CV247</f>
        <v>0</v>
      </c>
      <c r="AG237" s="280">
        <f>Wind!CW247</f>
        <v>-56.706210219999996</v>
      </c>
    </row>
    <row r="238" spans="1:206">
      <c r="A238" s="277"/>
      <c r="B238" s="140" t="s">
        <v>732</v>
      </c>
      <c r="C238" s="279"/>
      <c r="D238" s="279"/>
      <c r="E238" s="279"/>
      <c r="F238" s="279"/>
      <c r="G238" s="279"/>
      <c r="H238" s="279"/>
      <c r="I238" s="279"/>
      <c r="J238" s="279"/>
      <c r="K238" s="279"/>
      <c r="L238" s="279"/>
      <c r="M238" s="279"/>
      <c r="N238" s="279"/>
      <c r="O238" s="279"/>
      <c r="P238" s="279"/>
      <c r="Q238" s="279"/>
      <c r="R238" s="279"/>
      <c r="S238" s="279"/>
      <c r="T238" s="279"/>
      <c r="U238" s="279"/>
      <c r="V238" s="279"/>
      <c r="W238" s="279"/>
      <c r="X238" s="279"/>
      <c r="Y238" s="279"/>
      <c r="Z238" s="279"/>
      <c r="AA238" s="279"/>
      <c r="AB238" s="279"/>
      <c r="AC238" s="279"/>
      <c r="AD238" s="279"/>
      <c r="AE238" s="279"/>
      <c r="AF238" s="279"/>
      <c r="AG238" s="279"/>
    </row>
    <row r="239" spans="1:206">
      <c r="A239" s="277"/>
      <c r="B239" s="282" t="s">
        <v>731</v>
      </c>
      <c r="C239" s="281">
        <f t="shared" ref="C239:I239" si="135">SUM(C236:C238)</f>
        <v>0</v>
      </c>
      <c r="D239" s="281">
        <f t="shared" si="135"/>
        <v>-13.060715949999999</v>
      </c>
      <c r="E239" s="281">
        <f t="shared" si="135"/>
        <v>-7.1893000999999996</v>
      </c>
      <c r="F239" s="281">
        <f t="shared" si="135"/>
        <v>-9.8371245799999993</v>
      </c>
      <c r="G239" s="281">
        <f t="shared" si="135"/>
        <v>-15.797479169999999</v>
      </c>
      <c r="H239" s="281">
        <f t="shared" si="135"/>
        <v>-67.181008349999999</v>
      </c>
      <c r="I239" s="281">
        <f t="shared" si="135"/>
        <v>-141.14863718999999</v>
      </c>
      <c r="J239" s="281">
        <f>SUM(J236:J238)</f>
        <v>-94.500269180000004</v>
      </c>
      <c r="K239" s="281"/>
      <c r="L239" s="281">
        <f t="shared" ref="L239:R239" si="136">SUM(L236:L238)</f>
        <v>-1.09064915</v>
      </c>
      <c r="M239" s="281">
        <f t="shared" si="136"/>
        <v>0</v>
      </c>
      <c r="N239" s="281">
        <f t="shared" si="136"/>
        <v>0</v>
      </c>
      <c r="O239" s="281">
        <f t="shared" si="136"/>
        <v>-9.8371245799999993</v>
      </c>
      <c r="P239" s="281">
        <f t="shared" si="136"/>
        <v>-3.9421580199999999</v>
      </c>
      <c r="Q239" s="281">
        <f t="shared" si="136"/>
        <v>-8.2949480400000013</v>
      </c>
      <c r="R239" s="281">
        <f t="shared" si="136"/>
        <v>0</v>
      </c>
      <c r="S239" s="281">
        <f t="shared" ref="S239:AB239" si="137">SUM(S236:S238)</f>
        <v>-15.797479169999999</v>
      </c>
      <c r="T239" s="281">
        <f t="shared" si="137"/>
        <v>0</v>
      </c>
      <c r="U239" s="281">
        <f t="shared" si="137"/>
        <v>-14.925393880000001</v>
      </c>
      <c r="V239" s="281">
        <f t="shared" si="137"/>
        <v>0</v>
      </c>
      <c r="W239" s="281">
        <f t="shared" si="137"/>
        <v>-67.181008349999999</v>
      </c>
      <c r="X239" s="281">
        <f t="shared" si="137"/>
        <v>0</v>
      </c>
      <c r="Y239" s="281">
        <f t="shared" si="137"/>
        <v>-72.460800540000008</v>
      </c>
      <c r="Z239" s="281">
        <f t="shared" si="137"/>
        <v>0</v>
      </c>
      <c r="AA239" s="281">
        <f t="shared" si="137"/>
        <v>-141.14863718999999</v>
      </c>
      <c r="AB239" s="281">
        <f t="shared" si="137"/>
        <v>0</v>
      </c>
      <c r="AC239" s="281">
        <f>SUM(AC236:AC238)</f>
        <v>-35.151720679999997</v>
      </c>
      <c r="AD239" s="281">
        <f>SUM(AD236:AD238)</f>
        <v>0</v>
      </c>
      <c r="AE239" s="281">
        <f>SUM(AE236:AE238)</f>
        <v>-94.500269180000004</v>
      </c>
      <c r="AF239" s="281">
        <f t="shared" ref="AF239:AG239" si="138">SUM(AF236:AF238)</f>
        <v>0</v>
      </c>
      <c r="AG239" s="281">
        <f t="shared" si="138"/>
        <v>-56.200968399999994</v>
      </c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  <c r="BS239" s="85"/>
      <c r="BT239" s="85"/>
      <c r="BU239" s="85"/>
      <c r="BV239" s="85"/>
      <c r="BW239" s="85"/>
      <c r="BX239" s="85"/>
      <c r="BY239" s="85"/>
      <c r="BZ239" s="85"/>
      <c r="CA239" s="85"/>
      <c r="CB239" s="85"/>
      <c r="CC239" s="85"/>
      <c r="CD239" s="85"/>
      <c r="CE239" s="85"/>
      <c r="CF239" s="85"/>
      <c r="CG239" s="85"/>
      <c r="CH239" s="85"/>
      <c r="CI239" s="85"/>
      <c r="CJ239" s="85"/>
      <c r="CK239" s="85"/>
      <c r="CL239" s="85"/>
      <c r="CM239" s="85"/>
      <c r="CN239" s="85"/>
      <c r="CO239" s="85"/>
      <c r="CP239" s="85"/>
      <c r="CQ239" s="85"/>
      <c r="CR239" s="85"/>
      <c r="CS239" s="85"/>
      <c r="CT239" s="85"/>
      <c r="CU239" s="85"/>
      <c r="CV239" s="85"/>
      <c r="CW239" s="85"/>
      <c r="CX239" s="85"/>
      <c r="CY239" s="85"/>
      <c r="CZ239" s="85"/>
      <c r="DA239" s="85"/>
      <c r="DB239" s="85"/>
      <c r="DC239" s="85"/>
      <c r="DD239" s="85"/>
      <c r="DE239" s="85"/>
      <c r="DF239" s="85"/>
      <c r="DG239" s="85"/>
      <c r="DH239" s="85"/>
      <c r="DI239" s="85"/>
      <c r="DJ239" s="85"/>
      <c r="DK239" s="85"/>
      <c r="DL239" s="85"/>
      <c r="DM239" s="85"/>
      <c r="DN239" s="85"/>
      <c r="DO239" s="85"/>
      <c r="DP239" s="85"/>
      <c r="DQ239" s="85"/>
      <c r="DR239" s="85"/>
      <c r="DS239" s="85"/>
      <c r="DT239" s="85"/>
      <c r="DU239" s="85"/>
      <c r="DV239" s="85"/>
      <c r="DW239" s="85"/>
      <c r="DX239" s="85"/>
      <c r="DY239" s="85"/>
      <c r="DZ239" s="85"/>
      <c r="EA239" s="85"/>
      <c r="EB239" s="85"/>
      <c r="EC239" s="85"/>
      <c r="ED239" s="85"/>
      <c r="EE239" s="85"/>
      <c r="EF239" s="85"/>
      <c r="EG239" s="85"/>
      <c r="EH239" s="85"/>
      <c r="EI239" s="85"/>
      <c r="EJ239" s="85"/>
      <c r="EK239" s="85"/>
      <c r="EL239" s="85"/>
      <c r="EM239" s="85"/>
      <c r="EN239" s="85"/>
      <c r="EO239" s="85"/>
      <c r="EP239" s="85"/>
      <c r="EQ239" s="85"/>
      <c r="ER239" s="85"/>
      <c r="ES239" s="85"/>
      <c r="ET239" s="85"/>
      <c r="EU239" s="85"/>
      <c r="EV239" s="85"/>
      <c r="EW239" s="85"/>
      <c r="EX239" s="85"/>
      <c r="EY239" s="85"/>
      <c r="EZ239" s="85"/>
      <c r="FA239" s="85"/>
      <c r="FB239" s="85"/>
      <c r="FC239" s="85"/>
      <c r="FD239" s="85"/>
      <c r="FE239" s="85"/>
      <c r="FF239" s="85"/>
      <c r="FG239" s="85"/>
      <c r="FH239" s="85"/>
      <c r="FI239" s="85"/>
      <c r="FJ239" s="85"/>
      <c r="FK239" s="85"/>
      <c r="FL239" s="85"/>
      <c r="FM239" s="85"/>
      <c r="FN239" s="85"/>
      <c r="FO239" s="85"/>
      <c r="FP239" s="85"/>
      <c r="FQ239" s="85"/>
      <c r="FR239" s="85"/>
      <c r="FS239" s="85"/>
      <c r="FT239" s="85"/>
      <c r="FU239" s="85"/>
      <c r="FV239" s="85"/>
      <c r="FW239" s="85"/>
      <c r="FX239" s="85"/>
      <c r="FY239" s="85"/>
      <c r="FZ239" s="85"/>
      <c r="GA239" s="85"/>
      <c r="GB239" s="85"/>
      <c r="GC239" s="85"/>
      <c r="GD239" s="85"/>
      <c r="GE239" s="85"/>
      <c r="GF239" s="85"/>
      <c r="GG239" s="85"/>
      <c r="GH239" s="85"/>
      <c r="GI239" s="85"/>
      <c r="GJ239" s="85"/>
      <c r="GK239" s="85"/>
      <c r="GL239" s="85"/>
      <c r="GM239" s="85"/>
      <c r="GN239" s="85"/>
      <c r="GO239" s="85"/>
      <c r="GP239" s="85"/>
      <c r="GQ239" s="85"/>
      <c r="GR239" s="85"/>
      <c r="GS239" s="85"/>
      <c r="GT239" s="85"/>
      <c r="GU239" s="85"/>
      <c r="GV239" s="85"/>
      <c r="GW239" s="85"/>
      <c r="GX239" s="85"/>
    </row>
    <row r="240" spans="1:206">
      <c r="A240" s="277"/>
      <c r="B240" s="149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  <c r="BS240" s="85"/>
      <c r="BT240" s="85"/>
      <c r="BU240" s="85"/>
      <c r="BV240" s="85"/>
      <c r="BW240" s="85"/>
      <c r="BX240" s="85"/>
      <c r="BY240" s="85"/>
      <c r="BZ240" s="85"/>
      <c r="CA240" s="85"/>
      <c r="CB240" s="85"/>
      <c r="CC240" s="85"/>
      <c r="CD240" s="85"/>
      <c r="CE240" s="85"/>
      <c r="CF240" s="85"/>
      <c r="CG240" s="85"/>
      <c r="CH240" s="85"/>
      <c r="CI240" s="85"/>
      <c r="CJ240" s="85"/>
      <c r="CK240" s="85"/>
      <c r="CL240" s="85"/>
      <c r="CM240" s="85"/>
      <c r="CN240" s="85"/>
      <c r="CO240" s="85"/>
      <c r="CP240" s="85"/>
      <c r="CQ240" s="85"/>
      <c r="CR240" s="85"/>
      <c r="CS240" s="85"/>
      <c r="CT240" s="85"/>
      <c r="CU240" s="85"/>
      <c r="CV240" s="85"/>
      <c r="CW240" s="85"/>
      <c r="CX240" s="85"/>
      <c r="CY240" s="85"/>
      <c r="CZ240" s="85"/>
      <c r="DA240" s="85"/>
      <c r="DB240" s="85"/>
      <c r="DC240" s="85"/>
      <c r="DD240" s="85"/>
      <c r="DE240" s="85"/>
      <c r="DF240" s="85"/>
      <c r="DG240" s="85"/>
      <c r="DH240" s="85"/>
      <c r="DI240" s="85"/>
      <c r="DJ240" s="85"/>
      <c r="DK240" s="85"/>
      <c r="DL240" s="85"/>
      <c r="DM240" s="85"/>
      <c r="DN240" s="85"/>
      <c r="DO240" s="85"/>
      <c r="DP240" s="85"/>
      <c r="DQ240" s="85"/>
      <c r="DR240" s="85"/>
      <c r="DS240" s="85"/>
      <c r="DT240" s="85"/>
      <c r="DU240" s="85"/>
      <c r="DV240" s="85"/>
      <c r="DW240" s="85"/>
      <c r="DX240" s="85"/>
      <c r="DY240" s="85"/>
      <c r="DZ240" s="85"/>
      <c r="EA240" s="85"/>
      <c r="EB240" s="85"/>
      <c r="EC240" s="85"/>
      <c r="ED240" s="85"/>
      <c r="EE240" s="85"/>
      <c r="EF240" s="85"/>
      <c r="EG240" s="85"/>
      <c r="EH240" s="85"/>
      <c r="EI240" s="85"/>
      <c r="EJ240" s="85"/>
      <c r="EK240" s="85"/>
      <c r="EL240" s="85"/>
      <c r="EM240" s="85"/>
      <c r="EN240" s="85"/>
      <c r="EO240" s="85"/>
      <c r="EP240" s="85"/>
      <c r="EQ240" s="85"/>
      <c r="ER240" s="85"/>
      <c r="ES240" s="85"/>
      <c r="ET240" s="85"/>
      <c r="EU240" s="85"/>
      <c r="EV240" s="85"/>
      <c r="EW240" s="85"/>
      <c r="EX240" s="85"/>
      <c r="EY240" s="85"/>
      <c r="EZ240" s="85"/>
      <c r="FA240" s="85"/>
      <c r="FB240" s="85"/>
      <c r="FC240" s="85"/>
      <c r="FD240" s="85"/>
      <c r="FE240" s="85"/>
      <c r="FF240" s="85"/>
      <c r="FG240" s="85"/>
      <c r="FH240" s="85"/>
      <c r="FI240" s="85"/>
      <c r="FJ240" s="85"/>
      <c r="FK240" s="85"/>
      <c r="FL240" s="85"/>
      <c r="FM240" s="85"/>
      <c r="FN240" s="85"/>
      <c r="FO240" s="85"/>
      <c r="FP240" s="85"/>
      <c r="FQ240" s="85"/>
      <c r="FR240" s="85"/>
      <c r="FS240" s="85"/>
      <c r="FT240" s="85"/>
      <c r="FU240" s="85"/>
      <c r="FV240" s="85"/>
      <c r="FW240" s="85"/>
      <c r="FX240" s="85"/>
      <c r="FY240" s="85"/>
      <c r="FZ240" s="85"/>
      <c r="GA240" s="85"/>
      <c r="GB240" s="85"/>
      <c r="GC240" s="85"/>
      <c r="GD240" s="85"/>
      <c r="GE240" s="85"/>
      <c r="GF240" s="85"/>
      <c r="GG240" s="85"/>
      <c r="GH240" s="85"/>
      <c r="GI240" s="85"/>
      <c r="GJ240" s="85"/>
      <c r="GK240" s="85"/>
      <c r="GL240" s="85"/>
      <c r="GM240" s="85"/>
      <c r="GN240" s="85"/>
      <c r="GO240" s="85"/>
      <c r="GP240" s="85"/>
      <c r="GQ240" s="85"/>
      <c r="GR240" s="85"/>
      <c r="GS240" s="85"/>
      <c r="GT240" s="85"/>
      <c r="GU240" s="85"/>
      <c r="GV240" s="85"/>
      <c r="GW240" s="85"/>
      <c r="GX240" s="85"/>
    </row>
    <row r="241" spans="1:206">
      <c r="A241" s="277"/>
      <c r="B241" s="140" t="s">
        <v>730</v>
      </c>
      <c r="C241" s="279"/>
      <c r="D241" s="279"/>
      <c r="E241" s="279"/>
      <c r="F241" s="279"/>
      <c r="G241" s="279"/>
      <c r="H241" s="279"/>
      <c r="I241" s="279"/>
      <c r="J241" s="279"/>
      <c r="K241" s="279"/>
      <c r="L241" s="279"/>
      <c r="M241" s="279"/>
      <c r="N241" s="279"/>
      <c r="O241" s="279"/>
      <c r="P241" s="279"/>
      <c r="Q241" s="279"/>
      <c r="R241" s="279"/>
      <c r="S241" s="279"/>
      <c r="T241" s="279"/>
      <c r="U241" s="279"/>
      <c r="V241" s="279"/>
      <c r="W241" s="279"/>
      <c r="X241" s="279"/>
      <c r="Y241" s="279"/>
      <c r="Z241" s="279"/>
      <c r="AA241" s="279"/>
      <c r="AB241" s="279"/>
      <c r="AC241" s="279"/>
      <c r="AD241" s="279"/>
      <c r="AE241" s="279"/>
      <c r="AF241" s="279"/>
      <c r="AG241" s="279"/>
    </row>
    <row r="242" spans="1:206" s="85" customFormat="1">
      <c r="A242" s="276"/>
      <c r="B242" s="140" t="s">
        <v>729</v>
      </c>
      <c r="C242" s="279"/>
      <c r="D242" s="279"/>
      <c r="E242" s="279"/>
      <c r="F242" s="279"/>
      <c r="G242" s="279"/>
      <c r="H242" s="279"/>
      <c r="I242" s="279"/>
      <c r="J242" s="279"/>
      <c r="K242" s="279"/>
      <c r="L242" s="279"/>
      <c r="M242" s="279"/>
      <c r="N242" s="279"/>
      <c r="O242" s="279"/>
      <c r="P242" s="279"/>
      <c r="Q242" s="279"/>
      <c r="R242" s="279"/>
      <c r="S242" s="279"/>
      <c r="T242" s="279"/>
      <c r="U242" s="279"/>
      <c r="V242" s="279"/>
      <c r="W242" s="279"/>
      <c r="X242" s="279"/>
      <c r="Y242" s="279"/>
      <c r="Z242" s="279"/>
      <c r="AA242" s="279"/>
      <c r="AB242" s="279"/>
      <c r="AC242" s="279"/>
      <c r="AD242" s="279"/>
      <c r="AE242" s="279"/>
      <c r="AF242" s="279"/>
      <c r="AG242" s="279"/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66"/>
      <c r="AU242" s="66"/>
      <c r="AV242" s="66"/>
      <c r="AW242" s="66"/>
      <c r="AX242" s="66"/>
      <c r="AY242" s="66"/>
      <c r="AZ242" s="66"/>
      <c r="BA242" s="66"/>
      <c r="BB242" s="66"/>
      <c r="BC242" s="66"/>
      <c r="BD242" s="66"/>
      <c r="BE242" s="66"/>
      <c r="BF242" s="66"/>
      <c r="BG242" s="66"/>
      <c r="BH242" s="66"/>
      <c r="BI242" s="66"/>
      <c r="BJ242" s="66"/>
      <c r="BK242" s="66"/>
      <c r="BL242" s="66"/>
      <c r="BM242" s="66"/>
      <c r="BN242" s="66"/>
      <c r="BO242" s="66"/>
      <c r="BP242" s="66"/>
      <c r="BQ242" s="66"/>
      <c r="BR242" s="66"/>
      <c r="BS242" s="66"/>
      <c r="BT242" s="66"/>
      <c r="BU242" s="66"/>
      <c r="BV242" s="66"/>
      <c r="BW242" s="66"/>
      <c r="BX242" s="66"/>
      <c r="BY242" s="66"/>
      <c r="BZ242" s="66"/>
      <c r="CA242" s="66"/>
      <c r="CB242" s="66"/>
      <c r="CC242" s="66"/>
      <c r="CD242" s="66"/>
      <c r="CE242" s="66"/>
      <c r="CF242" s="66"/>
      <c r="CG242" s="66"/>
      <c r="CH242" s="66"/>
      <c r="CI242" s="66"/>
      <c r="CJ242" s="66"/>
      <c r="CK242" s="66"/>
      <c r="CL242" s="66"/>
      <c r="CM242" s="66"/>
      <c r="CN242" s="66"/>
      <c r="CO242" s="66"/>
      <c r="CP242" s="66"/>
      <c r="CQ242" s="66"/>
      <c r="CR242" s="66"/>
      <c r="CS242" s="66"/>
      <c r="CT242" s="66"/>
      <c r="CU242" s="66"/>
      <c r="CV242" s="66"/>
      <c r="CW242" s="66"/>
      <c r="CX242" s="66"/>
      <c r="CY242" s="66"/>
      <c r="CZ242" s="66"/>
      <c r="DA242" s="66"/>
      <c r="DB242" s="66"/>
      <c r="DC242" s="66"/>
      <c r="DD242" s="66"/>
      <c r="DE242" s="66"/>
      <c r="DF242" s="66"/>
      <c r="DG242" s="66"/>
      <c r="DH242" s="66"/>
      <c r="DI242" s="66"/>
      <c r="DJ242" s="66"/>
      <c r="DK242" s="66"/>
      <c r="DL242" s="66"/>
      <c r="DM242" s="66"/>
      <c r="DN242" s="66"/>
      <c r="DO242" s="66"/>
      <c r="DP242" s="66"/>
      <c r="DQ242" s="66"/>
      <c r="DR242" s="66"/>
      <c r="DS242" s="66"/>
      <c r="DT242" s="66"/>
      <c r="DU242" s="66"/>
      <c r="DV242" s="66"/>
      <c r="DW242" s="66"/>
      <c r="DX242" s="66"/>
      <c r="DY242" s="66"/>
      <c r="DZ242" s="66"/>
      <c r="EA242" s="66"/>
      <c r="EB242" s="66"/>
      <c r="EC242" s="66"/>
      <c r="ED242" s="66"/>
      <c r="EE242" s="66"/>
      <c r="EF242" s="66"/>
      <c r="EG242" s="66"/>
      <c r="EH242" s="66"/>
      <c r="EI242" s="66"/>
      <c r="EJ242" s="66"/>
      <c r="EK242" s="66"/>
      <c r="EL242" s="66"/>
      <c r="EM242" s="66"/>
      <c r="EN242" s="66"/>
      <c r="EO242" s="66"/>
      <c r="EP242" s="66"/>
      <c r="EQ242" s="66"/>
      <c r="ER242" s="66"/>
      <c r="ES242" s="66"/>
      <c r="ET242" s="66"/>
      <c r="EU242" s="66"/>
      <c r="EV242" s="66"/>
      <c r="EW242" s="66"/>
      <c r="EX242" s="66"/>
      <c r="EY242" s="66"/>
      <c r="EZ242" s="66"/>
      <c r="FA242" s="66"/>
      <c r="FB242" s="66"/>
      <c r="FC242" s="66"/>
      <c r="FD242" s="66"/>
      <c r="FE242" s="66"/>
      <c r="FF242" s="66"/>
      <c r="FG242" s="66"/>
      <c r="FH242" s="66"/>
      <c r="FI242" s="66"/>
      <c r="FJ242" s="66"/>
      <c r="FK242" s="66"/>
      <c r="FL242" s="66"/>
      <c r="FM242" s="66"/>
      <c r="FN242" s="66"/>
      <c r="FO242" s="66"/>
      <c r="FP242" s="66"/>
      <c r="FQ242" s="66"/>
      <c r="FR242" s="66"/>
      <c r="FS242" s="66"/>
      <c r="FT242" s="66"/>
      <c r="FU242" s="66"/>
      <c r="FV242" s="66"/>
      <c r="FW242" s="66"/>
      <c r="FX242" s="66"/>
      <c r="FY242" s="66"/>
      <c r="FZ242" s="66"/>
      <c r="GA242" s="66"/>
      <c r="GB242" s="66"/>
      <c r="GC242" s="66"/>
      <c r="GD242" s="66"/>
      <c r="GE242" s="66"/>
      <c r="GF242" s="66"/>
      <c r="GG242" s="66"/>
      <c r="GH242" s="66"/>
      <c r="GI242" s="66"/>
      <c r="GJ242" s="66"/>
      <c r="GK242" s="66"/>
      <c r="GL242" s="66"/>
      <c r="GM242" s="66"/>
      <c r="GN242" s="66"/>
      <c r="GO242" s="66"/>
      <c r="GP242" s="66"/>
      <c r="GQ242" s="66"/>
      <c r="GR242" s="66"/>
      <c r="GS242" s="66"/>
      <c r="GT242" s="66"/>
      <c r="GU242" s="66"/>
      <c r="GV242" s="66"/>
      <c r="GW242" s="66"/>
      <c r="GX242" s="66"/>
    </row>
    <row r="243" spans="1:206" s="85" customFormat="1">
      <c r="A243" s="276"/>
      <c r="B243" s="140" t="s">
        <v>728</v>
      </c>
      <c r="C243" s="280">
        <f>Wind!U246</f>
        <v>0</v>
      </c>
      <c r="D243" s="280">
        <f>Wind!V246</f>
        <v>6.9068464699999996</v>
      </c>
      <c r="E243" s="280">
        <f>Wind!W246</f>
        <v>5.40212936</v>
      </c>
      <c r="F243" s="280">
        <f>Wind!X246</f>
        <v>11.237455499999999</v>
      </c>
      <c r="G243" s="280">
        <f>Wind!Y246</f>
        <v>15.44038626</v>
      </c>
      <c r="H243" s="280">
        <f>Wind!Z246</f>
        <v>49.55672861</v>
      </c>
      <c r="I243" s="280">
        <f>Wind!AA246</f>
        <v>57.720814470000001</v>
      </c>
      <c r="J243" s="280">
        <f>Wind!AB246</f>
        <v>-119.89998962999999</v>
      </c>
      <c r="K243" s="280"/>
      <c r="L243" s="280">
        <f>Wind!CB246</f>
        <v>1.4244545100000001</v>
      </c>
      <c r="M243" s="280">
        <f>Wind!CC246</f>
        <v>0</v>
      </c>
      <c r="N243" s="280">
        <f>Wind!CD246</f>
        <v>0</v>
      </c>
      <c r="O243" s="280">
        <f>Wind!CE246</f>
        <v>11.237455499999999</v>
      </c>
      <c r="P243" s="280">
        <f>Wind!CF246</f>
        <v>3.55783184</v>
      </c>
      <c r="Q243" s="280">
        <f>Wind!CG246</f>
        <v>7.19341133</v>
      </c>
      <c r="R243" s="280">
        <f>Wind!CH246</f>
        <v>0</v>
      </c>
      <c r="S243" s="280">
        <f>Wind!CI246</f>
        <v>15.44038626</v>
      </c>
      <c r="T243" s="280">
        <f>Wind!CJ246</f>
        <v>0</v>
      </c>
      <c r="U243" s="280">
        <f>Wind!CK246</f>
        <v>21.900270729999999</v>
      </c>
      <c r="V243" s="280">
        <f>Wind!CL246</f>
        <v>0</v>
      </c>
      <c r="W243" s="280">
        <f>Wind!CM246</f>
        <v>49.55672861</v>
      </c>
      <c r="X243" s="280">
        <f>Wind!CN246</f>
        <v>0</v>
      </c>
      <c r="Y243" s="280">
        <f>Wind!CO246</f>
        <v>2.50428125</v>
      </c>
      <c r="Z243" s="280">
        <f>Wind!CP246</f>
        <v>0</v>
      </c>
      <c r="AA243" s="280">
        <f>Wind!CQ246</f>
        <v>57.720814470000001</v>
      </c>
      <c r="AB243" s="280">
        <f>Wind!CR246</f>
        <v>0</v>
      </c>
      <c r="AC243" s="280">
        <f>Wind!CS246</f>
        <v>-90.053329869999999</v>
      </c>
      <c r="AD243" s="280">
        <f>Wind!CT246</f>
        <v>0</v>
      </c>
      <c r="AE243" s="280">
        <f>Wind!CU246</f>
        <v>-119.89998962999999</v>
      </c>
      <c r="AF243" s="280">
        <f>Wind!CV246</f>
        <v>0</v>
      </c>
      <c r="AG243" s="280">
        <f>Wind!CW246</f>
        <v>-61.322428600000002</v>
      </c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6"/>
      <c r="AW243" s="66"/>
      <c r="AX243" s="66"/>
      <c r="AY243" s="66"/>
      <c r="AZ243" s="66"/>
      <c r="BA243" s="66"/>
      <c r="BB243" s="66"/>
      <c r="BC243" s="66"/>
      <c r="BD243" s="66"/>
      <c r="BE243" s="66"/>
      <c r="BF243" s="66"/>
      <c r="BG243" s="66"/>
      <c r="BH243" s="66"/>
      <c r="BI243" s="66"/>
      <c r="BJ243" s="66"/>
      <c r="BK243" s="66"/>
      <c r="BL243" s="66"/>
      <c r="BM243" s="66"/>
      <c r="BN243" s="66"/>
      <c r="BO243" s="66"/>
      <c r="BP243" s="66"/>
      <c r="BQ243" s="66"/>
      <c r="BR243" s="66"/>
      <c r="BS243" s="66"/>
      <c r="BT243" s="66"/>
      <c r="BU243" s="66"/>
      <c r="BV243" s="66"/>
      <c r="BW243" s="66"/>
      <c r="BX243" s="66"/>
      <c r="BY243" s="66"/>
      <c r="BZ243" s="66"/>
      <c r="CA243" s="66"/>
      <c r="CB243" s="66"/>
      <c r="CC243" s="66"/>
      <c r="CD243" s="66"/>
      <c r="CE243" s="66"/>
      <c r="CF243" s="66"/>
      <c r="CG243" s="66"/>
      <c r="CH243" s="66"/>
      <c r="CI243" s="66"/>
      <c r="CJ243" s="66"/>
      <c r="CK243" s="66"/>
      <c r="CL243" s="66"/>
      <c r="CM243" s="66"/>
      <c r="CN243" s="66"/>
      <c r="CO243" s="66"/>
      <c r="CP243" s="66"/>
      <c r="CQ243" s="66"/>
      <c r="CR243" s="66"/>
      <c r="CS243" s="66"/>
      <c r="CT243" s="66"/>
      <c r="CU243" s="66"/>
      <c r="CV243" s="66"/>
      <c r="CW243" s="66"/>
      <c r="CX243" s="66"/>
      <c r="CY243" s="66"/>
      <c r="CZ243" s="66"/>
      <c r="DA243" s="66"/>
      <c r="DB243" s="66"/>
      <c r="DC243" s="66"/>
      <c r="DD243" s="66"/>
      <c r="DE243" s="66"/>
      <c r="DF243" s="66"/>
      <c r="DG243" s="66"/>
      <c r="DH243" s="66"/>
      <c r="DI243" s="66"/>
      <c r="DJ243" s="66"/>
      <c r="DK243" s="66"/>
      <c r="DL243" s="66"/>
      <c r="DM243" s="66"/>
      <c r="DN243" s="66"/>
      <c r="DO243" s="66"/>
      <c r="DP243" s="66"/>
      <c r="DQ243" s="66"/>
      <c r="DR243" s="66"/>
      <c r="DS243" s="66"/>
      <c r="DT243" s="66"/>
      <c r="DU243" s="66"/>
      <c r="DV243" s="66"/>
      <c r="DW243" s="66"/>
      <c r="DX243" s="66"/>
      <c r="DY243" s="66"/>
      <c r="DZ243" s="66"/>
      <c r="EA243" s="66"/>
      <c r="EB243" s="66"/>
      <c r="EC243" s="66"/>
      <c r="ED243" s="66"/>
      <c r="EE243" s="66"/>
      <c r="EF243" s="66"/>
      <c r="EG243" s="66"/>
      <c r="EH243" s="66"/>
      <c r="EI243" s="66"/>
      <c r="EJ243" s="66"/>
      <c r="EK243" s="66"/>
      <c r="EL243" s="66"/>
      <c r="EM243" s="66"/>
      <c r="EN243" s="66"/>
      <c r="EO243" s="66"/>
      <c r="EP243" s="66"/>
      <c r="EQ243" s="66"/>
      <c r="ER243" s="66"/>
      <c r="ES243" s="66"/>
      <c r="ET243" s="66"/>
      <c r="EU243" s="66"/>
      <c r="EV243" s="66"/>
      <c r="EW243" s="66"/>
      <c r="EX243" s="66"/>
      <c r="EY243" s="66"/>
      <c r="EZ243" s="66"/>
      <c r="FA243" s="66"/>
      <c r="FB243" s="66"/>
      <c r="FC243" s="66"/>
      <c r="FD243" s="66"/>
      <c r="FE243" s="66"/>
      <c r="FF243" s="66"/>
      <c r="FG243" s="66"/>
      <c r="FH243" s="66"/>
      <c r="FI243" s="66"/>
      <c r="FJ243" s="66"/>
      <c r="FK243" s="66"/>
      <c r="FL243" s="66"/>
      <c r="FM243" s="66"/>
      <c r="FN243" s="66"/>
      <c r="FO243" s="66"/>
      <c r="FP243" s="66"/>
      <c r="FQ243" s="66"/>
      <c r="FR243" s="66"/>
      <c r="FS243" s="66"/>
      <c r="FT243" s="66"/>
      <c r="FU243" s="66"/>
      <c r="FV243" s="66"/>
      <c r="FW243" s="66"/>
      <c r="FX243" s="66"/>
      <c r="FY243" s="66"/>
      <c r="FZ243" s="66"/>
      <c r="GA243" s="66"/>
      <c r="GB243" s="66"/>
      <c r="GC243" s="66"/>
      <c r="GD243" s="66"/>
      <c r="GE243" s="66"/>
      <c r="GF243" s="66"/>
      <c r="GG243" s="66"/>
      <c r="GH243" s="66"/>
      <c r="GI243" s="66"/>
      <c r="GJ243" s="66"/>
      <c r="GK243" s="66"/>
      <c r="GL243" s="66"/>
      <c r="GM243" s="66"/>
      <c r="GN243" s="66"/>
      <c r="GO243" s="66"/>
      <c r="GP243" s="66"/>
      <c r="GQ243" s="66"/>
      <c r="GR243" s="66"/>
      <c r="GS243" s="66"/>
      <c r="GT243" s="66"/>
      <c r="GU243" s="66"/>
      <c r="GV243" s="66"/>
      <c r="GW243" s="66"/>
      <c r="GX243" s="66"/>
    </row>
    <row r="244" spans="1:206">
      <c r="A244" s="277"/>
      <c r="B244" s="140" t="s">
        <v>34</v>
      </c>
      <c r="C244" s="279"/>
      <c r="D244" s="279"/>
      <c r="E244" s="279"/>
      <c r="F244" s="279"/>
      <c r="G244" s="279"/>
      <c r="H244" s="279"/>
      <c r="I244" s="279"/>
      <c r="J244" s="279"/>
      <c r="K244" s="279"/>
      <c r="L244" s="279"/>
      <c r="M244" s="279"/>
      <c r="N244" s="279"/>
      <c r="O244" s="279"/>
      <c r="P244" s="279"/>
      <c r="Q244" s="279"/>
      <c r="R244" s="279"/>
      <c r="S244" s="279"/>
      <c r="T244" s="279"/>
      <c r="U244" s="279"/>
      <c r="V244" s="279"/>
      <c r="W244" s="279"/>
      <c r="X244" s="279"/>
      <c r="Y244" s="279"/>
      <c r="Z244" s="279"/>
      <c r="AA244" s="279"/>
      <c r="AB244" s="279"/>
      <c r="AC244" s="279"/>
      <c r="AD244" s="279"/>
      <c r="AE244" s="279"/>
      <c r="AF244" s="279"/>
      <c r="AG244" s="279"/>
    </row>
    <row r="245" spans="1:206">
      <c r="A245" s="277"/>
      <c r="B245" s="140" t="s">
        <v>727</v>
      </c>
      <c r="C245" s="279"/>
      <c r="D245" s="279"/>
      <c r="E245" s="279"/>
      <c r="F245" s="279"/>
      <c r="G245" s="279"/>
      <c r="H245" s="279"/>
      <c r="I245" s="279"/>
      <c r="J245" s="279"/>
      <c r="K245" s="279"/>
      <c r="L245" s="279"/>
      <c r="M245" s="279"/>
      <c r="N245" s="279"/>
      <c r="O245" s="279"/>
      <c r="P245" s="279"/>
      <c r="Q245" s="279"/>
      <c r="R245" s="279"/>
      <c r="S245" s="279"/>
      <c r="T245" s="279"/>
      <c r="U245" s="279"/>
      <c r="V245" s="279"/>
      <c r="W245" s="279"/>
      <c r="X245" s="279"/>
      <c r="Y245" s="279"/>
      <c r="Z245" s="279"/>
      <c r="AA245" s="279"/>
      <c r="AB245" s="279"/>
      <c r="AC245" s="279"/>
      <c r="AD245" s="279"/>
      <c r="AE245" s="279"/>
      <c r="AF245" s="279"/>
      <c r="AG245" s="279"/>
    </row>
    <row r="246" spans="1:206">
      <c r="A246" s="277"/>
      <c r="B246" s="140" t="s">
        <v>726</v>
      </c>
      <c r="C246" s="279"/>
      <c r="D246" s="279"/>
      <c r="E246" s="279"/>
      <c r="F246" s="279"/>
      <c r="G246" s="279"/>
      <c r="H246" s="279"/>
      <c r="I246" s="279"/>
      <c r="J246" s="279"/>
      <c r="K246" s="279"/>
      <c r="L246" s="279"/>
      <c r="M246" s="279"/>
      <c r="N246" s="279"/>
      <c r="O246" s="279"/>
      <c r="P246" s="279"/>
      <c r="Q246" s="279"/>
      <c r="R246" s="279"/>
      <c r="S246" s="279"/>
      <c r="T246" s="279"/>
      <c r="U246" s="279"/>
      <c r="V246" s="279"/>
      <c r="W246" s="279"/>
      <c r="X246" s="279"/>
      <c r="Y246" s="279"/>
      <c r="Z246" s="279"/>
      <c r="AA246" s="279"/>
      <c r="AB246" s="279"/>
      <c r="AC246" s="279"/>
      <c r="AD246" s="279"/>
      <c r="AE246" s="279"/>
      <c r="AF246" s="279"/>
      <c r="AG246" s="279"/>
    </row>
    <row r="247" spans="1:206">
      <c r="A247" s="277"/>
      <c r="B247" s="140" t="s">
        <v>725</v>
      </c>
      <c r="C247" s="279"/>
      <c r="D247" s="279"/>
      <c r="E247" s="279"/>
      <c r="F247" s="279"/>
      <c r="G247" s="279"/>
      <c r="H247" s="279"/>
      <c r="I247" s="279"/>
      <c r="J247" s="279"/>
      <c r="K247" s="279"/>
      <c r="L247" s="279"/>
      <c r="M247" s="279"/>
      <c r="N247" s="279"/>
      <c r="O247" s="279"/>
      <c r="P247" s="279"/>
      <c r="Q247" s="279"/>
      <c r="R247" s="279"/>
      <c r="S247" s="279"/>
      <c r="T247" s="279"/>
      <c r="U247" s="279"/>
      <c r="V247" s="279"/>
      <c r="W247" s="279"/>
      <c r="X247" s="279"/>
      <c r="Y247" s="279"/>
      <c r="Z247" s="279"/>
      <c r="AA247" s="279"/>
      <c r="AB247" s="279"/>
      <c r="AC247" s="279"/>
      <c r="AD247" s="279"/>
      <c r="AE247" s="279"/>
      <c r="AF247" s="279"/>
      <c r="AG247" s="279"/>
    </row>
    <row r="248" spans="1:206">
      <c r="A248" s="277"/>
      <c r="B248" s="140" t="s">
        <v>724</v>
      </c>
      <c r="C248" s="279"/>
      <c r="D248" s="279"/>
      <c r="E248" s="279"/>
      <c r="F248" s="279"/>
      <c r="G248" s="279"/>
      <c r="H248" s="279"/>
      <c r="I248" s="279"/>
      <c r="J248" s="279"/>
      <c r="K248" s="279"/>
      <c r="L248" s="279"/>
      <c r="M248" s="279"/>
      <c r="N248" s="279"/>
      <c r="O248" s="279"/>
      <c r="P248" s="279"/>
      <c r="Q248" s="279"/>
      <c r="R248" s="279"/>
      <c r="S248" s="279"/>
      <c r="T248" s="279"/>
      <c r="U248" s="279"/>
      <c r="V248" s="279"/>
      <c r="W248" s="279"/>
      <c r="X248" s="279"/>
      <c r="Y248" s="279"/>
      <c r="Z248" s="279"/>
      <c r="AA248" s="279"/>
      <c r="AB248" s="279"/>
      <c r="AC248" s="279"/>
      <c r="AD248" s="279"/>
      <c r="AE248" s="279"/>
      <c r="AF248" s="279"/>
      <c r="AG248" s="279"/>
    </row>
    <row r="249" spans="1:206">
      <c r="A249" s="277"/>
      <c r="B249" s="140" t="s">
        <v>723</v>
      </c>
      <c r="C249" s="279"/>
      <c r="D249" s="279"/>
      <c r="E249" s="279"/>
      <c r="F249" s="279"/>
      <c r="G249" s="279"/>
      <c r="H249" s="279"/>
      <c r="I249" s="279"/>
      <c r="J249" s="279"/>
      <c r="K249" s="279"/>
      <c r="L249" s="279"/>
      <c r="M249" s="279"/>
      <c r="N249" s="279"/>
      <c r="O249" s="279"/>
      <c r="P249" s="279"/>
      <c r="Q249" s="279"/>
      <c r="R249" s="279"/>
      <c r="S249" s="279"/>
      <c r="T249" s="279"/>
      <c r="U249" s="279"/>
      <c r="V249" s="279"/>
      <c r="W249" s="279"/>
      <c r="X249" s="279"/>
      <c r="Y249" s="279"/>
      <c r="Z249" s="279"/>
      <c r="AA249" s="279"/>
      <c r="AB249" s="279"/>
      <c r="AC249" s="279"/>
      <c r="AD249" s="279"/>
      <c r="AE249" s="279"/>
      <c r="AF249" s="279"/>
      <c r="AG249" s="279"/>
    </row>
    <row r="250" spans="1:206">
      <c r="A250" s="277"/>
      <c r="B250" s="140" t="s">
        <v>722</v>
      </c>
      <c r="C250" s="279"/>
      <c r="D250" s="279"/>
      <c r="E250" s="279"/>
      <c r="F250" s="279"/>
      <c r="G250" s="279"/>
      <c r="H250" s="279"/>
      <c r="I250" s="279"/>
      <c r="J250" s="279"/>
      <c r="K250" s="279"/>
      <c r="L250" s="279"/>
      <c r="M250" s="279"/>
      <c r="N250" s="279"/>
      <c r="O250" s="279"/>
      <c r="P250" s="279"/>
      <c r="Q250" s="279"/>
      <c r="R250" s="279"/>
      <c r="S250" s="279"/>
      <c r="T250" s="279"/>
      <c r="U250" s="279"/>
      <c r="V250" s="279"/>
      <c r="W250" s="279"/>
      <c r="X250" s="279"/>
      <c r="Y250" s="279"/>
      <c r="Z250" s="279"/>
      <c r="AA250" s="279"/>
      <c r="AB250" s="279"/>
      <c r="AC250" s="279"/>
      <c r="AD250" s="279"/>
      <c r="AE250" s="279"/>
      <c r="AF250" s="279"/>
      <c r="AG250" s="279"/>
    </row>
    <row r="251" spans="1:206">
      <c r="A251" s="277"/>
      <c r="B251" s="140" t="s">
        <v>721</v>
      </c>
      <c r="C251" s="279"/>
      <c r="D251" s="279"/>
      <c r="E251" s="279"/>
      <c r="F251" s="279"/>
      <c r="G251" s="279"/>
      <c r="H251" s="279"/>
      <c r="I251" s="279"/>
      <c r="J251" s="279"/>
      <c r="K251" s="279"/>
      <c r="L251" s="279"/>
      <c r="M251" s="279"/>
      <c r="N251" s="279"/>
      <c r="O251" s="279"/>
      <c r="P251" s="279"/>
      <c r="Q251" s="279"/>
      <c r="R251" s="279"/>
      <c r="S251" s="279"/>
      <c r="T251" s="279"/>
      <c r="U251" s="279"/>
      <c r="V251" s="279"/>
      <c r="W251" s="279"/>
      <c r="X251" s="279"/>
      <c r="Y251" s="279"/>
      <c r="Z251" s="279"/>
      <c r="AA251" s="279"/>
      <c r="AB251" s="279"/>
      <c r="AC251" s="279"/>
      <c r="AD251" s="279"/>
      <c r="AE251" s="279"/>
      <c r="AF251" s="279"/>
      <c r="AG251" s="279"/>
    </row>
    <row r="252" spans="1:206">
      <c r="A252" s="277"/>
      <c r="B252" s="140" t="s">
        <v>720</v>
      </c>
      <c r="C252" s="279"/>
      <c r="D252" s="279"/>
      <c r="E252" s="279"/>
      <c r="F252" s="279"/>
      <c r="G252" s="279"/>
      <c r="H252" s="279"/>
      <c r="I252" s="279"/>
      <c r="J252" s="279"/>
      <c r="K252" s="279"/>
      <c r="L252" s="279"/>
      <c r="M252" s="279"/>
      <c r="N252" s="279"/>
      <c r="O252" s="279"/>
      <c r="P252" s="279"/>
      <c r="Q252" s="279"/>
      <c r="R252" s="279"/>
      <c r="S252" s="279"/>
      <c r="T252" s="279"/>
      <c r="U252" s="279"/>
      <c r="V252" s="279"/>
      <c r="W252" s="279"/>
      <c r="X252" s="279"/>
      <c r="Y252" s="279"/>
      <c r="Z252" s="279"/>
      <c r="AA252" s="279"/>
      <c r="AB252" s="279"/>
      <c r="AC252" s="279"/>
      <c r="AD252" s="279"/>
      <c r="AE252" s="279"/>
      <c r="AF252" s="279"/>
      <c r="AG252" s="279"/>
    </row>
    <row r="253" spans="1:206">
      <c r="A253" s="277"/>
      <c r="B253" s="140" t="s">
        <v>719</v>
      </c>
      <c r="C253" s="279"/>
      <c r="D253" s="279"/>
      <c r="E253" s="279"/>
      <c r="F253" s="279"/>
      <c r="G253" s="279"/>
      <c r="H253" s="279"/>
      <c r="I253" s="279"/>
      <c r="J253" s="279"/>
      <c r="K253" s="279"/>
      <c r="L253" s="279"/>
      <c r="M253" s="279"/>
      <c r="N253" s="279"/>
      <c r="O253" s="279"/>
      <c r="P253" s="279"/>
      <c r="Q253" s="279"/>
      <c r="R253" s="279"/>
      <c r="S253" s="279"/>
      <c r="T253" s="279"/>
      <c r="U253" s="279"/>
      <c r="V253" s="279"/>
      <c r="W253" s="279"/>
      <c r="X253" s="279"/>
      <c r="Y253" s="279"/>
      <c r="Z253" s="279"/>
      <c r="AA253" s="279"/>
      <c r="AB253" s="279"/>
      <c r="AC253" s="279"/>
      <c r="AD253" s="279"/>
      <c r="AE253" s="279"/>
      <c r="AF253" s="279"/>
      <c r="AG253" s="279"/>
    </row>
    <row r="254" spans="1:206">
      <c r="A254" s="277"/>
      <c r="B254" s="140" t="s">
        <v>718</v>
      </c>
      <c r="C254" s="279"/>
      <c r="D254" s="279"/>
      <c r="E254" s="279"/>
      <c r="F254" s="279"/>
      <c r="G254" s="279"/>
      <c r="H254" s="279"/>
      <c r="I254" s="279"/>
      <c r="J254" s="279"/>
      <c r="K254" s="279"/>
      <c r="L254" s="279"/>
      <c r="M254" s="279"/>
      <c r="N254" s="279"/>
      <c r="O254" s="279"/>
      <c r="P254" s="279"/>
      <c r="Q254" s="279"/>
      <c r="R254" s="279"/>
      <c r="S254" s="279"/>
      <c r="T254" s="279"/>
      <c r="U254" s="279"/>
      <c r="V254" s="279"/>
      <c r="W254" s="279"/>
      <c r="X254" s="279"/>
      <c r="Y254" s="279"/>
      <c r="Z254" s="279"/>
      <c r="AA254" s="279"/>
      <c r="AB254" s="279"/>
      <c r="AC254" s="279"/>
      <c r="AD254" s="279"/>
      <c r="AE254" s="279"/>
      <c r="AF254" s="279"/>
      <c r="AG254" s="279"/>
    </row>
    <row r="255" spans="1:206">
      <c r="A255" s="277"/>
      <c r="B255" s="140" t="s">
        <v>660</v>
      </c>
      <c r="C255" s="279"/>
      <c r="D255" s="279"/>
      <c r="E255" s="279"/>
      <c r="F255" s="279"/>
      <c r="G255" s="279"/>
      <c r="H255" s="279"/>
      <c r="I255" s="279"/>
      <c r="J255" s="279"/>
      <c r="K255" s="279"/>
      <c r="L255" s="279"/>
      <c r="M255" s="279"/>
      <c r="N255" s="279"/>
      <c r="O255" s="279"/>
      <c r="P255" s="279"/>
      <c r="Q255" s="279"/>
      <c r="R255" s="279"/>
      <c r="S255" s="279"/>
      <c r="T255" s="279"/>
      <c r="U255" s="279"/>
      <c r="V255" s="279"/>
      <c r="W255" s="279"/>
      <c r="X255" s="279"/>
      <c r="Y255" s="279"/>
      <c r="Z255" s="279"/>
      <c r="AA255" s="279"/>
      <c r="AB255" s="279"/>
      <c r="AC255" s="279"/>
      <c r="AD255" s="279"/>
      <c r="AE255" s="279"/>
      <c r="AF255" s="279"/>
      <c r="AG255" s="279"/>
    </row>
    <row r="256" spans="1:206">
      <c r="A256" s="277"/>
      <c r="B256" s="140" t="s">
        <v>667</v>
      </c>
      <c r="C256" s="279"/>
      <c r="D256" s="279"/>
      <c r="E256" s="279"/>
      <c r="F256" s="279"/>
      <c r="G256" s="279"/>
      <c r="H256" s="279"/>
      <c r="I256" s="279"/>
      <c r="J256" s="279"/>
      <c r="K256" s="279"/>
      <c r="L256" s="279"/>
      <c r="M256" s="279"/>
      <c r="N256" s="279"/>
      <c r="O256" s="279"/>
      <c r="P256" s="279"/>
      <c r="Q256" s="279"/>
      <c r="R256" s="279"/>
      <c r="S256" s="279"/>
      <c r="T256" s="279"/>
      <c r="U256" s="279"/>
      <c r="V256" s="279"/>
      <c r="W256" s="279"/>
      <c r="X256" s="279"/>
      <c r="Y256" s="279"/>
      <c r="Z256" s="279"/>
      <c r="AA256" s="279"/>
      <c r="AB256" s="279"/>
      <c r="AC256" s="279"/>
      <c r="AD256" s="279"/>
      <c r="AE256" s="279"/>
      <c r="AF256" s="279"/>
      <c r="AG256" s="279"/>
    </row>
    <row r="257" spans="1:206">
      <c r="A257" s="277"/>
      <c r="B257" s="140" t="s">
        <v>667</v>
      </c>
      <c r="C257" s="279"/>
      <c r="D257" s="279"/>
      <c r="E257" s="279"/>
      <c r="F257" s="279"/>
      <c r="G257" s="279"/>
      <c r="H257" s="279"/>
      <c r="I257" s="279"/>
      <c r="J257" s="279"/>
      <c r="K257" s="279"/>
      <c r="L257" s="279"/>
      <c r="M257" s="279"/>
      <c r="N257" s="279"/>
      <c r="O257" s="279"/>
      <c r="P257" s="279"/>
      <c r="Q257" s="279"/>
      <c r="R257" s="279"/>
      <c r="S257" s="279"/>
      <c r="T257" s="279"/>
      <c r="U257" s="279"/>
      <c r="V257" s="279"/>
      <c r="W257" s="279"/>
      <c r="X257" s="279"/>
      <c r="Y257" s="279"/>
      <c r="Z257" s="279"/>
      <c r="AA257" s="279"/>
      <c r="AB257" s="279"/>
      <c r="AC257" s="279"/>
      <c r="AD257" s="279"/>
      <c r="AE257" s="279"/>
      <c r="AF257" s="279"/>
      <c r="AG257" s="279"/>
    </row>
    <row r="258" spans="1:206">
      <c r="A258" s="277"/>
      <c r="C258" s="279"/>
      <c r="D258" s="279"/>
      <c r="E258" s="279"/>
      <c r="F258" s="279"/>
      <c r="G258" s="279"/>
      <c r="H258" s="279"/>
      <c r="I258" s="279"/>
      <c r="J258" s="279"/>
      <c r="K258" s="279"/>
      <c r="L258" s="279"/>
      <c r="M258" s="279"/>
      <c r="N258" s="279"/>
      <c r="O258" s="279"/>
      <c r="P258" s="279"/>
      <c r="Q258" s="279"/>
      <c r="R258" s="279"/>
      <c r="S258" s="279"/>
      <c r="T258" s="279"/>
      <c r="U258" s="279"/>
      <c r="V258" s="279"/>
      <c r="W258" s="279"/>
      <c r="X258" s="279"/>
      <c r="Y258" s="279"/>
      <c r="Z258" s="279"/>
      <c r="AA258" s="279"/>
      <c r="AB258" s="279"/>
      <c r="AC258" s="279"/>
      <c r="AD258" s="279"/>
      <c r="AE258" s="279"/>
      <c r="AF258" s="279"/>
      <c r="AG258" s="279"/>
    </row>
    <row r="259" spans="1:206">
      <c r="A259" s="277"/>
      <c r="B259" s="988" t="s">
        <v>717</v>
      </c>
      <c r="C259" s="989"/>
      <c r="D259" s="989"/>
      <c r="E259" s="989"/>
      <c r="F259" s="989"/>
      <c r="G259" s="989"/>
      <c r="H259" s="989"/>
      <c r="I259" s="989"/>
      <c r="J259" s="989"/>
      <c r="K259" s="279"/>
      <c r="L259" s="989"/>
      <c r="M259" s="989"/>
      <c r="N259" s="989"/>
      <c r="O259" s="989"/>
      <c r="P259" s="989"/>
      <c r="Q259" s="989"/>
      <c r="R259" s="989"/>
      <c r="S259" s="989"/>
      <c r="T259" s="989"/>
      <c r="U259" s="989"/>
      <c r="V259" s="989"/>
      <c r="W259" s="989"/>
      <c r="X259" s="989"/>
      <c r="Y259" s="989"/>
      <c r="Z259" s="989"/>
      <c r="AA259" s="989"/>
      <c r="AB259" s="989"/>
      <c r="AC259" s="989"/>
      <c r="AD259" s="989"/>
      <c r="AE259" s="989"/>
      <c r="AF259" s="989"/>
      <c r="AG259" s="989"/>
    </row>
    <row r="260" spans="1:206">
      <c r="A260" s="277"/>
      <c r="B260" s="149" t="s">
        <v>716</v>
      </c>
      <c r="C260" s="278">
        <f>Wind!U250</f>
        <v>0</v>
      </c>
      <c r="D260" s="278">
        <f>Wind!V250</f>
        <v>14.281262369999999</v>
      </c>
      <c r="E260" s="278">
        <f>Wind!W250</f>
        <v>-95.428729260000011</v>
      </c>
      <c r="F260" s="278">
        <f>Wind!X250</f>
        <v>-58.473150049999994</v>
      </c>
      <c r="G260" s="278">
        <f>Wind!Y250</f>
        <v>-67.33474815999999</v>
      </c>
      <c r="H260" s="278">
        <f>Wind!Z250</f>
        <v>-54.183837880000006</v>
      </c>
      <c r="I260" s="278">
        <f>Wind!AA250</f>
        <v>-176.07688181999998</v>
      </c>
      <c r="J260" s="278">
        <f>Wind!AB250</f>
        <v>-499.48250118999999</v>
      </c>
      <c r="K260" s="278"/>
      <c r="L260" s="278">
        <f>Wind!CB250</f>
        <v>25.626111290000001</v>
      </c>
      <c r="M260" s="278">
        <f>Wind!CC250</f>
        <v>0</v>
      </c>
      <c r="N260" s="278">
        <f>Wind!CD250</f>
        <v>0</v>
      </c>
      <c r="O260" s="278">
        <f>Wind!CE250</f>
        <v>-58.473150049999994</v>
      </c>
      <c r="P260" s="278">
        <f>Wind!CF250</f>
        <v>31.011957989999999</v>
      </c>
      <c r="Q260" s="278">
        <f>Wind!CG250</f>
        <v>-1.58486762</v>
      </c>
      <c r="R260" s="278">
        <f>Wind!CH250</f>
        <v>0</v>
      </c>
      <c r="S260" s="278">
        <f>Wind!CI250</f>
        <v>-67.33474815999999</v>
      </c>
      <c r="T260" s="278">
        <f>Wind!CJ250</f>
        <v>0</v>
      </c>
      <c r="U260" s="278">
        <f>Wind!CK250</f>
        <v>-52.386921919999999</v>
      </c>
      <c r="V260" s="278">
        <f>Wind!CL250</f>
        <v>0</v>
      </c>
      <c r="W260" s="278">
        <f>Wind!CM250</f>
        <v>-54.183837880000006</v>
      </c>
      <c r="X260" s="278">
        <f>Wind!CN250</f>
        <v>0</v>
      </c>
      <c r="Y260" s="278">
        <f>Wind!CO250</f>
        <v>30.156160809999999</v>
      </c>
      <c r="Z260" s="278">
        <f>Wind!CP250</f>
        <v>0</v>
      </c>
      <c r="AA260" s="278">
        <f>Wind!CQ250</f>
        <v>-176.07688181999998</v>
      </c>
      <c r="AB260" s="278">
        <f>Wind!CR250</f>
        <v>0</v>
      </c>
      <c r="AC260" s="278">
        <f>Wind!CS250</f>
        <v>111.72490356</v>
      </c>
      <c r="AD260" s="278">
        <f>Wind!CT250</f>
        <v>0</v>
      </c>
      <c r="AE260" s="278">
        <f>Wind!CU250</f>
        <v>-499.48250118999999</v>
      </c>
      <c r="AF260" s="278">
        <f>Wind!CV250</f>
        <v>0</v>
      </c>
      <c r="AG260" s="278">
        <f>Wind!CW250</f>
        <v>389.76244161</v>
      </c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  <c r="BS260" s="85"/>
      <c r="BT260" s="85"/>
      <c r="BU260" s="85"/>
      <c r="BV260" s="85"/>
      <c r="BW260" s="85"/>
      <c r="BX260" s="85"/>
      <c r="BY260" s="85"/>
      <c r="BZ260" s="85"/>
      <c r="CA260" s="85"/>
      <c r="CB260" s="85"/>
      <c r="CC260" s="85"/>
      <c r="CD260" s="85"/>
      <c r="CE260" s="85"/>
      <c r="CF260" s="85"/>
      <c r="CG260" s="85"/>
      <c r="CH260" s="85"/>
      <c r="CI260" s="85"/>
      <c r="CJ260" s="85"/>
      <c r="CK260" s="85"/>
      <c r="CL260" s="85"/>
      <c r="CM260" s="85"/>
      <c r="CN260" s="85"/>
      <c r="CO260" s="85"/>
      <c r="CP260" s="85"/>
      <c r="CQ260" s="85"/>
      <c r="CR260" s="85"/>
      <c r="CS260" s="85"/>
      <c r="CT260" s="85"/>
      <c r="CU260" s="85"/>
      <c r="CV260" s="85"/>
      <c r="CW260" s="85"/>
      <c r="CX260" s="85"/>
      <c r="CY260" s="85"/>
      <c r="CZ260" s="85"/>
      <c r="DA260" s="85"/>
      <c r="DB260" s="85"/>
      <c r="DC260" s="85"/>
      <c r="DD260" s="85"/>
      <c r="DE260" s="85"/>
      <c r="DF260" s="85"/>
      <c r="DG260" s="85"/>
      <c r="DH260" s="85"/>
      <c r="DI260" s="85"/>
      <c r="DJ260" s="85"/>
      <c r="DK260" s="85"/>
      <c r="DL260" s="85"/>
      <c r="DM260" s="85"/>
      <c r="DN260" s="85"/>
      <c r="DO260" s="85"/>
      <c r="DP260" s="85"/>
      <c r="DQ260" s="85"/>
      <c r="DR260" s="85"/>
      <c r="DS260" s="85"/>
      <c r="DT260" s="85"/>
      <c r="DU260" s="85"/>
      <c r="DV260" s="85"/>
      <c r="DW260" s="85"/>
      <c r="DX260" s="85"/>
      <c r="DY260" s="85"/>
      <c r="DZ260" s="85"/>
      <c r="EA260" s="85"/>
      <c r="EB260" s="85"/>
      <c r="EC260" s="85"/>
      <c r="ED260" s="85"/>
      <c r="EE260" s="85"/>
      <c r="EF260" s="85"/>
      <c r="EG260" s="85"/>
      <c r="EH260" s="85"/>
      <c r="EI260" s="85"/>
      <c r="EJ260" s="85"/>
      <c r="EK260" s="85"/>
      <c r="EL260" s="85"/>
      <c r="EM260" s="85"/>
      <c r="EN260" s="85"/>
      <c r="EO260" s="85"/>
      <c r="EP260" s="85"/>
      <c r="EQ260" s="85"/>
      <c r="ER260" s="85"/>
      <c r="ES260" s="85"/>
      <c r="ET260" s="85"/>
      <c r="EU260" s="85"/>
      <c r="EV260" s="85"/>
      <c r="EW260" s="85"/>
      <c r="EX260" s="85"/>
      <c r="EY260" s="85"/>
      <c r="EZ260" s="85"/>
      <c r="FA260" s="85"/>
      <c r="FB260" s="85"/>
      <c r="FC260" s="85"/>
      <c r="FD260" s="85"/>
      <c r="FE260" s="85"/>
      <c r="FF260" s="85"/>
      <c r="FG260" s="85"/>
      <c r="FH260" s="85"/>
      <c r="FI260" s="85"/>
      <c r="FJ260" s="85"/>
      <c r="FK260" s="85"/>
      <c r="FL260" s="85"/>
      <c r="FM260" s="85"/>
      <c r="FN260" s="85"/>
      <c r="FO260" s="85"/>
      <c r="FP260" s="85"/>
      <c r="FQ260" s="85"/>
      <c r="FR260" s="85"/>
      <c r="FS260" s="85"/>
      <c r="FT260" s="85"/>
      <c r="FU260" s="85"/>
      <c r="FV260" s="85"/>
      <c r="FW260" s="85"/>
      <c r="FX260" s="85"/>
      <c r="FY260" s="85"/>
      <c r="FZ260" s="85"/>
      <c r="GA260" s="85"/>
      <c r="GB260" s="85"/>
      <c r="GC260" s="85"/>
      <c r="GD260" s="85"/>
      <c r="GE260" s="85"/>
      <c r="GF260" s="85"/>
      <c r="GG260" s="85"/>
      <c r="GH260" s="85"/>
      <c r="GI260" s="85"/>
      <c r="GJ260" s="85"/>
      <c r="GK260" s="85"/>
      <c r="GL260" s="85"/>
      <c r="GM260" s="85"/>
      <c r="GN260" s="85"/>
      <c r="GO260" s="85"/>
      <c r="GP260" s="85"/>
      <c r="GQ260" s="85"/>
      <c r="GR260" s="85"/>
      <c r="GS260" s="85"/>
      <c r="GT260" s="85"/>
      <c r="GU260" s="85"/>
      <c r="GV260" s="85"/>
      <c r="GW260" s="85"/>
      <c r="GX260" s="85"/>
    </row>
    <row r="261" spans="1:206">
      <c r="A261" s="277"/>
      <c r="C261" s="279"/>
      <c r="D261" s="279"/>
      <c r="E261" s="279"/>
      <c r="F261" s="279"/>
      <c r="G261" s="279"/>
      <c r="H261" s="279"/>
      <c r="I261" s="279"/>
      <c r="J261" s="279"/>
      <c r="K261" s="279"/>
      <c r="L261" s="279"/>
      <c r="M261" s="279"/>
      <c r="N261" s="279"/>
      <c r="O261" s="279"/>
      <c r="P261" s="279"/>
      <c r="Q261" s="279"/>
      <c r="R261" s="279"/>
      <c r="S261" s="279"/>
      <c r="T261" s="279"/>
      <c r="U261" s="279"/>
      <c r="V261" s="279"/>
      <c r="W261" s="279"/>
      <c r="X261" s="279"/>
      <c r="Y261" s="279"/>
      <c r="Z261" s="279"/>
      <c r="AA261" s="279"/>
      <c r="AB261" s="279"/>
      <c r="AC261" s="279"/>
      <c r="AD261" s="279"/>
      <c r="AE261" s="279"/>
      <c r="AF261" s="279"/>
      <c r="AG261" s="279"/>
    </row>
    <row r="262" spans="1:206">
      <c r="A262" s="277"/>
      <c r="B262" s="140" t="s">
        <v>715</v>
      </c>
      <c r="C262" s="279"/>
      <c r="D262" s="279"/>
      <c r="E262" s="279"/>
      <c r="F262" s="279"/>
      <c r="G262" s="279"/>
      <c r="H262" s="279"/>
      <c r="I262" s="279"/>
      <c r="J262" s="279"/>
      <c r="K262" s="279"/>
      <c r="L262" s="279"/>
      <c r="M262" s="279"/>
      <c r="N262" s="279"/>
      <c r="O262" s="279"/>
      <c r="P262" s="279"/>
      <c r="Q262" s="279"/>
      <c r="R262" s="279"/>
      <c r="S262" s="279"/>
      <c r="T262" s="279"/>
      <c r="U262" s="279"/>
      <c r="V262" s="279"/>
      <c r="W262" s="279"/>
      <c r="X262" s="279"/>
      <c r="Y262" s="279"/>
      <c r="Z262" s="279"/>
      <c r="AA262" s="279"/>
      <c r="AB262" s="279"/>
      <c r="AC262" s="279"/>
      <c r="AD262" s="279"/>
      <c r="AE262" s="279"/>
      <c r="AF262" s="279"/>
      <c r="AG262" s="279"/>
    </row>
    <row r="263" spans="1:206" s="85" customFormat="1">
      <c r="A263" s="276"/>
      <c r="B263" s="140" t="s">
        <v>714</v>
      </c>
      <c r="C263" s="279"/>
      <c r="D263" s="279"/>
      <c r="E263" s="279"/>
      <c r="F263" s="279"/>
      <c r="G263" s="279"/>
      <c r="H263" s="279"/>
      <c r="I263" s="279"/>
      <c r="J263" s="279"/>
      <c r="K263" s="279"/>
      <c r="L263" s="279"/>
      <c r="M263" s="279"/>
      <c r="N263" s="279"/>
      <c r="O263" s="279"/>
      <c r="P263" s="279"/>
      <c r="Q263" s="279"/>
      <c r="R263" s="279"/>
      <c r="S263" s="279"/>
      <c r="T263" s="279"/>
      <c r="U263" s="279"/>
      <c r="V263" s="279"/>
      <c r="W263" s="279"/>
      <c r="X263" s="279"/>
      <c r="Y263" s="279"/>
      <c r="Z263" s="279"/>
      <c r="AA263" s="279"/>
      <c r="AB263" s="279"/>
      <c r="AC263" s="279"/>
      <c r="AD263" s="279"/>
      <c r="AE263" s="279"/>
      <c r="AF263" s="279"/>
      <c r="AG263" s="279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  <c r="DF263" s="66"/>
      <c r="DG263" s="66"/>
      <c r="DH263" s="66"/>
      <c r="DI263" s="66"/>
      <c r="DJ263" s="66"/>
      <c r="DK263" s="66"/>
      <c r="DL263" s="66"/>
      <c r="DM263" s="66"/>
      <c r="DN263" s="66"/>
      <c r="DO263" s="66"/>
      <c r="DP263" s="66"/>
      <c r="DQ263" s="66"/>
      <c r="DR263" s="66"/>
      <c r="DS263" s="66"/>
      <c r="DT263" s="66"/>
      <c r="DU263" s="66"/>
      <c r="DV263" s="66"/>
      <c r="DW263" s="66"/>
      <c r="DX263" s="66"/>
      <c r="DY263" s="66"/>
      <c r="DZ263" s="66"/>
      <c r="EA263" s="66"/>
      <c r="EB263" s="66"/>
      <c r="EC263" s="66"/>
      <c r="ED263" s="66"/>
      <c r="EE263" s="66"/>
      <c r="EF263" s="66"/>
      <c r="EG263" s="66"/>
      <c r="EH263" s="66"/>
      <c r="EI263" s="66"/>
      <c r="EJ263" s="66"/>
      <c r="EK263" s="66"/>
      <c r="EL263" s="66"/>
      <c r="EM263" s="66"/>
      <c r="EN263" s="66"/>
      <c r="EO263" s="66"/>
      <c r="EP263" s="66"/>
      <c r="EQ263" s="66"/>
      <c r="ER263" s="66"/>
      <c r="ES263" s="66"/>
      <c r="ET263" s="66"/>
      <c r="EU263" s="66"/>
      <c r="EV263" s="66"/>
      <c r="EW263" s="66"/>
      <c r="EX263" s="66"/>
      <c r="EY263" s="66"/>
      <c r="EZ263" s="66"/>
      <c r="FA263" s="66"/>
      <c r="FB263" s="66"/>
      <c r="FC263" s="66"/>
      <c r="FD263" s="66"/>
      <c r="FE263" s="66"/>
      <c r="FF263" s="66"/>
      <c r="FG263" s="66"/>
      <c r="FH263" s="66"/>
      <c r="FI263" s="66"/>
      <c r="FJ263" s="66"/>
      <c r="FK263" s="66"/>
      <c r="FL263" s="66"/>
      <c r="FM263" s="66"/>
      <c r="FN263" s="66"/>
      <c r="FO263" s="66"/>
      <c r="FP263" s="66"/>
      <c r="FQ263" s="66"/>
      <c r="FR263" s="66"/>
      <c r="FS263" s="66"/>
      <c r="FT263" s="66"/>
      <c r="FU263" s="66"/>
      <c r="FV263" s="66"/>
      <c r="FW263" s="66"/>
      <c r="FX263" s="66"/>
      <c r="FY263" s="66"/>
      <c r="FZ263" s="66"/>
      <c r="GA263" s="66"/>
      <c r="GB263" s="66"/>
      <c r="GC263" s="66"/>
      <c r="GD263" s="66"/>
      <c r="GE263" s="66"/>
      <c r="GF263" s="66"/>
      <c r="GG263" s="66"/>
      <c r="GH263" s="66"/>
      <c r="GI263" s="66"/>
      <c r="GJ263" s="66"/>
      <c r="GK263" s="66"/>
      <c r="GL263" s="66"/>
      <c r="GM263" s="66"/>
      <c r="GN263" s="66"/>
      <c r="GO263" s="66"/>
      <c r="GP263" s="66"/>
      <c r="GQ263" s="66"/>
      <c r="GR263" s="66"/>
      <c r="GS263" s="66"/>
      <c r="GT263" s="66"/>
      <c r="GU263" s="66"/>
      <c r="GV263" s="66"/>
      <c r="GW263" s="66"/>
      <c r="GX263" s="66"/>
    </row>
    <row r="264" spans="1:206">
      <c r="A264" s="277"/>
      <c r="B264" s="140" t="s">
        <v>713</v>
      </c>
      <c r="C264" s="279"/>
      <c r="D264" s="279"/>
      <c r="E264" s="279"/>
      <c r="F264" s="279"/>
      <c r="G264" s="279"/>
      <c r="H264" s="279"/>
      <c r="I264" s="279"/>
      <c r="J264" s="279"/>
      <c r="K264" s="279"/>
      <c r="L264" s="279"/>
      <c r="M264" s="279"/>
      <c r="N264" s="279"/>
      <c r="O264" s="279"/>
      <c r="P264" s="279"/>
      <c r="Q264" s="279"/>
      <c r="R264" s="279"/>
      <c r="S264" s="279"/>
      <c r="T264" s="279"/>
      <c r="U264" s="279"/>
      <c r="V264" s="279"/>
      <c r="W264" s="279"/>
      <c r="X264" s="279"/>
      <c r="Y264" s="279"/>
      <c r="Z264" s="279"/>
      <c r="AA264" s="279"/>
      <c r="AB264" s="279"/>
      <c r="AC264" s="279"/>
      <c r="AD264" s="279"/>
      <c r="AE264" s="279"/>
      <c r="AF264" s="279"/>
      <c r="AG264" s="279"/>
    </row>
    <row r="265" spans="1:206">
      <c r="A265" s="277"/>
      <c r="B265" s="140" t="s">
        <v>679</v>
      </c>
      <c r="C265" s="279"/>
      <c r="D265" s="279"/>
      <c r="E265" s="279"/>
      <c r="F265" s="279"/>
      <c r="G265" s="279"/>
      <c r="H265" s="279"/>
      <c r="I265" s="279"/>
      <c r="J265" s="279"/>
      <c r="K265" s="279"/>
      <c r="L265" s="279"/>
      <c r="M265" s="279"/>
      <c r="N265" s="279"/>
      <c r="O265" s="279"/>
      <c r="P265" s="279"/>
      <c r="Q265" s="279"/>
      <c r="R265" s="279"/>
      <c r="S265" s="279"/>
      <c r="T265" s="279"/>
      <c r="U265" s="279"/>
      <c r="V265" s="279"/>
      <c r="W265" s="279"/>
      <c r="X265" s="279"/>
      <c r="Y265" s="279"/>
      <c r="Z265" s="279"/>
      <c r="AA265" s="279"/>
      <c r="AB265" s="279"/>
      <c r="AC265" s="279"/>
      <c r="AD265" s="279"/>
      <c r="AE265" s="279"/>
      <c r="AF265" s="279"/>
      <c r="AG265" s="279"/>
    </row>
    <row r="266" spans="1:206">
      <c r="A266" s="277"/>
      <c r="B266" s="140" t="s">
        <v>667</v>
      </c>
      <c r="C266" s="279"/>
      <c r="D266" s="279"/>
      <c r="E266" s="279"/>
      <c r="F266" s="279"/>
      <c r="G266" s="279"/>
      <c r="H266" s="279"/>
      <c r="I266" s="279"/>
      <c r="J266" s="279"/>
      <c r="K266" s="279"/>
      <c r="L266" s="279"/>
      <c r="M266" s="279"/>
      <c r="N266" s="279"/>
      <c r="O266" s="279"/>
      <c r="P266" s="279"/>
      <c r="Q266" s="279"/>
      <c r="R266" s="279"/>
      <c r="S266" s="279"/>
      <c r="T266" s="279"/>
      <c r="U266" s="279"/>
      <c r="V266" s="279"/>
      <c r="W266" s="279"/>
      <c r="X266" s="279"/>
      <c r="Y266" s="279"/>
      <c r="Z266" s="279"/>
      <c r="AA266" s="279"/>
      <c r="AB266" s="279"/>
      <c r="AC266" s="279"/>
      <c r="AD266" s="279"/>
      <c r="AE266" s="279"/>
      <c r="AF266" s="279"/>
      <c r="AG266" s="279"/>
    </row>
    <row r="267" spans="1:206">
      <c r="A267" s="277"/>
      <c r="B267" s="140" t="s">
        <v>667</v>
      </c>
      <c r="C267" s="279"/>
      <c r="D267" s="279"/>
      <c r="E267" s="279"/>
      <c r="F267" s="279"/>
      <c r="G267" s="279"/>
      <c r="H267" s="279"/>
      <c r="I267" s="279"/>
      <c r="J267" s="279"/>
      <c r="K267" s="279"/>
      <c r="L267" s="279"/>
      <c r="M267" s="279"/>
      <c r="N267" s="279"/>
      <c r="O267" s="279"/>
      <c r="P267" s="279"/>
      <c r="Q267" s="279"/>
      <c r="R267" s="279"/>
      <c r="S267" s="279"/>
      <c r="T267" s="279"/>
      <c r="U267" s="279"/>
      <c r="V267" s="279"/>
      <c r="W267" s="279"/>
      <c r="X267" s="279"/>
      <c r="Y267" s="279"/>
      <c r="Z267" s="279"/>
      <c r="AA267" s="279"/>
      <c r="AB267" s="279"/>
      <c r="AC267" s="279"/>
      <c r="AD267" s="279"/>
      <c r="AE267" s="279"/>
      <c r="AF267" s="279"/>
      <c r="AG267" s="279"/>
    </row>
    <row r="268" spans="1:206">
      <c r="A268" s="277"/>
      <c r="B268" s="282" t="s">
        <v>712</v>
      </c>
      <c r="C268" s="284">
        <f>Wind!U251</f>
        <v>0</v>
      </c>
      <c r="D268" s="284">
        <f>Wind!V251</f>
        <v>29.155433629999997</v>
      </c>
      <c r="E268" s="284">
        <f>Wind!W251</f>
        <v>-51.529387659999998</v>
      </c>
      <c r="F268" s="284">
        <f>Wind!X251</f>
        <v>-5.7621598600000006</v>
      </c>
      <c r="G268" s="284">
        <f>Wind!Y251</f>
        <v>106.76323897</v>
      </c>
      <c r="H268" s="284">
        <f>Wind!Z251</f>
        <v>-55.926652149999995</v>
      </c>
      <c r="I268" s="284">
        <f>Wind!AA251</f>
        <v>-88.376155760000003</v>
      </c>
      <c r="J268" s="284">
        <f>Wind!AB251</f>
        <v>-91.608529110000006</v>
      </c>
      <c r="K268" s="284"/>
      <c r="L268" s="284">
        <f>Wind!CB251</f>
        <v>-121.78272894</v>
      </c>
      <c r="M268" s="284">
        <f>Wind!CC251</f>
        <v>0</v>
      </c>
      <c r="N268" s="284">
        <f>Wind!CD251</f>
        <v>0</v>
      </c>
      <c r="O268" s="284">
        <f>Wind!CE251</f>
        <v>-5.7621598600000006</v>
      </c>
      <c r="P268" s="284">
        <f>Wind!CF251</f>
        <v>41.988386439999999</v>
      </c>
      <c r="Q268" s="284">
        <f>Wind!CG251</f>
        <v>65.826872249999994</v>
      </c>
      <c r="R268" s="284">
        <f>Wind!CH251</f>
        <v>0</v>
      </c>
      <c r="S268" s="284">
        <f>Wind!CI251</f>
        <v>106.76323897</v>
      </c>
      <c r="T268" s="284">
        <f>Wind!CJ251</f>
        <v>0</v>
      </c>
      <c r="U268" s="284">
        <f>Wind!CK251</f>
        <v>-123.39774987</v>
      </c>
      <c r="V268" s="284">
        <f>Wind!CL251</f>
        <v>0</v>
      </c>
      <c r="W268" s="284">
        <f>Wind!CM251</f>
        <v>-55.926652149999995</v>
      </c>
      <c r="X268" s="284">
        <f>Wind!CN251</f>
        <v>0</v>
      </c>
      <c r="Y268" s="284">
        <f>Wind!CO251</f>
        <v>-248.41287663</v>
      </c>
      <c r="Z268" s="284">
        <f>Wind!CP251</f>
        <v>0</v>
      </c>
      <c r="AA268" s="284">
        <f>Wind!CQ251</f>
        <v>-88.376155760000003</v>
      </c>
      <c r="AB268" s="284">
        <f>Wind!CR251</f>
        <v>0</v>
      </c>
      <c r="AC268" s="284">
        <f>Wind!CS251</f>
        <v>48.850090729999998</v>
      </c>
      <c r="AD268" s="284">
        <f>Wind!CT251</f>
        <v>0</v>
      </c>
      <c r="AE268" s="284">
        <f>Wind!CU251</f>
        <v>-91.608529110000006</v>
      </c>
      <c r="AF268" s="284">
        <f>Wind!CV251</f>
        <v>0</v>
      </c>
      <c r="AG268" s="284">
        <f>Wind!CW251</f>
        <v>-133.44005673999999</v>
      </c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  <c r="BD268" s="85"/>
      <c r="BE268" s="85"/>
      <c r="BF268" s="85"/>
      <c r="BG268" s="85"/>
      <c r="BH268" s="85"/>
      <c r="BI268" s="85"/>
      <c r="BJ268" s="85"/>
      <c r="BK268" s="85"/>
      <c r="BL268" s="85"/>
      <c r="BM268" s="85"/>
      <c r="BN268" s="85"/>
      <c r="BO268" s="85"/>
      <c r="BP268" s="85"/>
      <c r="BQ268" s="85"/>
      <c r="BR268" s="85"/>
      <c r="BS268" s="85"/>
      <c r="BT268" s="85"/>
      <c r="BU268" s="85"/>
      <c r="BV268" s="85"/>
      <c r="BW268" s="85"/>
      <c r="BX268" s="85"/>
      <c r="BY268" s="85"/>
      <c r="BZ268" s="85"/>
      <c r="CA268" s="85"/>
      <c r="CB268" s="85"/>
      <c r="CC268" s="85"/>
      <c r="CD268" s="85"/>
      <c r="CE268" s="85"/>
      <c r="CF268" s="85"/>
      <c r="CG268" s="85"/>
      <c r="CH268" s="85"/>
      <c r="CI268" s="85"/>
      <c r="CJ268" s="85"/>
      <c r="CK268" s="85"/>
      <c r="CL268" s="85"/>
      <c r="CM268" s="85"/>
      <c r="CN268" s="85"/>
      <c r="CO268" s="85"/>
      <c r="CP268" s="85"/>
      <c r="CQ268" s="85"/>
      <c r="CR268" s="85"/>
      <c r="CS268" s="85"/>
      <c r="CT268" s="85"/>
      <c r="CU268" s="85"/>
      <c r="CV268" s="85"/>
      <c r="CW268" s="85"/>
      <c r="CX268" s="85"/>
      <c r="CY268" s="85"/>
      <c r="CZ268" s="85"/>
      <c r="DA268" s="85"/>
      <c r="DB268" s="85"/>
      <c r="DC268" s="85"/>
      <c r="DD268" s="85"/>
      <c r="DE268" s="85"/>
      <c r="DF268" s="85"/>
      <c r="DG268" s="85"/>
      <c r="DH268" s="85"/>
      <c r="DI268" s="85"/>
      <c r="DJ268" s="85"/>
      <c r="DK268" s="85"/>
      <c r="DL268" s="85"/>
      <c r="DM268" s="85"/>
      <c r="DN268" s="85"/>
      <c r="DO268" s="85"/>
      <c r="DP268" s="85"/>
      <c r="DQ268" s="85"/>
      <c r="DR268" s="85"/>
      <c r="DS268" s="85"/>
      <c r="DT268" s="85"/>
      <c r="DU268" s="85"/>
      <c r="DV268" s="85"/>
      <c r="DW268" s="85"/>
      <c r="DX268" s="85"/>
      <c r="DY268" s="85"/>
      <c r="DZ268" s="85"/>
      <c r="EA268" s="85"/>
      <c r="EB268" s="85"/>
      <c r="EC268" s="85"/>
      <c r="ED268" s="85"/>
      <c r="EE268" s="85"/>
      <c r="EF268" s="85"/>
      <c r="EG268" s="85"/>
      <c r="EH268" s="85"/>
      <c r="EI268" s="85"/>
      <c r="EJ268" s="85"/>
      <c r="EK268" s="85"/>
      <c r="EL268" s="85"/>
      <c r="EM268" s="85"/>
      <c r="EN268" s="85"/>
      <c r="EO268" s="85"/>
      <c r="EP268" s="85"/>
      <c r="EQ268" s="85"/>
      <c r="ER268" s="85"/>
      <c r="ES268" s="85"/>
      <c r="ET268" s="85"/>
      <c r="EU268" s="85"/>
      <c r="EV268" s="85"/>
      <c r="EW268" s="85"/>
      <c r="EX268" s="85"/>
      <c r="EY268" s="85"/>
      <c r="EZ268" s="85"/>
      <c r="FA268" s="85"/>
      <c r="FB268" s="85"/>
      <c r="FC268" s="85"/>
      <c r="FD268" s="85"/>
      <c r="FE268" s="85"/>
      <c r="FF268" s="85"/>
      <c r="FG268" s="85"/>
      <c r="FH268" s="85"/>
      <c r="FI268" s="85"/>
      <c r="FJ268" s="85"/>
      <c r="FK268" s="85"/>
      <c r="FL268" s="85"/>
      <c r="FM268" s="85"/>
      <c r="FN268" s="85"/>
      <c r="FO268" s="85"/>
      <c r="FP268" s="85"/>
      <c r="FQ268" s="85"/>
      <c r="FR268" s="85"/>
      <c r="FS268" s="85"/>
      <c r="FT268" s="85"/>
      <c r="FU268" s="85"/>
      <c r="FV268" s="85"/>
      <c r="FW268" s="85"/>
      <c r="FX268" s="85"/>
      <c r="FY268" s="85"/>
      <c r="FZ268" s="85"/>
      <c r="GA268" s="85"/>
      <c r="GB268" s="85"/>
      <c r="GC268" s="85"/>
      <c r="GD268" s="85"/>
      <c r="GE268" s="85"/>
      <c r="GF268" s="85"/>
      <c r="GG268" s="85"/>
      <c r="GH268" s="85"/>
      <c r="GI268" s="85"/>
      <c r="GJ268" s="85"/>
      <c r="GK268" s="85"/>
      <c r="GL268" s="85"/>
      <c r="GM268" s="85"/>
      <c r="GN268" s="85"/>
      <c r="GO268" s="85"/>
      <c r="GP268" s="85"/>
      <c r="GQ268" s="85"/>
      <c r="GR268" s="85"/>
      <c r="GS268" s="85"/>
      <c r="GT268" s="85"/>
      <c r="GU268" s="85"/>
      <c r="GV268" s="85"/>
      <c r="GW268" s="85"/>
      <c r="GX268" s="85"/>
    </row>
    <row r="269" spans="1:206">
      <c r="A269" s="277"/>
      <c r="C269" s="279"/>
      <c r="D269" s="279"/>
      <c r="E269" s="279"/>
      <c r="F269" s="279"/>
      <c r="G269" s="279"/>
      <c r="H269" s="279"/>
      <c r="I269" s="279"/>
      <c r="J269" s="279"/>
      <c r="K269" s="279"/>
      <c r="L269" s="279"/>
      <c r="M269" s="279"/>
      <c r="N269" s="279"/>
      <c r="O269" s="279"/>
      <c r="P269" s="279"/>
      <c r="Q269" s="279"/>
      <c r="R269" s="279"/>
      <c r="S269" s="279"/>
      <c r="T269" s="279"/>
      <c r="U269" s="279"/>
      <c r="V269" s="279"/>
      <c r="W269" s="279"/>
      <c r="X269" s="279"/>
      <c r="Y269" s="279"/>
      <c r="Z269" s="279"/>
      <c r="AA269" s="279"/>
      <c r="AB269" s="279"/>
      <c r="AC269" s="279"/>
      <c r="AD269" s="279"/>
      <c r="AE269" s="279"/>
      <c r="AF269" s="279"/>
      <c r="AG269" s="279"/>
    </row>
    <row r="270" spans="1:206">
      <c r="A270" s="277"/>
      <c r="B270" s="140" t="s">
        <v>711</v>
      </c>
      <c r="C270" s="279"/>
      <c r="D270" s="279"/>
      <c r="E270" s="279"/>
      <c r="F270" s="279"/>
      <c r="G270" s="279"/>
      <c r="H270" s="279"/>
      <c r="I270" s="279"/>
      <c r="J270" s="279"/>
      <c r="K270" s="279"/>
      <c r="L270" s="279"/>
      <c r="M270" s="279"/>
      <c r="N270" s="279"/>
      <c r="O270" s="279"/>
      <c r="P270" s="279"/>
      <c r="Q270" s="279"/>
      <c r="R270" s="279"/>
      <c r="S270" s="279"/>
      <c r="T270" s="279"/>
      <c r="U270" s="279"/>
      <c r="V270" s="279"/>
      <c r="W270" s="279"/>
      <c r="X270" s="279"/>
      <c r="Y270" s="279"/>
      <c r="Z270" s="279"/>
      <c r="AA270" s="279"/>
      <c r="AB270" s="279"/>
      <c r="AC270" s="279"/>
      <c r="AD270" s="279"/>
      <c r="AE270" s="279"/>
      <c r="AF270" s="279"/>
      <c r="AG270" s="279"/>
    </row>
    <row r="271" spans="1:206" s="85" customFormat="1">
      <c r="A271" s="276"/>
      <c r="B271" s="140" t="s">
        <v>710</v>
      </c>
      <c r="C271" s="279"/>
      <c r="D271" s="279"/>
      <c r="E271" s="279"/>
      <c r="F271" s="279"/>
      <c r="G271" s="279"/>
      <c r="H271" s="279"/>
      <c r="I271" s="279"/>
      <c r="J271" s="279"/>
      <c r="K271" s="279"/>
      <c r="L271" s="279"/>
      <c r="M271" s="279"/>
      <c r="N271" s="279"/>
      <c r="O271" s="279"/>
      <c r="P271" s="279"/>
      <c r="Q271" s="279"/>
      <c r="R271" s="279"/>
      <c r="S271" s="279"/>
      <c r="T271" s="279"/>
      <c r="U271" s="279"/>
      <c r="V271" s="279"/>
      <c r="W271" s="279"/>
      <c r="X271" s="279"/>
      <c r="Y271" s="279"/>
      <c r="Z271" s="279"/>
      <c r="AA271" s="279"/>
      <c r="AB271" s="279"/>
      <c r="AC271" s="279"/>
      <c r="AD271" s="279"/>
      <c r="AE271" s="279"/>
      <c r="AF271" s="279"/>
      <c r="AG271" s="279"/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  <c r="AR271" s="66"/>
      <c r="AS271" s="66"/>
      <c r="AT271" s="66"/>
      <c r="AU271" s="66"/>
      <c r="AV271" s="66"/>
      <c r="AW271" s="66"/>
      <c r="AX271" s="66"/>
      <c r="AY271" s="66"/>
      <c r="AZ271" s="66"/>
      <c r="BA271" s="66"/>
      <c r="BB271" s="66"/>
      <c r="BC271" s="66"/>
      <c r="BD271" s="66"/>
      <c r="BE271" s="66"/>
      <c r="BF271" s="66"/>
      <c r="BG271" s="66"/>
      <c r="BH271" s="66"/>
      <c r="BI271" s="66"/>
      <c r="BJ271" s="66"/>
      <c r="BK271" s="66"/>
      <c r="BL271" s="66"/>
      <c r="BM271" s="66"/>
      <c r="BN271" s="66"/>
      <c r="BO271" s="66"/>
      <c r="BP271" s="66"/>
      <c r="BQ271" s="66"/>
      <c r="BR271" s="66"/>
      <c r="BS271" s="66"/>
      <c r="BT271" s="66"/>
      <c r="BU271" s="66"/>
      <c r="BV271" s="66"/>
      <c r="BW271" s="66"/>
      <c r="BX271" s="66"/>
      <c r="BY271" s="66"/>
      <c r="BZ271" s="66"/>
      <c r="CA271" s="66"/>
      <c r="CB271" s="66"/>
      <c r="CC271" s="66"/>
      <c r="CD271" s="66"/>
      <c r="CE271" s="66"/>
      <c r="CF271" s="66"/>
      <c r="CG271" s="66"/>
      <c r="CH271" s="66"/>
      <c r="CI271" s="66"/>
      <c r="CJ271" s="66"/>
      <c r="CK271" s="66"/>
      <c r="CL271" s="66"/>
      <c r="CM271" s="66"/>
      <c r="CN271" s="66"/>
      <c r="CO271" s="66"/>
      <c r="CP271" s="66"/>
      <c r="CQ271" s="66"/>
      <c r="CR271" s="66"/>
      <c r="CS271" s="66"/>
      <c r="CT271" s="66"/>
      <c r="CU271" s="66"/>
      <c r="CV271" s="66"/>
      <c r="CW271" s="66"/>
      <c r="CX271" s="66"/>
      <c r="CY271" s="66"/>
      <c r="CZ271" s="66"/>
      <c r="DA271" s="66"/>
      <c r="DB271" s="66"/>
      <c r="DC271" s="66"/>
      <c r="DD271" s="66"/>
      <c r="DE271" s="66"/>
      <c r="DF271" s="66"/>
      <c r="DG271" s="66"/>
      <c r="DH271" s="66"/>
      <c r="DI271" s="66"/>
      <c r="DJ271" s="66"/>
      <c r="DK271" s="66"/>
      <c r="DL271" s="66"/>
      <c r="DM271" s="66"/>
      <c r="DN271" s="66"/>
      <c r="DO271" s="66"/>
      <c r="DP271" s="66"/>
      <c r="DQ271" s="66"/>
      <c r="DR271" s="66"/>
      <c r="DS271" s="66"/>
      <c r="DT271" s="66"/>
      <c r="DU271" s="66"/>
      <c r="DV271" s="66"/>
      <c r="DW271" s="66"/>
      <c r="DX271" s="66"/>
      <c r="DY271" s="66"/>
      <c r="DZ271" s="66"/>
      <c r="EA271" s="66"/>
      <c r="EB271" s="66"/>
      <c r="EC271" s="66"/>
      <c r="ED271" s="66"/>
      <c r="EE271" s="66"/>
      <c r="EF271" s="66"/>
      <c r="EG271" s="66"/>
      <c r="EH271" s="66"/>
      <c r="EI271" s="66"/>
      <c r="EJ271" s="66"/>
      <c r="EK271" s="66"/>
      <c r="EL271" s="66"/>
      <c r="EM271" s="66"/>
      <c r="EN271" s="66"/>
      <c r="EO271" s="66"/>
      <c r="EP271" s="66"/>
      <c r="EQ271" s="66"/>
      <c r="ER271" s="66"/>
      <c r="ES271" s="66"/>
      <c r="ET271" s="66"/>
      <c r="EU271" s="66"/>
      <c r="EV271" s="66"/>
      <c r="EW271" s="66"/>
      <c r="EX271" s="66"/>
      <c r="EY271" s="66"/>
      <c r="EZ271" s="66"/>
      <c r="FA271" s="66"/>
      <c r="FB271" s="66"/>
      <c r="FC271" s="66"/>
      <c r="FD271" s="66"/>
      <c r="FE271" s="66"/>
      <c r="FF271" s="66"/>
      <c r="FG271" s="66"/>
      <c r="FH271" s="66"/>
      <c r="FI271" s="66"/>
      <c r="FJ271" s="66"/>
      <c r="FK271" s="66"/>
      <c r="FL271" s="66"/>
      <c r="FM271" s="66"/>
      <c r="FN271" s="66"/>
      <c r="FO271" s="66"/>
      <c r="FP271" s="66"/>
      <c r="FQ271" s="66"/>
      <c r="FR271" s="66"/>
      <c r="FS271" s="66"/>
      <c r="FT271" s="66"/>
      <c r="FU271" s="66"/>
      <c r="FV271" s="66"/>
      <c r="FW271" s="66"/>
      <c r="FX271" s="66"/>
      <c r="FY271" s="66"/>
      <c r="FZ271" s="66"/>
      <c r="GA271" s="66"/>
      <c r="GB271" s="66"/>
      <c r="GC271" s="66"/>
      <c r="GD271" s="66"/>
      <c r="GE271" s="66"/>
      <c r="GF271" s="66"/>
      <c r="GG271" s="66"/>
      <c r="GH271" s="66"/>
      <c r="GI271" s="66"/>
      <c r="GJ271" s="66"/>
      <c r="GK271" s="66"/>
      <c r="GL271" s="66"/>
      <c r="GM271" s="66"/>
      <c r="GN271" s="66"/>
      <c r="GO271" s="66"/>
      <c r="GP271" s="66"/>
      <c r="GQ271" s="66"/>
      <c r="GR271" s="66"/>
      <c r="GS271" s="66"/>
      <c r="GT271" s="66"/>
      <c r="GU271" s="66"/>
      <c r="GV271" s="66"/>
      <c r="GW271" s="66"/>
      <c r="GX271" s="66"/>
    </row>
    <row r="272" spans="1:206">
      <c r="A272" s="277"/>
      <c r="B272" s="140" t="s">
        <v>667</v>
      </c>
      <c r="C272" s="279"/>
      <c r="D272" s="279"/>
      <c r="E272" s="279"/>
      <c r="F272" s="279"/>
      <c r="G272" s="279"/>
      <c r="H272" s="279"/>
      <c r="I272" s="279"/>
      <c r="J272" s="279"/>
      <c r="K272" s="279"/>
      <c r="L272" s="279"/>
      <c r="M272" s="279"/>
      <c r="N272" s="279"/>
      <c r="O272" s="279"/>
      <c r="P272" s="279"/>
      <c r="Q272" s="279"/>
      <c r="R272" s="279"/>
      <c r="S272" s="279"/>
      <c r="T272" s="279"/>
      <c r="U272" s="279"/>
      <c r="V272" s="279"/>
      <c r="W272" s="279"/>
      <c r="X272" s="279"/>
      <c r="Y272" s="279"/>
      <c r="Z272" s="279"/>
      <c r="AA272" s="279"/>
      <c r="AB272" s="279"/>
      <c r="AC272" s="279"/>
      <c r="AD272" s="279"/>
      <c r="AE272" s="279"/>
      <c r="AF272" s="279"/>
      <c r="AG272" s="279"/>
    </row>
    <row r="273" spans="1:206">
      <c r="A273" s="277"/>
      <c r="B273" s="140" t="s">
        <v>667</v>
      </c>
      <c r="C273" s="279"/>
      <c r="D273" s="279"/>
      <c r="E273" s="279"/>
      <c r="F273" s="279"/>
      <c r="G273" s="279"/>
      <c r="H273" s="279"/>
      <c r="I273" s="279"/>
      <c r="J273" s="279"/>
      <c r="K273" s="279"/>
      <c r="L273" s="279"/>
      <c r="M273" s="279"/>
      <c r="N273" s="279"/>
      <c r="O273" s="279"/>
      <c r="P273" s="279"/>
      <c r="Q273" s="279"/>
      <c r="R273" s="279"/>
      <c r="S273" s="279"/>
      <c r="T273" s="279"/>
      <c r="U273" s="279"/>
      <c r="V273" s="279"/>
      <c r="W273" s="279"/>
      <c r="X273" s="279"/>
      <c r="Y273" s="279"/>
      <c r="Z273" s="279"/>
      <c r="AA273" s="279"/>
      <c r="AB273" s="279"/>
      <c r="AC273" s="279"/>
      <c r="AD273" s="279"/>
      <c r="AE273" s="279"/>
      <c r="AF273" s="279"/>
      <c r="AG273" s="279"/>
    </row>
    <row r="274" spans="1:206">
      <c r="A274" s="277"/>
      <c r="B274" s="282" t="s">
        <v>709</v>
      </c>
      <c r="C274" s="284">
        <f>Wind!U252</f>
        <v>0</v>
      </c>
      <c r="D274" s="284">
        <f>Wind!V252</f>
        <v>-170.45343563999998</v>
      </c>
      <c r="E274" s="284">
        <f>Wind!W252</f>
        <v>649.09832004999998</v>
      </c>
      <c r="F274" s="284">
        <f>Wind!X252</f>
        <v>501.05740410000004</v>
      </c>
      <c r="G274" s="284">
        <f>Wind!Y252</f>
        <v>807.4639833</v>
      </c>
      <c r="H274" s="284">
        <f>Wind!Z252</f>
        <v>631.18373505</v>
      </c>
      <c r="I274" s="284">
        <f>Wind!AA252</f>
        <v>1378.98843663</v>
      </c>
      <c r="J274" s="284">
        <f>Wind!AB252</f>
        <v>3046.2926672199997</v>
      </c>
      <c r="K274" s="284"/>
      <c r="L274" s="284">
        <f>Wind!CB252</f>
        <v>-103.97906847</v>
      </c>
      <c r="M274" s="284">
        <f>Wind!CC252</f>
        <v>0</v>
      </c>
      <c r="N274" s="284">
        <f>Wind!CD252</f>
        <v>0</v>
      </c>
      <c r="O274" s="284">
        <f>Wind!CE252</f>
        <v>501.05740410000004</v>
      </c>
      <c r="P274" s="284">
        <f>Wind!CF252</f>
        <v>37.47211858</v>
      </c>
      <c r="Q274" s="284">
        <f>Wind!CG252</f>
        <v>436.05659972000001</v>
      </c>
      <c r="R274" s="284">
        <f>Wind!CH252</f>
        <v>0</v>
      </c>
      <c r="S274" s="284">
        <f>Wind!CI252</f>
        <v>807.4639833</v>
      </c>
      <c r="T274" s="284">
        <f>Wind!CJ252</f>
        <v>0</v>
      </c>
      <c r="U274" s="284">
        <f>Wind!CK252</f>
        <v>149.81083082000001</v>
      </c>
      <c r="V274" s="284">
        <f>Wind!CL252</f>
        <v>0</v>
      </c>
      <c r="W274" s="284">
        <f>Wind!CM252</f>
        <v>631.18373505</v>
      </c>
      <c r="X274" s="284">
        <f>Wind!CN252</f>
        <v>0</v>
      </c>
      <c r="Y274" s="284">
        <f>Wind!CO252</f>
        <v>518.56039037999994</v>
      </c>
      <c r="Z274" s="284">
        <f>Wind!CP252</f>
        <v>0</v>
      </c>
      <c r="AA274" s="284">
        <f>Wind!CQ252</f>
        <v>1378.98843663</v>
      </c>
      <c r="AB274" s="284">
        <f>Wind!CR252</f>
        <v>0</v>
      </c>
      <c r="AC274" s="284">
        <f>Wind!CS252</f>
        <v>433.32576372000005</v>
      </c>
      <c r="AD274" s="284">
        <f>Wind!CT252</f>
        <v>0</v>
      </c>
      <c r="AE274" s="284">
        <f>Wind!CU252</f>
        <v>3046.2926672199997</v>
      </c>
      <c r="AF274" s="284">
        <f>Wind!CV252</f>
        <v>0</v>
      </c>
      <c r="AG274" s="284">
        <f>Wind!CW252</f>
        <v>-733.54030179999995</v>
      </c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  <c r="BD274" s="85"/>
      <c r="BE274" s="85"/>
      <c r="BF274" s="85"/>
      <c r="BG274" s="85"/>
      <c r="BH274" s="85"/>
      <c r="BI274" s="85"/>
      <c r="BJ274" s="85"/>
      <c r="BK274" s="85"/>
      <c r="BL274" s="85"/>
      <c r="BM274" s="85"/>
      <c r="BN274" s="85"/>
      <c r="BO274" s="85"/>
      <c r="BP274" s="85"/>
      <c r="BQ274" s="85"/>
      <c r="BR274" s="85"/>
      <c r="BS274" s="85"/>
      <c r="BT274" s="85"/>
      <c r="BU274" s="85"/>
      <c r="BV274" s="85"/>
      <c r="BW274" s="85"/>
      <c r="BX274" s="85"/>
      <c r="BY274" s="85"/>
      <c r="BZ274" s="85"/>
      <c r="CA274" s="85"/>
      <c r="CB274" s="85"/>
      <c r="CC274" s="85"/>
      <c r="CD274" s="85"/>
      <c r="CE274" s="85"/>
      <c r="CF274" s="85"/>
      <c r="CG274" s="85"/>
      <c r="CH274" s="85"/>
      <c r="CI274" s="85"/>
      <c r="CJ274" s="85"/>
      <c r="CK274" s="85"/>
      <c r="CL274" s="85"/>
      <c r="CM274" s="85"/>
      <c r="CN274" s="85"/>
      <c r="CO274" s="85"/>
      <c r="CP274" s="85"/>
      <c r="CQ274" s="85"/>
      <c r="CR274" s="85"/>
      <c r="CS274" s="85"/>
      <c r="CT274" s="85"/>
      <c r="CU274" s="85"/>
      <c r="CV274" s="85"/>
      <c r="CW274" s="85"/>
      <c r="CX274" s="85"/>
      <c r="CY274" s="85"/>
      <c r="CZ274" s="85"/>
      <c r="DA274" s="85"/>
      <c r="DB274" s="85"/>
      <c r="DC274" s="85"/>
      <c r="DD274" s="85"/>
      <c r="DE274" s="85"/>
      <c r="DF274" s="85"/>
      <c r="DG274" s="85"/>
      <c r="DH274" s="85"/>
      <c r="DI274" s="85"/>
      <c r="DJ274" s="85"/>
      <c r="DK274" s="85"/>
      <c r="DL274" s="85"/>
      <c r="DM274" s="85"/>
      <c r="DN274" s="85"/>
      <c r="DO274" s="85"/>
      <c r="DP274" s="85"/>
      <c r="DQ274" s="85"/>
      <c r="DR274" s="85"/>
      <c r="DS274" s="85"/>
      <c r="DT274" s="85"/>
      <c r="DU274" s="85"/>
      <c r="DV274" s="85"/>
      <c r="DW274" s="85"/>
      <c r="DX274" s="85"/>
      <c r="DY274" s="85"/>
      <c r="DZ274" s="85"/>
      <c r="EA274" s="85"/>
      <c r="EB274" s="85"/>
      <c r="EC274" s="85"/>
      <c r="ED274" s="85"/>
      <c r="EE274" s="85"/>
      <c r="EF274" s="85"/>
      <c r="EG274" s="85"/>
      <c r="EH274" s="85"/>
      <c r="EI274" s="85"/>
      <c r="EJ274" s="85"/>
      <c r="EK274" s="85"/>
      <c r="EL274" s="85"/>
      <c r="EM274" s="85"/>
      <c r="EN274" s="85"/>
      <c r="EO274" s="85"/>
      <c r="EP274" s="85"/>
      <c r="EQ274" s="85"/>
      <c r="ER274" s="85"/>
      <c r="ES274" s="85"/>
      <c r="ET274" s="85"/>
      <c r="EU274" s="85"/>
      <c r="EV274" s="85"/>
      <c r="EW274" s="85"/>
      <c r="EX274" s="85"/>
      <c r="EY274" s="85"/>
      <c r="EZ274" s="85"/>
      <c r="FA274" s="85"/>
      <c r="FB274" s="85"/>
      <c r="FC274" s="85"/>
      <c r="FD274" s="85"/>
      <c r="FE274" s="85"/>
      <c r="FF274" s="85"/>
      <c r="FG274" s="85"/>
      <c r="FH274" s="85"/>
      <c r="FI274" s="85"/>
      <c r="FJ274" s="85"/>
      <c r="FK274" s="85"/>
      <c r="FL274" s="85"/>
      <c r="FM274" s="85"/>
      <c r="FN274" s="85"/>
      <c r="FO274" s="85"/>
      <c r="FP274" s="85"/>
      <c r="FQ274" s="85"/>
      <c r="FR274" s="85"/>
      <c r="FS274" s="85"/>
      <c r="FT274" s="85"/>
      <c r="FU274" s="85"/>
      <c r="FV274" s="85"/>
      <c r="FW274" s="85"/>
      <c r="FX274" s="85"/>
      <c r="FY274" s="85"/>
      <c r="FZ274" s="85"/>
      <c r="GA274" s="85"/>
      <c r="GB274" s="85"/>
      <c r="GC274" s="85"/>
      <c r="GD274" s="85"/>
      <c r="GE274" s="85"/>
      <c r="GF274" s="85"/>
      <c r="GG274" s="85"/>
      <c r="GH274" s="85"/>
      <c r="GI274" s="85"/>
      <c r="GJ274" s="85"/>
      <c r="GK274" s="85"/>
      <c r="GL274" s="85"/>
      <c r="GM274" s="85"/>
      <c r="GN274" s="85"/>
      <c r="GO274" s="85"/>
      <c r="GP274" s="85"/>
      <c r="GQ274" s="85"/>
      <c r="GR274" s="85"/>
      <c r="GS274" s="85"/>
      <c r="GT274" s="85"/>
      <c r="GU274" s="85"/>
      <c r="GV274" s="85"/>
      <c r="GW274" s="85"/>
      <c r="GX274" s="85"/>
    </row>
    <row r="275" spans="1:206">
      <c r="A275" s="277"/>
      <c r="C275" s="279"/>
      <c r="D275" s="279"/>
      <c r="E275" s="279"/>
      <c r="F275" s="279"/>
      <c r="G275" s="279"/>
      <c r="H275" s="279"/>
      <c r="I275" s="279"/>
      <c r="J275" s="279"/>
      <c r="K275" s="279"/>
      <c r="L275" s="279"/>
      <c r="M275" s="279"/>
      <c r="N275" s="279"/>
      <c r="O275" s="279"/>
      <c r="P275" s="279"/>
      <c r="Q275" s="279"/>
      <c r="R275" s="279"/>
      <c r="S275" s="279"/>
      <c r="T275" s="279"/>
      <c r="U275" s="279"/>
      <c r="V275" s="279"/>
      <c r="W275" s="279"/>
      <c r="X275" s="279"/>
      <c r="Y275" s="279"/>
      <c r="Z275" s="279"/>
      <c r="AA275" s="279"/>
      <c r="AB275" s="279"/>
      <c r="AC275" s="279"/>
      <c r="AD275" s="279"/>
      <c r="AE275" s="279"/>
      <c r="AF275" s="279"/>
      <c r="AG275" s="279"/>
    </row>
    <row r="276" spans="1:206">
      <c r="A276" s="277"/>
      <c r="B276" s="140" t="s">
        <v>708</v>
      </c>
      <c r="C276" s="279"/>
      <c r="D276" s="279"/>
      <c r="E276" s="279"/>
      <c r="F276" s="279"/>
      <c r="G276" s="279"/>
      <c r="H276" s="279"/>
      <c r="I276" s="279"/>
      <c r="J276" s="279"/>
      <c r="K276" s="279"/>
      <c r="L276" s="279"/>
      <c r="M276" s="279"/>
      <c r="N276" s="279"/>
      <c r="O276" s="279"/>
      <c r="P276" s="279"/>
      <c r="Q276" s="279"/>
      <c r="R276" s="279"/>
      <c r="S276" s="279"/>
      <c r="T276" s="279"/>
      <c r="U276" s="279"/>
      <c r="V276" s="279"/>
      <c r="W276" s="279"/>
      <c r="X276" s="279"/>
      <c r="Y276" s="279"/>
      <c r="Z276" s="279"/>
      <c r="AA276" s="279"/>
      <c r="AB276" s="279"/>
      <c r="AC276" s="279"/>
      <c r="AD276" s="279"/>
      <c r="AE276" s="279"/>
      <c r="AF276" s="279"/>
      <c r="AG276" s="279"/>
    </row>
    <row r="277" spans="1:206" s="85" customFormat="1">
      <c r="A277" s="276"/>
      <c r="B277" s="140" t="s">
        <v>707</v>
      </c>
      <c r="C277" s="279"/>
      <c r="D277" s="279"/>
      <c r="E277" s="279"/>
      <c r="F277" s="279"/>
      <c r="G277" s="279"/>
      <c r="H277" s="279"/>
      <c r="I277" s="279"/>
      <c r="J277" s="279"/>
      <c r="K277" s="279"/>
      <c r="L277" s="279"/>
      <c r="M277" s="279"/>
      <c r="N277" s="279"/>
      <c r="O277" s="279"/>
      <c r="P277" s="279"/>
      <c r="Q277" s="279"/>
      <c r="R277" s="279"/>
      <c r="S277" s="279"/>
      <c r="T277" s="279"/>
      <c r="U277" s="279"/>
      <c r="V277" s="279"/>
      <c r="W277" s="279"/>
      <c r="X277" s="279"/>
      <c r="Y277" s="279"/>
      <c r="Z277" s="279"/>
      <c r="AA277" s="279"/>
      <c r="AB277" s="279"/>
      <c r="AC277" s="279"/>
      <c r="AD277" s="279"/>
      <c r="AE277" s="279"/>
      <c r="AF277" s="279"/>
      <c r="AG277" s="279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6"/>
      <c r="AW277" s="66"/>
      <c r="AX277" s="66"/>
      <c r="AY277" s="66"/>
      <c r="AZ277" s="66"/>
      <c r="BA277" s="66"/>
      <c r="BB277" s="66"/>
      <c r="BC277" s="66"/>
      <c r="BD277" s="66"/>
      <c r="BE277" s="66"/>
      <c r="BF277" s="66"/>
      <c r="BG277" s="66"/>
      <c r="BH277" s="66"/>
      <c r="BI277" s="66"/>
      <c r="BJ277" s="66"/>
      <c r="BK277" s="66"/>
      <c r="BL277" s="66"/>
      <c r="BM277" s="66"/>
      <c r="BN277" s="66"/>
      <c r="BO277" s="66"/>
      <c r="BP277" s="66"/>
      <c r="BQ277" s="66"/>
      <c r="BR277" s="66"/>
      <c r="BS277" s="66"/>
      <c r="BT277" s="66"/>
      <c r="BU277" s="66"/>
      <c r="BV277" s="66"/>
      <c r="BW277" s="66"/>
      <c r="BX277" s="66"/>
      <c r="BY277" s="66"/>
      <c r="BZ277" s="66"/>
      <c r="CA277" s="66"/>
      <c r="CB277" s="66"/>
      <c r="CC277" s="66"/>
      <c r="CD277" s="66"/>
      <c r="CE277" s="66"/>
      <c r="CF277" s="66"/>
      <c r="CG277" s="66"/>
      <c r="CH277" s="66"/>
      <c r="CI277" s="66"/>
      <c r="CJ277" s="66"/>
      <c r="CK277" s="66"/>
      <c r="CL277" s="66"/>
      <c r="CM277" s="66"/>
      <c r="CN277" s="66"/>
      <c r="CO277" s="66"/>
      <c r="CP277" s="66"/>
      <c r="CQ277" s="66"/>
      <c r="CR277" s="66"/>
      <c r="CS277" s="66"/>
      <c r="CT277" s="66"/>
      <c r="CU277" s="66"/>
      <c r="CV277" s="66"/>
      <c r="CW277" s="66"/>
      <c r="CX277" s="66"/>
      <c r="CY277" s="66"/>
      <c r="CZ277" s="66"/>
      <c r="DA277" s="66"/>
      <c r="DB277" s="66"/>
      <c r="DC277" s="66"/>
      <c r="DD277" s="66"/>
      <c r="DE277" s="66"/>
      <c r="DF277" s="66"/>
      <c r="DG277" s="66"/>
      <c r="DH277" s="66"/>
      <c r="DI277" s="66"/>
      <c r="DJ277" s="66"/>
      <c r="DK277" s="66"/>
      <c r="DL277" s="66"/>
      <c r="DM277" s="66"/>
      <c r="DN277" s="66"/>
      <c r="DO277" s="66"/>
      <c r="DP277" s="66"/>
      <c r="DQ277" s="66"/>
      <c r="DR277" s="66"/>
      <c r="DS277" s="66"/>
      <c r="DT277" s="66"/>
      <c r="DU277" s="66"/>
      <c r="DV277" s="66"/>
      <c r="DW277" s="66"/>
      <c r="DX277" s="66"/>
      <c r="DY277" s="66"/>
      <c r="DZ277" s="66"/>
      <c r="EA277" s="66"/>
      <c r="EB277" s="66"/>
      <c r="EC277" s="66"/>
      <c r="ED277" s="66"/>
      <c r="EE277" s="66"/>
      <c r="EF277" s="66"/>
      <c r="EG277" s="66"/>
      <c r="EH277" s="66"/>
      <c r="EI277" s="66"/>
      <c r="EJ277" s="66"/>
      <c r="EK277" s="66"/>
      <c r="EL277" s="66"/>
      <c r="EM277" s="66"/>
      <c r="EN277" s="66"/>
      <c r="EO277" s="66"/>
      <c r="EP277" s="66"/>
      <c r="EQ277" s="66"/>
      <c r="ER277" s="66"/>
      <c r="ES277" s="66"/>
      <c r="ET277" s="66"/>
      <c r="EU277" s="66"/>
      <c r="EV277" s="66"/>
      <c r="EW277" s="66"/>
      <c r="EX277" s="66"/>
      <c r="EY277" s="66"/>
      <c r="EZ277" s="66"/>
      <c r="FA277" s="66"/>
      <c r="FB277" s="66"/>
      <c r="FC277" s="66"/>
      <c r="FD277" s="66"/>
      <c r="FE277" s="66"/>
      <c r="FF277" s="66"/>
      <c r="FG277" s="66"/>
      <c r="FH277" s="66"/>
      <c r="FI277" s="66"/>
      <c r="FJ277" s="66"/>
      <c r="FK277" s="66"/>
      <c r="FL277" s="66"/>
      <c r="FM277" s="66"/>
      <c r="FN277" s="66"/>
      <c r="FO277" s="66"/>
      <c r="FP277" s="66"/>
      <c r="FQ277" s="66"/>
      <c r="FR277" s="66"/>
      <c r="FS277" s="66"/>
      <c r="FT277" s="66"/>
      <c r="FU277" s="66"/>
      <c r="FV277" s="66"/>
      <c r="FW277" s="66"/>
      <c r="FX277" s="66"/>
      <c r="FY277" s="66"/>
      <c r="FZ277" s="66"/>
      <c r="GA277" s="66"/>
      <c r="GB277" s="66"/>
      <c r="GC277" s="66"/>
      <c r="GD277" s="66"/>
      <c r="GE277" s="66"/>
      <c r="GF277" s="66"/>
      <c r="GG277" s="66"/>
      <c r="GH277" s="66"/>
      <c r="GI277" s="66"/>
      <c r="GJ277" s="66"/>
      <c r="GK277" s="66"/>
      <c r="GL277" s="66"/>
      <c r="GM277" s="66"/>
      <c r="GN277" s="66"/>
      <c r="GO277" s="66"/>
      <c r="GP277" s="66"/>
      <c r="GQ277" s="66"/>
      <c r="GR277" s="66"/>
      <c r="GS277" s="66"/>
      <c r="GT277" s="66"/>
      <c r="GU277" s="66"/>
      <c r="GV277" s="66"/>
      <c r="GW277" s="66"/>
      <c r="GX277" s="66"/>
    </row>
    <row r="278" spans="1:206">
      <c r="A278" s="277"/>
      <c r="B278" s="140" t="s">
        <v>706</v>
      </c>
      <c r="C278" s="279"/>
      <c r="D278" s="279"/>
      <c r="E278" s="279"/>
      <c r="F278" s="279"/>
      <c r="G278" s="279"/>
      <c r="H278" s="279"/>
      <c r="I278" s="279"/>
      <c r="J278" s="279"/>
      <c r="K278" s="279"/>
      <c r="L278" s="279"/>
      <c r="M278" s="279"/>
      <c r="N278" s="279"/>
      <c r="O278" s="279"/>
      <c r="P278" s="279"/>
      <c r="Q278" s="279"/>
      <c r="R278" s="279"/>
      <c r="S278" s="279"/>
      <c r="T278" s="279"/>
      <c r="U278" s="279"/>
      <c r="V278" s="279"/>
      <c r="W278" s="279"/>
      <c r="X278" s="279"/>
      <c r="Y278" s="279"/>
      <c r="Z278" s="279"/>
      <c r="AA278" s="279"/>
      <c r="AB278" s="279"/>
      <c r="AC278" s="279"/>
      <c r="AD278" s="279"/>
      <c r="AE278" s="279"/>
      <c r="AF278" s="279"/>
      <c r="AG278" s="279"/>
    </row>
    <row r="279" spans="1:206">
      <c r="A279" s="277"/>
      <c r="B279" s="140" t="s">
        <v>705</v>
      </c>
      <c r="C279" s="279"/>
      <c r="D279" s="279"/>
      <c r="E279" s="279"/>
      <c r="F279" s="279"/>
      <c r="G279" s="279"/>
      <c r="H279" s="279"/>
      <c r="I279" s="279"/>
      <c r="J279" s="279"/>
      <c r="K279" s="279"/>
      <c r="L279" s="279"/>
      <c r="M279" s="279"/>
      <c r="N279" s="279"/>
      <c r="O279" s="279"/>
      <c r="P279" s="279"/>
      <c r="Q279" s="279"/>
      <c r="R279" s="279"/>
      <c r="S279" s="279"/>
      <c r="T279" s="279"/>
      <c r="U279" s="279"/>
      <c r="V279" s="279"/>
      <c r="W279" s="279"/>
      <c r="X279" s="279"/>
      <c r="Y279" s="279"/>
      <c r="Z279" s="279"/>
      <c r="AA279" s="279"/>
      <c r="AB279" s="279"/>
      <c r="AC279" s="279"/>
      <c r="AD279" s="279"/>
      <c r="AE279" s="279"/>
      <c r="AF279" s="279"/>
      <c r="AG279" s="279"/>
    </row>
    <row r="280" spans="1:206">
      <c r="A280" s="277"/>
      <c r="B280" s="140" t="s">
        <v>704</v>
      </c>
      <c r="C280" s="279"/>
      <c r="D280" s="279"/>
      <c r="E280" s="279"/>
      <c r="F280" s="279"/>
      <c r="G280" s="279"/>
      <c r="H280" s="279"/>
      <c r="I280" s="279"/>
      <c r="J280" s="279"/>
      <c r="K280" s="279"/>
      <c r="L280" s="279"/>
      <c r="M280" s="279"/>
      <c r="N280" s="279"/>
      <c r="O280" s="279"/>
      <c r="P280" s="279"/>
      <c r="Q280" s="279"/>
      <c r="R280" s="279"/>
      <c r="S280" s="279"/>
      <c r="T280" s="279"/>
      <c r="U280" s="279"/>
      <c r="V280" s="279"/>
      <c r="W280" s="279"/>
      <c r="X280" s="279"/>
      <c r="Y280" s="279"/>
      <c r="Z280" s="279"/>
      <c r="AA280" s="279"/>
      <c r="AB280" s="279"/>
      <c r="AC280" s="279"/>
      <c r="AD280" s="279"/>
      <c r="AE280" s="279"/>
      <c r="AF280" s="279"/>
      <c r="AG280" s="279"/>
    </row>
    <row r="281" spans="1:206">
      <c r="A281" s="277"/>
      <c r="B281" s="140" t="s">
        <v>703</v>
      </c>
      <c r="C281" s="279"/>
      <c r="D281" s="279"/>
      <c r="E281" s="279"/>
      <c r="F281" s="279"/>
      <c r="G281" s="279"/>
      <c r="H281" s="279"/>
      <c r="I281" s="279"/>
      <c r="J281" s="279"/>
      <c r="K281" s="279"/>
      <c r="L281" s="279"/>
      <c r="M281" s="279"/>
      <c r="N281" s="279"/>
      <c r="O281" s="279"/>
      <c r="P281" s="279"/>
      <c r="Q281" s="279"/>
      <c r="R281" s="279"/>
      <c r="S281" s="279"/>
      <c r="T281" s="279"/>
      <c r="U281" s="279"/>
      <c r="V281" s="279"/>
      <c r="W281" s="279"/>
      <c r="X281" s="279"/>
      <c r="Y281" s="279"/>
      <c r="Z281" s="279"/>
      <c r="AA281" s="279"/>
      <c r="AB281" s="279"/>
      <c r="AC281" s="279"/>
      <c r="AD281" s="279"/>
      <c r="AE281" s="279"/>
      <c r="AF281" s="279"/>
      <c r="AG281" s="279"/>
    </row>
    <row r="282" spans="1:206">
      <c r="A282" s="277"/>
      <c r="B282" s="140" t="s">
        <v>667</v>
      </c>
      <c r="C282" s="279"/>
      <c r="D282" s="279"/>
      <c r="E282" s="279"/>
      <c r="F282" s="279"/>
      <c r="G282" s="279"/>
      <c r="H282" s="279"/>
      <c r="I282" s="279"/>
      <c r="J282" s="279"/>
      <c r="K282" s="279"/>
      <c r="L282" s="279"/>
      <c r="M282" s="279"/>
      <c r="N282" s="279"/>
      <c r="O282" s="279"/>
      <c r="P282" s="279"/>
      <c r="Q282" s="279"/>
      <c r="R282" s="279"/>
      <c r="S282" s="279"/>
      <c r="T282" s="279"/>
      <c r="U282" s="279"/>
      <c r="V282" s="279"/>
      <c r="W282" s="279"/>
      <c r="X282" s="279"/>
      <c r="Y282" s="279"/>
      <c r="Z282" s="279"/>
      <c r="AA282" s="279"/>
      <c r="AB282" s="279"/>
      <c r="AC282" s="279"/>
      <c r="AD282" s="279"/>
      <c r="AE282" s="279"/>
      <c r="AF282" s="279"/>
      <c r="AG282" s="279"/>
    </row>
    <row r="283" spans="1:206">
      <c r="A283" s="277"/>
      <c r="B283" s="140" t="s">
        <v>207</v>
      </c>
      <c r="C283" s="280">
        <f>Wind!U190-'Raw Data'!C274-'Raw Data'!C268-'Raw Data'!C260-'Raw Data'!C243-'Raw Data'!C239-'Raw Data'!C234-'Raw Data'!C222</f>
        <v>-200.1001</v>
      </c>
      <c r="D283" s="280">
        <f>Wind!V190-'Raw Data'!D274-'Raw Data'!D268-'Raw Data'!D260-'Raw Data'!D243-'Raw Data'!D239-'Raw Data'!D234-'Raw Data'!D222</f>
        <v>-30.189096090000021</v>
      </c>
      <c r="E283" s="280">
        <f>Wind!W190-'Raw Data'!E274-'Raw Data'!E268-'Raw Data'!E260-'Raw Data'!E243-'Raw Data'!E239-'Raw Data'!E234-'Raw Data'!E222</f>
        <v>-135.59899279000001</v>
      </c>
      <c r="F283" s="280">
        <f>Wind!X190-'Raw Data'!F274-'Raw Data'!F268-'Raw Data'!F260-'Raw Data'!F243-'Raw Data'!F239-'Raw Data'!F234-'Raw Data'!F222</f>
        <v>-261.8516711499999</v>
      </c>
      <c r="G283" s="280">
        <f>Wind!Y190-'Raw Data'!G274-'Raw Data'!G268-'Raw Data'!G260-'Raw Data'!G243-'Raw Data'!G239-'Raw Data'!G234-'Raw Data'!G222</f>
        <v>-468.32096187000002</v>
      </c>
      <c r="H283" s="280">
        <f>Wind!Z190-'Raw Data'!H274-'Raw Data'!H268-'Raw Data'!H260-'Raw Data'!H243-'Raw Data'!H239-'Raw Data'!H234-'Raw Data'!H222</f>
        <v>-537.29494537000005</v>
      </c>
      <c r="I283" s="280">
        <f>Wind!AA190-'Raw Data'!I274-'Raw Data'!I268-'Raw Data'!I260-'Raw Data'!I243-'Raw Data'!I239-'Raw Data'!I234-'Raw Data'!I222</f>
        <v>-583.14798528999972</v>
      </c>
      <c r="J283" s="280">
        <f>Wind!AB190-'Raw Data'!J274-'Raw Data'!J268-'Raw Data'!J260-'Raw Data'!J243-'Raw Data'!J239-'Raw Data'!J234-'Raw Data'!J222</f>
        <v>-901.75685474999955</v>
      </c>
      <c r="K283" s="280"/>
      <c r="L283" s="280">
        <f>Wind!CB190-'Raw Data'!L274-'Raw Data'!L268-'Raw Data'!L260-'Raw Data'!L243-'Raw Data'!L239-'Raw Data'!L234-'Raw Data'!L222</f>
        <v>-70.828331180000049</v>
      </c>
      <c r="M283" s="280">
        <f>Wind!CC190-'Raw Data'!M274-'Raw Data'!M268-'Raw Data'!M260-'Raw Data'!M243-'Raw Data'!M239-'Raw Data'!M234-'Raw Data'!M222</f>
        <v>36.582300000000032</v>
      </c>
      <c r="N283" s="280">
        <f>Wind!CD190-'Raw Data'!N274-'Raw Data'!N268-'Raw Data'!N260-'Raw Data'!N243-'Raw Data'!N239-'Raw Data'!N234-'Raw Data'!N222</f>
        <v>-22.5807911899999</v>
      </c>
      <c r="O283" s="280">
        <f>Wind!CE190-'Raw Data'!O274-'Raw Data'!O268-'Raw Data'!O260-'Raw Data'!O243-'Raw Data'!O239-'Raw Data'!O234-'Raw Data'!O222</f>
        <v>-261.8516711499999</v>
      </c>
      <c r="P283" s="280">
        <f>Wind!CF190-'Raw Data'!P274-'Raw Data'!P268-'Raw Data'!P260-'Raw Data'!P243-'Raw Data'!P239-'Raw Data'!P234-'Raw Data'!P222</f>
        <v>-133.51855548000003</v>
      </c>
      <c r="Q283" s="280">
        <f>Wind!CG190-'Raw Data'!Q274-'Raw Data'!Q268-'Raw Data'!Q260-'Raw Data'!Q243-'Raw Data'!Q239-'Raw Data'!Q234-'Raw Data'!Q222</f>
        <v>-265.42095396000002</v>
      </c>
      <c r="R283" s="280">
        <f>Wind!CH190-'Raw Data'!R274-'Raw Data'!R268-'Raw Data'!R260-'Raw Data'!R243-'Raw Data'!R239-'Raw Data'!R234-'Raw Data'!R222</f>
        <v>151.45138286999986</v>
      </c>
      <c r="S283" s="280">
        <f>Wind!CI190-'Raw Data'!S274-'Raw Data'!S268-'Raw Data'!S260-'Raw Data'!S243-'Raw Data'!S239-'Raw Data'!S234-'Raw Data'!S222</f>
        <v>-468.32096187000002</v>
      </c>
      <c r="T283" s="280">
        <f>Wind!CJ190-'Raw Data'!T274-'Raw Data'!T268-'Raw Data'!T260-'Raw Data'!T243-'Raw Data'!T239-'Raw Data'!T234-'Raw Data'!T222</f>
        <v>-148.00432318999998</v>
      </c>
      <c r="U283" s="280">
        <f>Wind!CK190-'Raw Data'!U274-'Raw Data'!U268-'Raw Data'!U260-'Raw Data'!U243-'Raw Data'!U239-'Raw Data'!U234-'Raw Data'!U222</f>
        <v>-337.58537379000006</v>
      </c>
      <c r="V283" s="280">
        <f>Wind!CL190-'Raw Data'!V274-'Raw Data'!V268-'Raw Data'!V260-'Raw Data'!V243-'Raw Data'!V239-'Raw Data'!V234-'Raw Data'!V222</f>
        <v>-60.949743040000158</v>
      </c>
      <c r="W283" s="280">
        <f>Wind!CM190-'Raw Data'!W274-'Raw Data'!W268-'Raw Data'!W260-'Raw Data'!W243-'Raw Data'!W239-'Raw Data'!W234-'Raw Data'!W222</f>
        <v>-537.29494537000005</v>
      </c>
      <c r="X283" s="280">
        <f>Wind!CN190-'Raw Data'!X274-'Raw Data'!X268-'Raw Data'!X260-'Raw Data'!X243-'Raw Data'!X239-'Raw Data'!X234-'Raw Data'!X222</f>
        <v>82.702959999999962</v>
      </c>
      <c r="Y283" s="280">
        <f>Wind!CO190-'Raw Data'!Y274-'Raw Data'!Y268-'Raw Data'!Y260-'Raw Data'!Y243-'Raw Data'!Y239-'Raw Data'!Y234-'Raw Data'!Y222</f>
        <v>-456.05015723999986</v>
      </c>
      <c r="Z283" s="280">
        <f>Wind!CP190-'Raw Data'!Z274-'Raw Data'!Z268-'Raw Data'!Z260-'Raw Data'!Z243-'Raw Data'!Z239-'Raw Data'!Z234-'Raw Data'!Z222</f>
        <v>-68.693082920000052</v>
      </c>
      <c r="AA283" s="280">
        <f>Wind!CQ190-'Raw Data'!AA274-'Raw Data'!AA268-'Raw Data'!AA260-'Raw Data'!AA243-'Raw Data'!AA239-'Raw Data'!AA234-'Raw Data'!AA222</f>
        <v>-583.14798528999972</v>
      </c>
      <c r="AB283" s="280">
        <f>Wind!CR190-'Raw Data'!AB274-'Raw Data'!AB268-'Raw Data'!AB260-'Raw Data'!AB243-'Raw Data'!AB239-'Raw Data'!AB234-'Raw Data'!AB222</f>
        <v>29.826158390000046</v>
      </c>
      <c r="AC283" s="280">
        <f>Wind!CS190-'Raw Data'!AC274-'Raw Data'!AC268-'Raw Data'!AC260-'Raw Data'!AC243-'Raw Data'!AC239-'Raw Data'!AC234-'Raw Data'!AC222</f>
        <v>-507.11504558000001</v>
      </c>
      <c r="AD283" s="280">
        <f>Wind!CT190-'Raw Data'!AD274-'Raw Data'!AD268-'Raw Data'!AD260-'Raw Data'!AD243-'Raw Data'!AD239-'Raw Data'!AD234-'Raw Data'!AD222</f>
        <v>-318.5544130799999</v>
      </c>
      <c r="AE283" s="280">
        <f>Wind!CU190-'Raw Data'!AE274-'Raw Data'!AE268-'Raw Data'!AE260-'Raw Data'!AE243-'Raw Data'!AE239-'Raw Data'!AE234-'Raw Data'!AE222</f>
        <v>-901.75685474999955</v>
      </c>
      <c r="AF283" s="280">
        <f>Wind!CV190-'Raw Data'!AF274-'Raw Data'!AF268-'Raw Data'!AF260-'Raw Data'!AF243-'Raw Data'!AF239-'Raw Data'!AF234-'Raw Data'!AF222</f>
        <v>-601.69695519000004</v>
      </c>
      <c r="AG283" s="280">
        <f>Wind!CW190-'Raw Data'!AG274-'Raw Data'!AG268-'Raw Data'!AG260-'Raw Data'!AG243-'Raw Data'!AG239-'Raw Data'!AG234-'Raw Data'!AG222</f>
        <v>-885.98551460000044</v>
      </c>
    </row>
    <row r="284" spans="1:206">
      <c r="A284" s="277"/>
      <c r="C284" s="279"/>
      <c r="D284" s="279"/>
      <c r="E284" s="279"/>
      <c r="F284" s="279"/>
      <c r="G284" s="279"/>
      <c r="H284" s="279"/>
      <c r="I284" s="279"/>
      <c r="J284" s="279"/>
      <c r="K284" s="279"/>
      <c r="L284" s="279"/>
      <c r="M284" s="279"/>
      <c r="N284" s="279"/>
      <c r="O284" s="279"/>
      <c r="P284" s="279"/>
      <c r="Q284" s="279"/>
      <c r="R284" s="279"/>
      <c r="S284" s="279"/>
      <c r="T284" s="279"/>
      <c r="U284" s="279"/>
      <c r="V284" s="279"/>
      <c r="W284" s="279"/>
      <c r="X284" s="279"/>
      <c r="Y284" s="279"/>
      <c r="Z284" s="279"/>
      <c r="AA284" s="279"/>
      <c r="AB284" s="279"/>
      <c r="AC284" s="279"/>
      <c r="AD284" s="279"/>
      <c r="AE284" s="279"/>
      <c r="AF284" s="279"/>
      <c r="AG284" s="279"/>
    </row>
    <row r="285" spans="1:206">
      <c r="A285" s="277"/>
      <c r="B285" s="990" t="s">
        <v>702</v>
      </c>
      <c r="C285" s="991">
        <f t="shared" ref="C285:I285" si="139">C222+SUM(C234)+SUM(C276:C283)+C239+SUM(C241:C257)+C268+C260+C274</f>
        <v>189.7081</v>
      </c>
      <c r="D285" s="991">
        <f t="shared" si="139"/>
        <v>194.93967529</v>
      </c>
      <c r="E285" s="991">
        <f t="shared" si="139"/>
        <v>1210.98143514</v>
      </c>
      <c r="F285" s="991">
        <f t="shared" si="139"/>
        <v>1340.3631529700001</v>
      </c>
      <c r="G285" s="991">
        <f t="shared" si="139"/>
        <v>2076.84403767</v>
      </c>
      <c r="H285" s="991">
        <f t="shared" si="139"/>
        <v>2026.1051407299999</v>
      </c>
      <c r="I285" s="991">
        <f t="shared" si="139"/>
        <v>3281.2696526500004</v>
      </c>
      <c r="J285" s="991">
        <f>J222+SUM(J234)+SUM(J276:J283)+J239+SUM(J241:J257)+J268+J260+J274</f>
        <v>5789.4085085400002</v>
      </c>
      <c r="K285" s="811"/>
      <c r="L285" s="991">
        <f t="shared" ref="L285:R285" si="140">L222+SUM(L234)+SUM(L276:L283)+L239+SUM(L241:L257)+L268+L260+L274</f>
        <v>-41.922024000000022</v>
      </c>
      <c r="M285" s="991">
        <f t="shared" si="140"/>
        <v>601.5222</v>
      </c>
      <c r="N285" s="991">
        <f t="shared" si="140"/>
        <v>875.13521332000005</v>
      </c>
      <c r="O285" s="991">
        <f t="shared" si="140"/>
        <v>1340.3631529700001</v>
      </c>
      <c r="P285" s="991">
        <f t="shared" si="140"/>
        <v>454.90829431999998</v>
      </c>
      <c r="Q285" s="991">
        <f t="shared" si="140"/>
        <v>1179.18514878</v>
      </c>
      <c r="R285" s="991">
        <f t="shared" si="140"/>
        <v>1414.73088826</v>
      </c>
      <c r="S285" s="991">
        <f t="shared" ref="S285:AB285" si="141">S222+SUM(S234)+SUM(S276:S283)+S239+SUM(S241:S257)+S268+S260+S274</f>
        <v>2076.84403767</v>
      </c>
      <c r="T285" s="991">
        <f t="shared" si="141"/>
        <v>291.35358689999998</v>
      </c>
      <c r="U285" s="991">
        <f t="shared" si="141"/>
        <v>713.15587481</v>
      </c>
      <c r="V285" s="991">
        <f t="shared" si="141"/>
        <v>1421.88317966</v>
      </c>
      <c r="W285" s="991">
        <f t="shared" si="141"/>
        <v>2026.1051407299999</v>
      </c>
      <c r="X285" s="991">
        <f t="shared" si="141"/>
        <v>723.99698139999998</v>
      </c>
      <c r="Y285" s="991">
        <f t="shared" si="141"/>
        <v>1297.9530904400001</v>
      </c>
      <c r="Z285" s="991">
        <f t="shared" si="141"/>
        <v>2013.44679761</v>
      </c>
      <c r="AA285" s="991">
        <f t="shared" si="141"/>
        <v>3281.2696526500004</v>
      </c>
      <c r="AB285" s="991">
        <f t="shared" si="141"/>
        <v>859.54440177000004</v>
      </c>
      <c r="AC285" s="991">
        <f>AC222+SUM(AC234)+SUM(AC276:AC283)+AC239+SUM(AC241:AC257)+AC268+AC260+AC274</f>
        <v>2267.2926193300004</v>
      </c>
      <c r="AD285" s="991">
        <f>AD222+SUM(AD234)+SUM(AD276:AD283)+AD239+SUM(AD241:AD257)+AD268+AD260+AD274</f>
        <v>3035.41910581</v>
      </c>
      <c r="AE285" s="991">
        <f>AE222+SUM(AE234)+SUM(AE276:AE283)+AE239+SUM(AE241:AE257)+AE268+AE260+AE274</f>
        <v>5789.4085085400002</v>
      </c>
      <c r="AF285" s="991">
        <f t="shared" ref="AF285" si="142">AF222+SUM(AF234)+SUM(AF276:AF283)+AF239+SUM(AF241:AF257)+AF268+AF260+AF274</f>
        <v>631.49311247000003</v>
      </c>
      <c r="AG285" s="991">
        <f t="shared" ref="AG285" si="143">AG222+SUM(AG234)+SUM(AG276:AG283)+AG239+SUM(AG241:AG257)+AG268+AG260+AG274</f>
        <v>1740.4605627899998</v>
      </c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  <c r="BE285" s="85"/>
      <c r="BF285" s="85"/>
      <c r="BG285" s="85"/>
      <c r="BH285" s="85"/>
      <c r="BI285" s="85"/>
      <c r="BJ285" s="85"/>
      <c r="BK285" s="85"/>
      <c r="BL285" s="85"/>
      <c r="BM285" s="85"/>
      <c r="BN285" s="85"/>
      <c r="BO285" s="85"/>
      <c r="BP285" s="85"/>
      <c r="BQ285" s="85"/>
      <c r="BR285" s="85"/>
      <c r="BS285" s="85"/>
      <c r="BT285" s="85"/>
      <c r="BU285" s="85"/>
      <c r="BV285" s="85"/>
      <c r="BW285" s="85"/>
      <c r="BX285" s="85"/>
      <c r="BY285" s="85"/>
      <c r="BZ285" s="85"/>
      <c r="CA285" s="85"/>
      <c r="CB285" s="85"/>
      <c r="CC285" s="85"/>
      <c r="CD285" s="85"/>
      <c r="CE285" s="85"/>
      <c r="CF285" s="85"/>
      <c r="CG285" s="85"/>
      <c r="CH285" s="85"/>
      <c r="CI285" s="85"/>
      <c r="CJ285" s="85"/>
      <c r="CK285" s="85"/>
      <c r="CL285" s="85"/>
      <c r="CM285" s="85"/>
      <c r="CN285" s="85"/>
      <c r="CO285" s="85"/>
      <c r="CP285" s="85"/>
      <c r="CQ285" s="85"/>
      <c r="CR285" s="85"/>
      <c r="CS285" s="85"/>
      <c r="CT285" s="85"/>
      <c r="CU285" s="85"/>
      <c r="CV285" s="85"/>
      <c r="CW285" s="85"/>
      <c r="CX285" s="85"/>
      <c r="CY285" s="85"/>
      <c r="CZ285" s="85"/>
      <c r="DA285" s="85"/>
      <c r="DB285" s="85"/>
      <c r="DC285" s="85"/>
      <c r="DD285" s="85"/>
      <c r="DE285" s="85"/>
      <c r="DF285" s="85"/>
      <c r="DG285" s="85"/>
      <c r="DH285" s="85"/>
      <c r="DI285" s="85"/>
      <c r="DJ285" s="85"/>
      <c r="DK285" s="85"/>
      <c r="DL285" s="85"/>
      <c r="DM285" s="85"/>
      <c r="DN285" s="85"/>
      <c r="DO285" s="85"/>
      <c r="DP285" s="85"/>
      <c r="DQ285" s="85"/>
      <c r="DR285" s="85"/>
      <c r="DS285" s="85"/>
      <c r="DT285" s="85"/>
      <c r="DU285" s="85"/>
      <c r="DV285" s="85"/>
      <c r="DW285" s="85"/>
      <c r="DX285" s="85"/>
      <c r="DY285" s="85"/>
      <c r="DZ285" s="85"/>
      <c r="EA285" s="85"/>
      <c r="EB285" s="85"/>
      <c r="EC285" s="85"/>
      <c r="ED285" s="85"/>
      <c r="EE285" s="85"/>
      <c r="EF285" s="85"/>
      <c r="EG285" s="85"/>
      <c r="EH285" s="85"/>
      <c r="EI285" s="85"/>
      <c r="EJ285" s="85"/>
      <c r="EK285" s="85"/>
      <c r="EL285" s="85"/>
      <c r="EM285" s="85"/>
      <c r="EN285" s="85"/>
      <c r="EO285" s="85"/>
      <c r="EP285" s="85"/>
      <c r="EQ285" s="85"/>
      <c r="ER285" s="85"/>
      <c r="ES285" s="85"/>
      <c r="ET285" s="85"/>
      <c r="EU285" s="85"/>
      <c r="EV285" s="85"/>
      <c r="EW285" s="85"/>
      <c r="EX285" s="85"/>
      <c r="EY285" s="85"/>
      <c r="EZ285" s="85"/>
      <c r="FA285" s="85"/>
      <c r="FB285" s="85"/>
      <c r="FC285" s="85"/>
      <c r="FD285" s="85"/>
      <c r="FE285" s="85"/>
      <c r="FF285" s="85"/>
      <c r="FG285" s="85"/>
      <c r="FH285" s="85"/>
      <c r="FI285" s="85"/>
      <c r="FJ285" s="85"/>
      <c r="FK285" s="85"/>
      <c r="FL285" s="85"/>
      <c r="FM285" s="85"/>
      <c r="FN285" s="85"/>
      <c r="FO285" s="85"/>
      <c r="FP285" s="85"/>
      <c r="FQ285" s="85"/>
      <c r="FR285" s="85"/>
      <c r="FS285" s="85"/>
      <c r="FT285" s="85"/>
      <c r="FU285" s="85"/>
      <c r="FV285" s="85"/>
      <c r="FW285" s="85"/>
      <c r="FX285" s="85"/>
      <c r="FY285" s="85"/>
      <c r="FZ285" s="85"/>
      <c r="GA285" s="85"/>
      <c r="GB285" s="85"/>
      <c r="GC285" s="85"/>
      <c r="GD285" s="85"/>
      <c r="GE285" s="85"/>
      <c r="GF285" s="85"/>
      <c r="GG285" s="85"/>
      <c r="GH285" s="85"/>
      <c r="GI285" s="85"/>
      <c r="GJ285" s="85"/>
      <c r="GK285" s="85"/>
      <c r="GL285" s="85"/>
      <c r="GM285" s="85"/>
      <c r="GN285" s="85"/>
      <c r="GO285" s="85"/>
      <c r="GP285" s="85"/>
      <c r="GQ285" s="85"/>
      <c r="GR285" s="85"/>
      <c r="GS285" s="85"/>
      <c r="GT285" s="85"/>
      <c r="GU285" s="85"/>
      <c r="GV285" s="85"/>
      <c r="GW285" s="85"/>
      <c r="GX285" s="85"/>
    </row>
    <row r="286" spans="1:206">
      <c r="A286" s="277"/>
      <c r="B286" s="275" t="s">
        <v>657</v>
      </c>
      <c r="C286" s="273">
        <f>Model!C204-C285</f>
        <v>0</v>
      </c>
      <c r="D286" s="273">
        <f>Model!D204-D285</f>
        <v>0</v>
      </c>
      <c r="E286" s="273">
        <f>Model!E204-E285</f>
        <v>0</v>
      </c>
      <c r="F286" s="273">
        <f>Model!F204-F285</f>
        <v>0</v>
      </c>
      <c r="G286" s="273">
        <f>Model!G204-G285</f>
        <v>0</v>
      </c>
      <c r="H286" s="273">
        <f>Model!H204-H285</f>
        <v>0</v>
      </c>
      <c r="I286" s="273">
        <f>Model!I204-I285</f>
        <v>0</v>
      </c>
      <c r="J286" s="273">
        <f>Model!J204-J285</f>
        <v>0</v>
      </c>
      <c r="K286" s="273"/>
      <c r="L286" s="273"/>
      <c r="M286" s="273"/>
      <c r="N286" s="273"/>
      <c r="O286" s="273"/>
      <c r="P286" s="273"/>
      <c r="Q286" s="273"/>
      <c r="R286" s="273"/>
      <c r="S286" s="273"/>
      <c r="T286" s="273"/>
      <c r="U286" s="273"/>
      <c r="V286" s="273"/>
      <c r="W286" s="273"/>
      <c r="X286" s="273"/>
      <c r="Y286" s="273"/>
      <c r="Z286" s="273"/>
      <c r="AA286" s="273"/>
      <c r="AB286" s="273"/>
      <c r="AC286" s="273"/>
      <c r="AD286" s="273"/>
      <c r="AE286" s="273"/>
      <c r="AF286" s="273"/>
      <c r="AG286" s="273"/>
      <c r="AH286" s="273"/>
      <c r="AI286" s="273"/>
      <c r="AJ286" s="273"/>
      <c r="AK286" s="273"/>
      <c r="AL286" s="273"/>
      <c r="AM286" s="273"/>
      <c r="AN286" s="273"/>
      <c r="AO286" s="273"/>
      <c r="AP286" s="273"/>
      <c r="AQ286" s="273"/>
      <c r="AR286" s="273"/>
      <c r="AS286" s="273"/>
      <c r="AT286" s="273"/>
      <c r="AU286" s="273"/>
      <c r="AV286" s="273"/>
      <c r="AW286" s="273"/>
      <c r="AX286" s="273"/>
      <c r="AY286" s="273"/>
      <c r="AZ286" s="273"/>
      <c r="BA286" s="273"/>
      <c r="BB286" s="273"/>
      <c r="BC286" s="273"/>
      <c r="BD286" s="273"/>
      <c r="BE286" s="273"/>
      <c r="BF286" s="273"/>
      <c r="BG286" s="273"/>
      <c r="BH286" s="273"/>
      <c r="BI286" s="273"/>
      <c r="BJ286" s="273"/>
      <c r="BK286" s="273"/>
      <c r="BL286" s="273"/>
      <c r="BM286" s="273"/>
      <c r="BN286" s="273"/>
      <c r="BO286" s="273"/>
      <c r="BP286" s="273"/>
      <c r="BQ286" s="273"/>
      <c r="BR286" s="273"/>
      <c r="BS286" s="273"/>
      <c r="BT286" s="273"/>
      <c r="BU286" s="273"/>
      <c r="BV286" s="273"/>
      <c r="BW286" s="273"/>
      <c r="BX286" s="273"/>
      <c r="BY286" s="273"/>
      <c r="BZ286" s="273"/>
      <c r="CA286" s="273"/>
      <c r="CB286" s="273"/>
      <c r="CC286" s="273"/>
      <c r="CD286" s="273"/>
      <c r="CE286" s="273"/>
      <c r="CF286" s="273"/>
      <c r="CG286" s="273"/>
      <c r="CH286" s="273"/>
      <c r="CI286" s="273"/>
      <c r="CJ286" s="273"/>
      <c r="CK286" s="273"/>
      <c r="CL286" s="273"/>
      <c r="CM286" s="273"/>
      <c r="CN286" s="273"/>
      <c r="CO286" s="273"/>
      <c r="CP286" s="273"/>
      <c r="CQ286" s="273"/>
      <c r="CR286" s="273"/>
      <c r="CS286" s="273"/>
      <c r="CT286" s="273"/>
      <c r="CU286" s="273"/>
      <c r="CV286" s="273"/>
      <c r="CW286" s="273"/>
      <c r="CX286" s="273"/>
      <c r="CY286" s="273"/>
      <c r="CZ286" s="273"/>
      <c r="DA286" s="273"/>
      <c r="DB286" s="273"/>
      <c r="DC286" s="273"/>
      <c r="DD286" s="273"/>
      <c r="DE286" s="273"/>
      <c r="DF286" s="273"/>
      <c r="DG286" s="273"/>
      <c r="DH286" s="273"/>
      <c r="DI286" s="273"/>
      <c r="DJ286" s="273"/>
      <c r="DK286" s="273"/>
      <c r="DL286" s="273"/>
      <c r="DM286" s="273"/>
      <c r="DN286" s="273"/>
      <c r="DO286" s="273"/>
      <c r="DP286" s="273"/>
      <c r="DQ286" s="273"/>
      <c r="DR286" s="273"/>
      <c r="DS286" s="273"/>
      <c r="DT286" s="273"/>
      <c r="DU286" s="273"/>
      <c r="DV286" s="273"/>
      <c r="DW286" s="273"/>
      <c r="DX286" s="273"/>
      <c r="DY286" s="273"/>
      <c r="DZ286" s="273"/>
      <c r="EA286" s="273"/>
      <c r="EB286" s="273"/>
      <c r="EC286" s="273"/>
      <c r="ED286" s="273"/>
      <c r="EE286" s="273"/>
      <c r="EF286" s="273"/>
      <c r="EG286" s="273"/>
      <c r="EH286" s="273"/>
      <c r="EI286" s="273"/>
      <c r="EJ286" s="273"/>
      <c r="EK286" s="273"/>
      <c r="EL286" s="273"/>
      <c r="EM286" s="273"/>
      <c r="EN286" s="273"/>
      <c r="EO286" s="273"/>
      <c r="EP286" s="273"/>
      <c r="EQ286" s="273"/>
      <c r="ER286" s="273"/>
      <c r="ES286" s="273"/>
      <c r="ET286" s="273"/>
      <c r="EU286" s="273"/>
      <c r="EV286" s="273"/>
      <c r="EW286" s="273"/>
      <c r="EX286" s="273"/>
      <c r="EY286" s="273"/>
      <c r="EZ286" s="273"/>
      <c r="FA286" s="273"/>
      <c r="FB286" s="273"/>
      <c r="FC286" s="273"/>
      <c r="FD286" s="273"/>
      <c r="FE286" s="273"/>
      <c r="FF286" s="273"/>
      <c r="FG286" s="273"/>
      <c r="FH286" s="273"/>
      <c r="FI286" s="273"/>
      <c r="FJ286" s="273"/>
      <c r="FK286" s="273"/>
      <c r="FL286" s="273"/>
      <c r="FM286" s="273"/>
      <c r="FN286" s="273"/>
      <c r="FO286" s="273"/>
      <c r="FP286" s="273"/>
      <c r="FQ286" s="273"/>
      <c r="FR286" s="273"/>
      <c r="FS286" s="273"/>
      <c r="FT286" s="273"/>
      <c r="FU286" s="273"/>
      <c r="FV286" s="273"/>
      <c r="FW286" s="273"/>
      <c r="FX286" s="273"/>
      <c r="FY286" s="273"/>
      <c r="FZ286" s="273"/>
      <c r="GA286" s="273"/>
      <c r="GB286" s="273"/>
      <c r="GC286" s="273"/>
      <c r="GD286" s="273"/>
      <c r="GE286" s="273"/>
      <c r="GF286" s="273"/>
      <c r="GG286" s="273"/>
      <c r="GH286" s="273"/>
      <c r="GI286" s="273"/>
      <c r="GJ286" s="273"/>
      <c r="GK286" s="273"/>
      <c r="GL286" s="273"/>
      <c r="GM286" s="273"/>
      <c r="GN286" s="273"/>
      <c r="GO286" s="273"/>
      <c r="GP286" s="273"/>
      <c r="GQ286" s="273"/>
      <c r="GR286" s="273"/>
      <c r="GS286" s="273"/>
      <c r="GT286" s="273"/>
      <c r="GU286" s="273"/>
      <c r="GV286" s="273"/>
      <c r="GW286" s="273"/>
      <c r="GX286" s="273"/>
    </row>
    <row r="287" spans="1:206">
      <c r="A287" s="277"/>
      <c r="C287" s="279"/>
      <c r="D287" s="279"/>
      <c r="E287" s="279"/>
      <c r="F287" s="279"/>
      <c r="G287" s="279"/>
      <c r="H287" s="279"/>
      <c r="I287" s="279"/>
      <c r="J287" s="279"/>
      <c r="K287" s="279"/>
      <c r="L287" s="279"/>
      <c r="M287" s="279"/>
      <c r="N287" s="279"/>
      <c r="O287" s="279"/>
      <c r="P287" s="279"/>
      <c r="Q287" s="279"/>
      <c r="R287" s="279"/>
      <c r="S287" s="279"/>
      <c r="T287" s="279"/>
      <c r="U287" s="279"/>
      <c r="V287" s="279"/>
      <c r="W287" s="279"/>
      <c r="X287" s="279"/>
      <c r="Y287" s="279"/>
      <c r="Z287" s="279"/>
      <c r="AA287" s="279"/>
      <c r="AB287" s="279"/>
      <c r="AC287" s="279"/>
      <c r="AD287" s="279"/>
      <c r="AE287" s="279"/>
      <c r="AF287" s="279"/>
      <c r="AG287" s="279"/>
    </row>
    <row r="288" spans="1:206" s="85" customFormat="1">
      <c r="A288" s="276"/>
      <c r="B288" s="988" t="s">
        <v>701</v>
      </c>
      <c r="C288" s="989"/>
      <c r="D288" s="989"/>
      <c r="E288" s="989"/>
      <c r="F288" s="989"/>
      <c r="G288" s="989"/>
      <c r="H288" s="989"/>
      <c r="I288" s="989"/>
      <c r="J288" s="989"/>
      <c r="K288" s="279"/>
      <c r="L288" s="989"/>
      <c r="M288" s="989"/>
      <c r="N288" s="989"/>
      <c r="O288" s="989"/>
      <c r="P288" s="989"/>
      <c r="Q288" s="989"/>
      <c r="R288" s="989"/>
      <c r="S288" s="989"/>
      <c r="T288" s="989"/>
      <c r="U288" s="989"/>
      <c r="V288" s="989"/>
      <c r="W288" s="989"/>
      <c r="X288" s="989"/>
      <c r="Y288" s="989"/>
      <c r="Z288" s="989"/>
      <c r="AA288" s="989"/>
      <c r="AB288" s="989"/>
      <c r="AC288" s="989"/>
      <c r="AD288" s="989"/>
      <c r="AE288" s="989"/>
      <c r="AF288" s="989"/>
      <c r="AG288" s="989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66"/>
      <c r="AU288" s="66"/>
      <c r="AV288" s="66"/>
      <c r="AW288" s="66"/>
      <c r="AX288" s="66"/>
      <c r="AY288" s="66"/>
      <c r="AZ288" s="66"/>
      <c r="BA288" s="66"/>
      <c r="BB288" s="66"/>
      <c r="BC288" s="66"/>
      <c r="BD288" s="66"/>
      <c r="BE288" s="66"/>
      <c r="BF288" s="66"/>
      <c r="BG288" s="66"/>
      <c r="BH288" s="66"/>
      <c r="BI288" s="66"/>
      <c r="BJ288" s="66"/>
      <c r="BK288" s="66"/>
      <c r="BL288" s="66"/>
      <c r="BM288" s="66"/>
      <c r="BN288" s="66"/>
      <c r="BO288" s="66"/>
      <c r="BP288" s="66"/>
      <c r="BQ288" s="66"/>
      <c r="BR288" s="66"/>
      <c r="BS288" s="66"/>
      <c r="BT288" s="66"/>
      <c r="BU288" s="66"/>
      <c r="BV288" s="66"/>
      <c r="BW288" s="66"/>
      <c r="BX288" s="66"/>
      <c r="BY288" s="66"/>
      <c r="BZ288" s="66"/>
      <c r="CA288" s="66"/>
      <c r="CB288" s="66"/>
      <c r="CC288" s="66"/>
      <c r="CD288" s="66"/>
      <c r="CE288" s="66"/>
      <c r="CF288" s="66"/>
      <c r="CG288" s="66"/>
      <c r="CH288" s="66"/>
      <c r="CI288" s="66"/>
      <c r="CJ288" s="66"/>
      <c r="CK288" s="66"/>
      <c r="CL288" s="66"/>
      <c r="CM288" s="66"/>
      <c r="CN288" s="66"/>
      <c r="CO288" s="66"/>
      <c r="CP288" s="66"/>
      <c r="CQ288" s="66"/>
      <c r="CR288" s="66"/>
      <c r="CS288" s="66"/>
      <c r="CT288" s="66"/>
      <c r="CU288" s="66"/>
      <c r="CV288" s="66"/>
      <c r="CW288" s="66"/>
      <c r="CX288" s="66"/>
      <c r="CY288" s="66"/>
      <c r="CZ288" s="66"/>
      <c r="DA288" s="66"/>
      <c r="DB288" s="66"/>
      <c r="DC288" s="66"/>
      <c r="DD288" s="66"/>
      <c r="DE288" s="66"/>
      <c r="DF288" s="66"/>
      <c r="DG288" s="66"/>
      <c r="DH288" s="66"/>
      <c r="DI288" s="66"/>
      <c r="DJ288" s="66"/>
      <c r="DK288" s="66"/>
      <c r="DL288" s="66"/>
      <c r="DM288" s="66"/>
      <c r="DN288" s="66"/>
      <c r="DO288" s="66"/>
      <c r="DP288" s="66"/>
      <c r="DQ288" s="66"/>
      <c r="DR288" s="66"/>
      <c r="DS288" s="66"/>
      <c r="DT288" s="66"/>
      <c r="DU288" s="66"/>
      <c r="DV288" s="66"/>
      <c r="DW288" s="66"/>
      <c r="DX288" s="66"/>
      <c r="DY288" s="66"/>
      <c r="DZ288" s="66"/>
      <c r="EA288" s="66"/>
      <c r="EB288" s="66"/>
      <c r="EC288" s="66"/>
      <c r="ED288" s="66"/>
      <c r="EE288" s="66"/>
      <c r="EF288" s="66"/>
      <c r="EG288" s="66"/>
      <c r="EH288" s="66"/>
      <c r="EI288" s="66"/>
      <c r="EJ288" s="66"/>
      <c r="EK288" s="66"/>
      <c r="EL288" s="66"/>
      <c r="EM288" s="66"/>
      <c r="EN288" s="66"/>
      <c r="EO288" s="66"/>
      <c r="EP288" s="66"/>
      <c r="EQ288" s="66"/>
      <c r="ER288" s="66"/>
      <c r="ES288" s="66"/>
      <c r="ET288" s="66"/>
      <c r="EU288" s="66"/>
      <c r="EV288" s="66"/>
      <c r="EW288" s="66"/>
      <c r="EX288" s="66"/>
      <c r="EY288" s="66"/>
      <c r="EZ288" s="66"/>
      <c r="FA288" s="66"/>
      <c r="FB288" s="66"/>
      <c r="FC288" s="66"/>
      <c r="FD288" s="66"/>
      <c r="FE288" s="66"/>
      <c r="FF288" s="66"/>
      <c r="FG288" s="66"/>
      <c r="FH288" s="66"/>
      <c r="FI288" s="66"/>
      <c r="FJ288" s="66"/>
      <c r="FK288" s="66"/>
      <c r="FL288" s="66"/>
      <c r="FM288" s="66"/>
      <c r="FN288" s="66"/>
      <c r="FO288" s="66"/>
      <c r="FP288" s="66"/>
      <c r="FQ288" s="66"/>
      <c r="FR288" s="66"/>
      <c r="FS288" s="66"/>
      <c r="FT288" s="66"/>
      <c r="FU288" s="66"/>
      <c r="FV288" s="66"/>
      <c r="FW288" s="66"/>
      <c r="FX288" s="66"/>
      <c r="FY288" s="66"/>
      <c r="FZ288" s="66"/>
      <c r="GA288" s="66"/>
      <c r="GB288" s="66"/>
      <c r="GC288" s="66"/>
      <c r="GD288" s="66"/>
      <c r="GE288" s="66"/>
      <c r="GF288" s="66"/>
      <c r="GG288" s="66"/>
      <c r="GH288" s="66"/>
      <c r="GI288" s="66"/>
      <c r="GJ288" s="66"/>
      <c r="GK288" s="66"/>
      <c r="GL288" s="66"/>
      <c r="GM288" s="66"/>
      <c r="GN288" s="66"/>
      <c r="GO288" s="66"/>
      <c r="GP288" s="66"/>
      <c r="GQ288" s="66"/>
      <c r="GR288" s="66"/>
      <c r="GS288" s="66"/>
      <c r="GT288" s="66"/>
      <c r="GU288" s="66"/>
      <c r="GV288" s="66"/>
      <c r="GW288" s="66"/>
      <c r="GX288" s="66"/>
    </row>
    <row r="289" spans="1:206" s="273" customFormat="1">
      <c r="A289" s="274"/>
      <c r="B289" s="140" t="s">
        <v>700</v>
      </c>
      <c r="C289" s="280">
        <f>-Wind!U200</f>
        <v>-335.43150000000003</v>
      </c>
      <c r="D289" s="280">
        <f>-Wind!V200</f>
        <v>-391.88838167</v>
      </c>
      <c r="E289" s="280">
        <f>-Wind!W200</f>
        <v>-508.26795851999998</v>
      </c>
      <c r="F289" s="280">
        <f>-Wind!X200</f>
        <v>-645.36882228000002</v>
      </c>
      <c r="G289" s="280">
        <f>-Wind!Y200</f>
        <v>-609.48399145000008</v>
      </c>
      <c r="H289" s="280">
        <f>-Wind!Z200</f>
        <v>-792.69247187999997</v>
      </c>
      <c r="I289" s="280">
        <f>-Wind!AA200</f>
        <v>-917.72362809000003</v>
      </c>
      <c r="J289" s="280">
        <f>-Wind!AB200</f>
        <v>-1687.4807100099999</v>
      </c>
      <c r="K289" s="280"/>
      <c r="L289" s="280">
        <f>-Wind!CB200</f>
        <v>-295.39891418000002</v>
      </c>
      <c r="M289" s="280">
        <f>-Wind!CC200</f>
        <v>-354.69619999999998</v>
      </c>
      <c r="N289" s="280">
        <f>-Wind!CD200</f>
        <v>-459.80795516000001</v>
      </c>
      <c r="O289" s="280">
        <f>-Wind!CE200</f>
        <v>-645.36882228000002</v>
      </c>
      <c r="P289" s="280">
        <f>-Wind!CF200</f>
        <v>-104.0117456</v>
      </c>
      <c r="Q289" s="280">
        <f>-Wind!CG200</f>
        <v>-161.47529893999999</v>
      </c>
      <c r="R289" s="280">
        <f>-Wind!CH200</f>
        <v>-303.68101630000001</v>
      </c>
      <c r="S289" s="280">
        <f>-Wind!CI200</f>
        <v>-609.48399145000008</v>
      </c>
      <c r="T289" s="280">
        <f>-Wind!CJ200</f>
        <v>-200.5013778</v>
      </c>
      <c r="U289" s="280">
        <f>-Wind!CK200</f>
        <v>-319.27072605000001</v>
      </c>
      <c r="V289" s="280">
        <f>-Wind!CL200</f>
        <v>-602.54244848000008</v>
      </c>
      <c r="W289" s="280">
        <f>-Wind!CM200</f>
        <v>-792.69247187999997</v>
      </c>
      <c r="X289" s="280">
        <f>-Wind!CN200</f>
        <v>-210.41831068000002</v>
      </c>
      <c r="Y289" s="280">
        <f>-Wind!CO200</f>
        <v>-392.06190654</v>
      </c>
      <c r="Z289" s="280">
        <f>-Wind!CP200</f>
        <v>-614.91292463000002</v>
      </c>
      <c r="AA289" s="280">
        <f>-Wind!CQ200</f>
        <v>-917.72362809000003</v>
      </c>
      <c r="AB289" s="280">
        <f>-Wind!CR200</f>
        <v>-253.12006146000002</v>
      </c>
      <c r="AC289" s="280">
        <f>-Wind!CS200</f>
        <v>-499.29824238999998</v>
      </c>
      <c r="AD289" s="280">
        <f>-Wind!CT200</f>
        <v>-1006.02310576</v>
      </c>
      <c r="AE289" s="280">
        <f>-Wind!CU200</f>
        <v>-1687.4807100099999</v>
      </c>
      <c r="AF289" s="280">
        <f>-Wind!CV200</f>
        <v>-632.13854128000003</v>
      </c>
      <c r="AG289" s="280">
        <f>-Wind!CW200</f>
        <v>-1012.0374227799999</v>
      </c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  <c r="AR289" s="66"/>
      <c r="AS289" s="66"/>
      <c r="AT289" s="66"/>
      <c r="AU289" s="66"/>
      <c r="AV289" s="66"/>
      <c r="AW289" s="66"/>
      <c r="AX289" s="66"/>
      <c r="AY289" s="66"/>
      <c r="AZ289" s="66"/>
      <c r="BA289" s="66"/>
      <c r="BB289" s="66"/>
      <c r="BC289" s="66"/>
      <c r="BD289" s="66"/>
      <c r="BE289" s="66"/>
      <c r="BF289" s="66"/>
      <c r="BG289" s="66"/>
      <c r="BH289" s="66"/>
      <c r="BI289" s="66"/>
      <c r="BJ289" s="66"/>
      <c r="BK289" s="66"/>
      <c r="BL289" s="66"/>
      <c r="BM289" s="66"/>
      <c r="BN289" s="66"/>
      <c r="BO289" s="66"/>
      <c r="BP289" s="66"/>
      <c r="BQ289" s="66"/>
      <c r="BR289" s="66"/>
      <c r="BS289" s="66"/>
      <c r="BT289" s="66"/>
      <c r="BU289" s="66"/>
      <c r="BV289" s="66"/>
      <c r="BW289" s="66"/>
      <c r="BX289" s="66"/>
      <c r="BY289" s="66"/>
      <c r="BZ289" s="66"/>
      <c r="CA289" s="66"/>
      <c r="CB289" s="66"/>
      <c r="CC289" s="66"/>
      <c r="CD289" s="66"/>
      <c r="CE289" s="66"/>
      <c r="CF289" s="66"/>
      <c r="CG289" s="66"/>
      <c r="CH289" s="66"/>
      <c r="CI289" s="66"/>
      <c r="CJ289" s="66"/>
      <c r="CK289" s="66"/>
      <c r="CL289" s="66"/>
      <c r="CM289" s="66"/>
      <c r="CN289" s="66"/>
      <c r="CO289" s="66"/>
      <c r="CP289" s="66"/>
      <c r="CQ289" s="66"/>
      <c r="CR289" s="66"/>
      <c r="CS289" s="66"/>
      <c r="CT289" s="66"/>
      <c r="CU289" s="66"/>
      <c r="CV289" s="66"/>
      <c r="CW289" s="66"/>
      <c r="CX289" s="66"/>
      <c r="CY289" s="66"/>
      <c r="CZ289" s="66"/>
      <c r="DA289" s="66"/>
      <c r="DB289" s="66"/>
      <c r="DC289" s="66"/>
      <c r="DD289" s="66"/>
      <c r="DE289" s="66"/>
      <c r="DF289" s="66"/>
      <c r="DG289" s="66"/>
      <c r="DH289" s="66"/>
      <c r="DI289" s="66"/>
      <c r="DJ289" s="66"/>
      <c r="DK289" s="66"/>
      <c r="DL289" s="66"/>
      <c r="DM289" s="66"/>
      <c r="DN289" s="66"/>
      <c r="DO289" s="66"/>
      <c r="DP289" s="66"/>
      <c r="DQ289" s="66"/>
      <c r="DR289" s="66"/>
      <c r="DS289" s="66"/>
      <c r="DT289" s="66"/>
      <c r="DU289" s="66"/>
      <c r="DV289" s="66"/>
      <c r="DW289" s="66"/>
      <c r="DX289" s="66"/>
      <c r="DY289" s="66"/>
      <c r="DZ289" s="66"/>
      <c r="EA289" s="66"/>
      <c r="EB289" s="66"/>
      <c r="EC289" s="66"/>
      <c r="ED289" s="66"/>
      <c r="EE289" s="66"/>
      <c r="EF289" s="66"/>
      <c r="EG289" s="66"/>
      <c r="EH289" s="66"/>
      <c r="EI289" s="66"/>
      <c r="EJ289" s="66"/>
      <c r="EK289" s="66"/>
      <c r="EL289" s="66"/>
      <c r="EM289" s="66"/>
      <c r="EN289" s="66"/>
      <c r="EO289" s="66"/>
      <c r="EP289" s="66"/>
      <c r="EQ289" s="66"/>
      <c r="ER289" s="66"/>
      <c r="ES289" s="66"/>
      <c r="ET289" s="66"/>
      <c r="EU289" s="66"/>
      <c r="EV289" s="66"/>
      <c r="EW289" s="66"/>
      <c r="EX289" s="66"/>
      <c r="EY289" s="66"/>
      <c r="EZ289" s="66"/>
      <c r="FA289" s="66"/>
      <c r="FB289" s="66"/>
      <c r="FC289" s="66"/>
      <c r="FD289" s="66"/>
      <c r="FE289" s="66"/>
      <c r="FF289" s="66"/>
      <c r="FG289" s="66"/>
      <c r="FH289" s="66"/>
      <c r="FI289" s="66"/>
      <c r="FJ289" s="66"/>
      <c r="FK289" s="66"/>
      <c r="FL289" s="66"/>
      <c r="FM289" s="66"/>
      <c r="FN289" s="66"/>
      <c r="FO289" s="66"/>
      <c r="FP289" s="66"/>
      <c r="FQ289" s="66"/>
      <c r="FR289" s="66"/>
      <c r="FS289" s="66"/>
      <c r="FT289" s="66"/>
      <c r="FU289" s="66"/>
      <c r="FV289" s="66"/>
      <c r="FW289" s="66"/>
      <c r="FX289" s="66"/>
      <c r="FY289" s="66"/>
      <c r="FZ289" s="66"/>
      <c r="GA289" s="66"/>
      <c r="GB289" s="66"/>
      <c r="GC289" s="66"/>
      <c r="GD289" s="66"/>
      <c r="GE289" s="66"/>
      <c r="GF289" s="66"/>
      <c r="GG289" s="66"/>
      <c r="GH289" s="66"/>
      <c r="GI289" s="66"/>
      <c r="GJ289" s="66"/>
      <c r="GK289" s="66"/>
      <c r="GL289" s="66"/>
      <c r="GM289" s="66"/>
      <c r="GN289" s="66"/>
      <c r="GO289" s="66"/>
      <c r="GP289" s="66"/>
      <c r="GQ289" s="66"/>
      <c r="GR289" s="66"/>
      <c r="GS289" s="66"/>
      <c r="GT289" s="66"/>
      <c r="GU289" s="66"/>
      <c r="GV289" s="66"/>
      <c r="GW289" s="66"/>
      <c r="GX289" s="66"/>
    </row>
    <row r="290" spans="1:206">
      <c r="A290" s="277"/>
      <c r="B290" s="140"/>
      <c r="C290" s="279"/>
      <c r="D290" s="279"/>
      <c r="E290" s="279"/>
      <c r="F290" s="279"/>
      <c r="G290" s="279"/>
      <c r="H290" s="279"/>
      <c r="I290" s="279"/>
      <c r="J290" s="279"/>
      <c r="K290" s="279"/>
      <c r="L290" s="279"/>
      <c r="M290" s="279"/>
      <c r="N290" s="279"/>
      <c r="O290" s="279"/>
      <c r="P290" s="279"/>
      <c r="Q290" s="279"/>
      <c r="R290" s="279"/>
      <c r="S290" s="279"/>
      <c r="T290" s="279"/>
      <c r="U290" s="279"/>
      <c r="V290" s="279"/>
      <c r="W290" s="279"/>
      <c r="X290" s="279"/>
      <c r="Y290" s="279"/>
      <c r="Z290" s="279"/>
      <c r="AA290" s="279"/>
      <c r="AB290" s="279"/>
      <c r="AC290" s="279"/>
      <c r="AD290" s="279"/>
      <c r="AE290" s="279"/>
      <c r="AF290" s="279"/>
      <c r="AG290" s="279"/>
    </row>
    <row r="291" spans="1:206">
      <c r="A291" s="277"/>
      <c r="B291" s="140"/>
      <c r="C291" s="279"/>
      <c r="D291" s="279"/>
      <c r="E291" s="279"/>
      <c r="F291" s="279"/>
      <c r="G291" s="279"/>
      <c r="H291" s="279"/>
      <c r="I291" s="279"/>
      <c r="J291" s="279"/>
      <c r="K291" s="279"/>
      <c r="L291" s="279"/>
      <c r="M291" s="279"/>
      <c r="N291" s="279"/>
      <c r="O291" s="279"/>
      <c r="P291" s="279"/>
      <c r="Q291" s="279"/>
      <c r="R291" s="279"/>
      <c r="S291" s="279"/>
      <c r="T291" s="279"/>
      <c r="U291" s="279"/>
      <c r="V291" s="279"/>
      <c r="W291" s="279"/>
      <c r="X291" s="279"/>
      <c r="Y291" s="279"/>
      <c r="Z291" s="279"/>
      <c r="AA291" s="279"/>
      <c r="AB291" s="279"/>
      <c r="AC291" s="279"/>
      <c r="AD291" s="279"/>
      <c r="AE291" s="279"/>
      <c r="AF291" s="279"/>
      <c r="AG291" s="279"/>
    </row>
    <row r="292" spans="1:206">
      <c r="A292" s="277"/>
      <c r="B292" s="282" t="s">
        <v>699</v>
      </c>
      <c r="C292" s="281">
        <f t="shared" ref="C292:I292" si="144">SUM(C289:C291)</f>
        <v>-335.43150000000003</v>
      </c>
      <c r="D292" s="281">
        <f t="shared" si="144"/>
        <v>-391.88838167</v>
      </c>
      <c r="E292" s="281">
        <f t="shared" si="144"/>
        <v>-508.26795851999998</v>
      </c>
      <c r="F292" s="281">
        <f t="shared" si="144"/>
        <v>-645.36882228000002</v>
      </c>
      <c r="G292" s="281">
        <f t="shared" si="144"/>
        <v>-609.48399145000008</v>
      </c>
      <c r="H292" s="281">
        <f t="shared" si="144"/>
        <v>-792.69247187999997</v>
      </c>
      <c r="I292" s="281">
        <f t="shared" si="144"/>
        <v>-917.72362809000003</v>
      </c>
      <c r="J292" s="281">
        <f>SUM(J289:J291)</f>
        <v>-1687.4807100099999</v>
      </c>
      <c r="K292" s="281"/>
      <c r="L292" s="281">
        <f t="shared" ref="L292:R292" si="145">SUM(L289:L291)</f>
        <v>-295.39891418000002</v>
      </c>
      <c r="M292" s="281">
        <f t="shared" si="145"/>
        <v>-354.69619999999998</v>
      </c>
      <c r="N292" s="281">
        <f t="shared" si="145"/>
        <v>-459.80795516000001</v>
      </c>
      <c r="O292" s="281">
        <f t="shared" si="145"/>
        <v>-645.36882228000002</v>
      </c>
      <c r="P292" s="281">
        <f t="shared" si="145"/>
        <v>-104.0117456</v>
      </c>
      <c r="Q292" s="281">
        <f t="shared" si="145"/>
        <v>-161.47529893999999</v>
      </c>
      <c r="R292" s="281">
        <f t="shared" si="145"/>
        <v>-303.68101630000001</v>
      </c>
      <c r="S292" s="281">
        <f t="shared" ref="S292:AB292" si="146">SUM(S289:S291)</f>
        <v>-609.48399145000008</v>
      </c>
      <c r="T292" s="281">
        <f t="shared" si="146"/>
        <v>-200.5013778</v>
      </c>
      <c r="U292" s="281">
        <f t="shared" si="146"/>
        <v>-319.27072605000001</v>
      </c>
      <c r="V292" s="281">
        <f t="shared" si="146"/>
        <v>-602.54244848000008</v>
      </c>
      <c r="W292" s="281">
        <f t="shared" si="146"/>
        <v>-792.69247187999997</v>
      </c>
      <c r="X292" s="281">
        <f t="shared" si="146"/>
        <v>-210.41831068000002</v>
      </c>
      <c r="Y292" s="281">
        <f t="shared" si="146"/>
        <v>-392.06190654</v>
      </c>
      <c r="Z292" s="281">
        <f t="shared" si="146"/>
        <v>-614.91292463000002</v>
      </c>
      <c r="AA292" s="281">
        <f t="shared" si="146"/>
        <v>-917.72362809000003</v>
      </c>
      <c r="AB292" s="281">
        <f t="shared" si="146"/>
        <v>-253.12006146000002</v>
      </c>
      <c r="AC292" s="281">
        <f>SUM(AC289:AC291)</f>
        <v>-499.29824238999998</v>
      </c>
      <c r="AD292" s="281">
        <f>SUM(AD289:AD291)</f>
        <v>-1006.02310576</v>
      </c>
      <c r="AE292" s="281">
        <f>SUM(AE289:AE291)</f>
        <v>-1687.4807100099999</v>
      </c>
      <c r="AF292" s="281">
        <f t="shared" ref="AF292:AG292" si="147">SUM(AF289:AF291)</f>
        <v>-632.13854128000003</v>
      </c>
      <c r="AG292" s="281">
        <f t="shared" si="147"/>
        <v>-1012.0374227799999</v>
      </c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  <c r="BD292" s="85"/>
      <c r="BE292" s="85"/>
      <c r="BF292" s="85"/>
      <c r="BG292" s="85"/>
      <c r="BH292" s="85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  <c r="BS292" s="85"/>
      <c r="BT292" s="85"/>
      <c r="BU292" s="85"/>
      <c r="BV292" s="85"/>
      <c r="BW292" s="85"/>
      <c r="BX292" s="85"/>
      <c r="BY292" s="85"/>
      <c r="BZ292" s="85"/>
      <c r="CA292" s="85"/>
      <c r="CB292" s="85"/>
      <c r="CC292" s="85"/>
      <c r="CD292" s="85"/>
      <c r="CE292" s="85"/>
      <c r="CF292" s="85"/>
      <c r="CG292" s="85"/>
      <c r="CH292" s="85"/>
      <c r="CI292" s="85"/>
      <c r="CJ292" s="85"/>
      <c r="CK292" s="85"/>
      <c r="CL292" s="85"/>
      <c r="CM292" s="85"/>
      <c r="CN292" s="85"/>
      <c r="CO292" s="85"/>
      <c r="CP292" s="85"/>
      <c r="CQ292" s="85"/>
      <c r="CR292" s="85"/>
      <c r="CS292" s="85"/>
      <c r="CT292" s="85"/>
      <c r="CU292" s="85"/>
      <c r="CV292" s="85"/>
      <c r="CW292" s="85"/>
      <c r="CX292" s="85"/>
      <c r="CY292" s="85"/>
      <c r="CZ292" s="85"/>
      <c r="DA292" s="85"/>
      <c r="DB292" s="85"/>
      <c r="DC292" s="85"/>
      <c r="DD292" s="85"/>
      <c r="DE292" s="85"/>
      <c r="DF292" s="85"/>
      <c r="DG292" s="85"/>
      <c r="DH292" s="85"/>
      <c r="DI292" s="85"/>
      <c r="DJ292" s="85"/>
      <c r="DK292" s="85"/>
      <c r="DL292" s="85"/>
      <c r="DM292" s="85"/>
      <c r="DN292" s="85"/>
      <c r="DO292" s="85"/>
      <c r="DP292" s="85"/>
      <c r="DQ292" s="85"/>
      <c r="DR292" s="85"/>
      <c r="DS292" s="85"/>
      <c r="DT292" s="85"/>
      <c r="DU292" s="85"/>
      <c r="DV292" s="85"/>
      <c r="DW292" s="85"/>
      <c r="DX292" s="85"/>
      <c r="DY292" s="85"/>
      <c r="DZ292" s="85"/>
      <c r="EA292" s="85"/>
      <c r="EB292" s="85"/>
      <c r="EC292" s="85"/>
      <c r="ED292" s="85"/>
      <c r="EE292" s="85"/>
      <c r="EF292" s="85"/>
      <c r="EG292" s="85"/>
      <c r="EH292" s="85"/>
      <c r="EI292" s="85"/>
      <c r="EJ292" s="85"/>
      <c r="EK292" s="85"/>
      <c r="EL292" s="85"/>
      <c r="EM292" s="85"/>
      <c r="EN292" s="85"/>
      <c r="EO292" s="85"/>
      <c r="EP292" s="85"/>
      <c r="EQ292" s="85"/>
      <c r="ER292" s="85"/>
      <c r="ES292" s="85"/>
      <c r="ET292" s="85"/>
      <c r="EU292" s="85"/>
      <c r="EV292" s="85"/>
      <c r="EW292" s="85"/>
      <c r="EX292" s="85"/>
      <c r="EY292" s="85"/>
      <c r="EZ292" s="85"/>
      <c r="FA292" s="85"/>
      <c r="FB292" s="85"/>
      <c r="FC292" s="85"/>
      <c r="FD292" s="85"/>
      <c r="FE292" s="85"/>
      <c r="FF292" s="85"/>
      <c r="FG292" s="85"/>
      <c r="FH292" s="85"/>
      <c r="FI292" s="85"/>
      <c r="FJ292" s="85"/>
      <c r="FK292" s="85"/>
      <c r="FL292" s="85"/>
      <c r="FM292" s="85"/>
      <c r="FN292" s="85"/>
      <c r="FO292" s="85"/>
      <c r="FP292" s="85"/>
      <c r="FQ292" s="85"/>
      <c r="FR292" s="85"/>
      <c r="FS292" s="85"/>
      <c r="FT292" s="85"/>
      <c r="FU292" s="85"/>
      <c r="FV292" s="85"/>
      <c r="FW292" s="85"/>
      <c r="FX292" s="85"/>
      <c r="FY292" s="85"/>
      <c r="FZ292" s="85"/>
      <c r="GA292" s="85"/>
      <c r="GB292" s="85"/>
      <c r="GC292" s="85"/>
      <c r="GD292" s="85"/>
      <c r="GE292" s="85"/>
      <c r="GF292" s="85"/>
      <c r="GG292" s="85"/>
      <c r="GH292" s="85"/>
      <c r="GI292" s="85"/>
      <c r="GJ292" s="85"/>
      <c r="GK292" s="85"/>
      <c r="GL292" s="85"/>
      <c r="GM292" s="85"/>
      <c r="GN292" s="85"/>
      <c r="GO292" s="85"/>
      <c r="GP292" s="85"/>
      <c r="GQ292" s="85"/>
      <c r="GR292" s="85"/>
      <c r="GS292" s="85"/>
      <c r="GT292" s="85"/>
      <c r="GU292" s="85"/>
      <c r="GV292" s="85"/>
      <c r="GW292" s="85"/>
      <c r="GX292" s="85"/>
    </row>
    <row r="293" spans="1:206">
      <c r="A293" s="277"/>
      <c r="B293" s="149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  <c r="BF293" s="85"/>
      <c r="BG293" s="85"/>
      <c r="BH293" s="85"/>
      <c r="BI293" s="85"/>
      <c r="BJ293" s="85"/>
      <c r="BK293" s="85"/>
      <c r="BL293" s="85"/>
      <c r="BM293" s="85"/>
      <c r="BN293" s="85"/>
      <c r="BO293" s="85"/>
      <c r="BP293" s="85"/>
      <c r="BQ293" s="85"/>
      <c r="BR293" s="85"/>
      <c r="BS293" s="85"/>
      <c r="BT293" s="85"/>
      <c r="BU293" s="85"/>
      <c r="BV293" s="85"/>
      <c r="BW293" s="85"/>
      <c r="BX293" s="85"/>
      <c r="BY293" s="85"/>
      <c r="BZ293" s="85"/>
      <c r="CA293" s="85"/>
      <c r="CB293" s="85"/>
      <c r="CC293" s="85"/>
      <c r="CD293" s="85"/>
      <c r="CE293" s="85"/>
      <c r="CF293" s="85"/>
      <c r="CG293" s="85"/>
      <c r="CH293" s="85"/>
      <c r="CI293" s="85"/>
      <c r="CJ293" s="85"/>
      <c r="CK293" s="85"/>
      <c r="CL293" s="85"/>
      <c r="CM293" s="85"/>
      <c r="CN293" s="85"/>
      <c r="CO293" s="85"/>
      <c r="CP293" s="85"/>
      <c r="CQ293" s="85"/>
      <c r="CR293" s="85"/>
      <c r="CS293" s="85"/>
      <c r="CT293" s="85"/>
      <c r="CU293" s="85"/>
      <c r="CV293" s="85"/>
      <c r="CW293" s="85"/>
      <c r="CX293" s="85"/>
      <c r="CY293" s="85"/>
      <c r="CZ293" s="85"/>
      <c r="DA293" s="85"/>
      <c r="DB293" s="85"/>
      <c r="DC293" s="85"/>
      <c r="DD293" s="85"/>
      <c r="DE293" s="85"/>
      <c r="DF293" s="85"/>
      <c r="DG293" s="85"/>
      <c r="DH293" s="85"/>
      <c r="DI293" s="85"/>
      <c r="DJ293" s="85"/>
      <c r="DK293" s="85"/>
      <c r="DL293" s="85"/>
      <c r="DM293" s="85"/>
      <c r="DN293" s="85"/>
      <c r="DO293" s="85"/>
      <c r="DP293" s="85"/>
      <c r="DQ293" s="85"/>
      <c r="DR293" s="85"/>
      <c r="DS293" s="85"/>
      <c r="DT293" s="85"/>
      <c r="DU293" s="85"/>
      <c r="DV293" s="85"/>
      <c r="DW293" s="85"/>
      <c r="DX293" s="85"/>
      <c r="DY293" s="85"/>
      <c r="DZ293" s="85"/>
      <c r="EA293" s="85"/>
      <c r="EB293" s="85"/>
      <c r="EC293" s="85"/>
      <c r="ED293" s="85"/>
      <c r="EE293" s="85"/>
      <c r="EF293" s="85"/>
      <c r="EG293" s="85"/>
      <c r="EH293" s="85"/>
      <c r="EI293" s="85"/>
      <c r="EJ293" s="85"/>
      <c r="EK293" s="85"/>
      <c r="EL293" s="85"/>
      <c r="EM293" s="85"/>
      <c r="EN293" s="85"/>
      <c r="EO293" s="85"/>
      <c r="EP293" s="85"/>
      <c r="EQ293" s="85"/>
      <c r="ER293" s="85"/>
      <c r="ES293" s="85"/>
      <c r="ET293" s="85"/>
      <c r="EU293" s="85"/>
      <c r="EV293" s="85"/>
      <c r="EW293" s="85"/>
      <c r="EX293" s="85"/>
      <c r="EY293" s="85"/>
      <c r="EZ293" s="85"/>
      <c r="FA293" s="85"/>
      <c r="FB293" s="85"/>
      <c r="FC293" s="85"/>
      <c r="FD293" s="85"/>
      <c r="FE293" s="85"/>
      <c r="FF293" s="85"/>
      <c r="FG293" s="85"/>
      <c r="FH293" s="85"/>
      <c r="FI293" s="85"/>
      <c r="FJ293" s="85"/>
      <c r="FK293" s="85"/>
      <c r="FL293" s="85"/>
      <c r="FM293" s="85"/>
      <c r="FN293" s="85"/>
      <c r="FO293" s="85"/>
      <c r="FP293" s="85"/>
      <c r="FQ293" s="85"/>
      <c r="FR293" s="85"/>
      <c r="FS293" s="85"/>
      <c r="FT293" s="85"/>
      <c r="FU293" s="85"/>
      <c r="FV293" s="85"/>
      <c r="FW293" s="85"/>
      <c r="FX293" s="85"/>
      <c r="FY293" s="85"/>
      <c r="FZ293" s="85"/>
      <c r="GA293" s="85"/>
      <c r="GB293" s="85"/>
      <c r="GC293" s="85"/>
      <c r="GD293" s="85"/>
      <c r="GE293" s="85"/>
      <c r="GF293" s="85"/>
      <c r="GG293" s="85"/>
      <c r="GH293" s="85"/>
      <c r="GI293" s="85"/>
      <c r="GJ293" s="85"/>
      <c r="GK293" s="85"/>
      <c r="GL293" s="85"/>
      <c r="GM293" s="85"/>
      <c r="GN293" s="85"/>
      <c r="GO293" s="85"/>
      <c r="GP293" s="85"/>
      <c r="GQ293" s="85"/>
      <c r="GR293" s="85"/>
      <c r="GS293" s="85"/>
      <c r="GT293" s="85"/>
      <c r="GU293" s="85"/>
      <c r="GV293" s="85"/>
      <c r="GW293" s="85"/>
      <c r="GX293" s="85"/>
    </row>
    <row r="294" spans="1:206">
      <c r="A294" s="277"/>
      <c r="B294" s="140" t="s">
        <v>698</v>
      </c>
      <c r="C294" s="279"/>
      <c r="D294" s="279"/>
      <c r="E294" s="279"/>
      <c r="F294" s="279"/>
      <c r="G294" s="279"/>
      <c r="H294" s="279"/>
      <c r="I294" s="279"/>
      <c r="J294" s="279"/>
      <c r="K294" s="279"/>
      <c r="L294" s="279"/>
      <c r="M294" s="279"/>
      <c r="N294" s="279"/>
      <c r="O294" s="279"/>
      <c r="P294" s="279"/>
      <c r="Q294" s="279"/>
      <c r="R294" s="279"/>
      <c r="S294" s="279"/>
      <c r="T294" s="279"/>
      <c r="U294" s="279"/>
      <c r="V294" s="279"/>
      <c r="W294" s="279"/>
      <c r="X294" s="279"/>
      <c r="Y294" s="279"/>
      <c r="Z294" s="279"/>
      <c r="AA294" s="279"/>
      <c r="AB294" s="279"/>
      <c r="AC294" s="279"/>
      <c r="AD294" s="279"/>
      <c r="AE294" s="279"/>
      <c r="AF294" s="279"/>
      <c r="AG294" s="279"/>
    </row>
    <row r="295" spans="1:206" s="85" customFormat="1">
      <c r="A295" s="276"/>
      <c r="B295" s="140" t="s">
        <v>697</v>
      </c>
      <c r="C295" s="280">
        <f>Wind!U194</f>
        <v>0.27900000000000003</v>
      </c>
      <c r="D295" s="280">
        <f>Wind!V194</f>
        <v>0.33450456000000001</v>
      </c>
      <c r="E295" s="280">
        <f>Wind!W194</f>
        <v>6.822555000000001E-2</v>
      </c>
      <c r="F295" s="280">
        <f>Wind!X194</f>
        <v>0.84871743999999993</v>
      </c>
      <c r="G295" s="280">
        <f>Wind!Y194</f>
        <v>3.20214607</v>
      </c>
      <c r="H295" s="280">
        <f>Wind!Z194</f>
        <v>1.7920981999999999</v>
      </c>
      <c r="I295" s="280">
        <f>Wind!AA194</f>
        <v>1.98758853</v>
      </c>
      <c r="J295" s="280">
        <f>Wind!AB194</f>
        <v>3.2052460299999996</v>
      </c>
      <c r="K295" s="280"/>
      <c r="L295" s="280">
        <f>Wind!CB194</f>
        <v>1.5877719999999998E-2</v>
      </c>
      <c r="M295" s="280">
        <f>Wind!CC194</f>
        <v>6.1800000000000001E-2</v>
      </c>
      <c r="N295" s="280">
        <f>Wind!CD194</f>
        <v>0.59230183999999997</v>
      </c>
      <c r="O295" s="280">
        <f>Wind!CE194</f>
        <v>0.84871743999999993</v>
      </c>
      <c r="P295" s="280">
        <f>Wind!CF194</f>
        <v>0.94037773000000002</v>
      </c>
      <c r="Q295" s="280">
        <f>Wind!CG194</f>
        <v>1.42098221</v>
      </c>
      <c r="R295" s="280">
        <f>Wind!CH194</f>
        <v>1.7295485700000002</v>
      </c>
      <c r="S295" s="280">
        <f>Wind!CI194</f>
        <v>3.20214607</v>
      </c>
      <c r="T295" s="280">
        <f>Wind!CJ194</f>
        <v>4.4363263899999996</v>
      </c>
      <c r="U295" s="280">
        <f>Wind!CK194</f>
        <v>0.22262418</v>
      </c>
      <c r="V295" s="280">
        <f>Wind!CL194</f>
        <v>3.6566230699999998</v>
      </c>
      <c r="W295" s="280">
        <f>Wind!CM194</f>
        <v>1.7920981999999999</v>
      </c>
      <c r="X295" s="280">
        <f>Wind!CN194</f>
        <v>2.5510810000000002E-2</v>
      </c>
      <c r="Y295" s="280">
        <f>Wind!CO194</f>
        <v>0.68998208999999999</v>
      </c>
      <c r="Z295" s="280">
        <f>Wind!CP194</f>
        <v>3.0479744599999998</v>
      </c>
      <c r="AA295" s="280">
        <f>Wind!CQ194</f>
        <v>1.98758853</v>
      </c>
      <c r="AB295" s="280">
        <f>Wind!CR194</f>
        <v>5.0693443</v>
      </c>
      <c r="AC295" s="280">
        <f>Wind!CS194</f>
        <v>26.015441969999998</v>
      </c>
      <c r="AD295" s="280">
        <f>Wind!CT194</f>
        <v>3.1867997799999999</v>
      </c>
      <c r="AE295" s="280">
        <f>Wind!CU194</f>
        <v>3.2052460299999996</v>
      </c>
      <c r="AF295" s="280">
        <f>Wind!CV194</f>
        <v>0.16865988000000001</v>
      </c>
      <c r="AG295" s="280">
        <f>Wind!CW194</f>
        <v>0.25549969</v>
      </c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/>
      <c r="AU295" s="66"/>
      <c r="AV295" s="66"/>
      <c r="AW295" s="66"/>
      <c r="AX295" s="66"/>
      <c r="AY295" s="66"/>
      <c r="AZ295" s="66"/>
      <c r="BA295" s="66"/>
      <c r="BB295" s="66"/>
      <c r="BC295" s="66"/>
      <c r="BD295" s="66"/>
      <c r="BE295" s="66"/>
      <c r="BF295" s="66"/>
      <c r="BG295" s="66"/>
      <c r="BH295" s="66"/>
      <c r="BI295" s="66"/>
      <c r="BJ295" s="66"/>
      <c r="BK295" s="66"/>
      <c r="BL295" s="66"/>
      <c r="BM295" s="66"/>
      <c r="BN295" s="66"/>
      <c r="BO295" s="66"/>
      <c r="BP295" s="66"/>
      <c r="BQ295" s="66"/>
      <c r="BR295" s="66"/>
      <c r="BS295" s="66"/>
      <c r="BT295" s="66"/>
      <c r="BU295" s="66"/>
      <c r="BV295" s="66"/>
      <c r="BW295" s="66"/>
      <c r="BX295" s="66"/>
      <c r="BY295" s="66"/>
      <c r="BZ295" s="66"/>
      <c r="CA295" s="66"/>
      <c r="CB295" s="66"/>
      <c r="CC295" s="66"/>
      <c r="CD295" s="66"/>
      <c r="CE295" s="66"/>
      <c r="CF295" s="66"/>
      <c r="CG295" s="66"/>
      <c r="CH295" s="66"/>
      <c r="CI295" s="66"/>
      <c r="CJ295" s="66"/>
      <c r="CK295" s="66"/>
      <c r="CL295" s="66"/>
      <c r="CM295" s="66"/>
      <c r="CN295" s="66"/>
      <c r="CO295" s="66"/>
      <c r="CP295" s="66"/>
      <c r="CQ295" s="66"/>
      <c r="CR295" s="66"/>
      <c r="CS295" s="66"/>
      <c r="CT295" s="66"/>
      <c r="CU295" s="66"/>
      <c r="CV295" s="66"/>
      <c r="CW295" s="66"/>
      <c r="CX295" s="66"/>
      <c r="CY295" s="66"/>
      <c r="CZ295" s="66"/>
      <c r="DA295" s="66"/>
      <c r="DB295" s="66"/>
      <c r="DC295" s="66"/>
      <c r="DD295" s="66"/>
      <c r="DE295" s="66"/>
      <c r="DF295" s="66"/>
      <c r="DG295" s="66"/>
      <c r="DH295" s="66"/>
      <c r="DI295" s="66"/>
      <c r="DJ295" s="66"/>
      <c r="DK295" s="66"/>
      <c r="DL295" s="66"/>
      <c r="DM295" s="66"/>
      <c r="DN295" s="66"/>
      <c r="DO295" s="66"/>
      <c r="DP295" s="66"/>
      <c r="DQ295" s="66"/>
      <c r="DR295" s="66"/>
      <c r="DS295" s="66"/>
      <c r="DT295" s="66"/>
      <c r="DU295" s="66"/>
      <c r="DV295" s="66"/>
      <c r="DW295" s="66"/>
      <c r="DX295" s="66"/>
      <c r="DY295" s="66"/>
      <c r="DZ295" s="66"/>
      <c r="EA295" s="66"/>
      <c r="EB295" s="66"/>
      <c r="EC295" s="66"/>
      <c r="ED295" s="66"/>
      <c r="EE295" s="66"/>
      <c r="EF295" s="66"/>
      <c r="EG295" s="66"/>
      <c r="EH295" s="66"/>
      <c r="EI295" s="66"/>
      <c r="EJ295" s="66"/>
      <c r="EK295" s="66"/>
      <c r="EL295" s="66"/>
      <c r="EM295" s="66"/>
      <c r="EN295" s="66"/>
      <c r="EO295" s="66"/>
      <c r="EP295" s="66"/>
      <c r="EQ295" s="66"/>
      <c r="ER295" s="66"/>
      <c r="ES295" s="66"/>
      <c r="ET295" s="66"/>
      <c r="EU295" s="66"/>
      <c r="EV295" s="66"/>
      <c r="EW295" s="66"/>
      <c r="EX295" s="66"/>
      <c r="EY295" s="66"/>
      <c r="EZ295" s="66"/>
      <c r="FA295" s="66"/>
      <c r="FB295" s="66"/>
      <c r="FC295" s="66"/>
      <c r="FD295" s="66"/>
      <c r="FE295" s="66"/>
      <c r="FF295" s="66"/>
      <c r="FG295" s="66"/>
      <c r="FH295" s="66"/>
      <c r="FI295" s="66"/>
      <c r="FJ295" s="66"/>
      <c r="FK295" s="66"/>
      <c r="FL295" s="66"/>
      <c r="FM295" s="66"/>
      <c r="FN295" s="66"/>
      <c r="FO295" s="66"/>
      <c r="FP295" s="66"/>
      <c r="FQ295" s="66"/>
      <c r="FR295" s="66"/>
      <c r="FS295" s="66"/>
      <c r="FT295" s="66"/>
      <c r="FU295" s="66"/>
      <c r="FV295" s="66"/>
      <c r="FW295" s="66"/>
      <c r="FX295" s="66"/>
      <c r="FY295" s="66"/>
      <c r="FZ295" s="66"/>
      <c r="GA295" s="66"/>
      <c r="GB295" s="66"/>
      <c r="GC295" s="66"/>
      <c r="GD295" s="66"/>
      <c r="GE295" s="66"/>
      <c r="GF295" s="66"/>
      <c r="GG295" s="66"/>
      <c r="GH295" s="66"/>
      <c r="GI295" s="66"/>
      <c r="GJ295" s="66"/>
      <c r="GK295" s="66"/>
      <c r="GL295" s="66"/>
      <c r="GM295" s="66"/>
      <c r="GN295" s="66"/>
      <c r="GO295" s="66"/>
      <c r="GP295" s="66"/>
      <c r="GQ295" s="66"/>
      <c r="GR295" s="66"/>
      <c r="GS295" s="66"/>
      <c r="GT295" s="66"/>
      <c r="GU295" s="66"/>
      <c r="GV295" s="66"/>
      <c r="GW295" s="66"/>
      <c r="GX295" s="66"/>
    </row>
    <row r="296" spans="1:206" s="85" customFormat="1">
      <c r="A296" s="276"/>
      <c r="B296" s="140" t="s">
        <v>696</v>
      </c>
      <c r="C296" s="280"/>
      <c r="D296" s="280"/>
      <c r="E296" s="280"/>
      <c r="F296" s="280"/>
      <c r="G296" s="280"/>
      <c r="H296" s="280"/>
      <c r="I296" s="280"/>
      <c r="J296" s="280"/>
      <c r="K296" s="280"/>
      <c r="L296" s="280"/>
      <c r="M296" s="280"/>
      <c r="N296" s="280"/>
      <c r="O296" s="280"/>
      <c r="P296" s="280"/>
      <c r="Q296" s="280"/>
      <c r="R296" s="280"/>
      <c r="S296" s="280"/>
      <c r="T296" s="280"/>
      <c r="U296" s="280"/>
      <c r="V296" s="280"/>
      <c r="W296" s="280"/>
      <c r="X296" s="280"/>
      <c r="Y296" s="280"/>
      <c r="Z296" s="280"/>
      <c r="AA296" s="280"/>
      <c r="AB296" s="280"/>
      <c r="AC296" s="280"/>
      <c r="AD296" s="280"/>
      <c r="AE296" s="280"/>
      <c r="AF296" s="280"/>
      <c r="AG296" s="280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/>
      <c r="AU296" s="66"/>
      <c r="AV296" s="66"/>
      <c r="AW296" s="66"/>
      <c r="AX296" s="66"/>
      <c r="AY296" s="66"/>
      <c r="AZ296" s="66"/>
      <c r="BA296" s="66"/>
      <c r="BB296" s="66"/>
      <c r="BC296" s="66"/>
      <c r="BD296" s="66"/>
      <c r="BE296" s="66"/>
      <c r="BF296" s="66"/>
      <c r="BG296" s="66"/>
      <c r="BH296" s="66"/>
      <c r="BI296" s="66"/>
      <c r="BJ296" s="66"/>
      <c r="BK296" s="66"/>
      <c r="BL296" s="66"/>
      <c r="BM296" s="66"/>
      <c r="BN296" s="66"/>
      <c r="BO296" s="66"/>
      <c r="BP296" s="66"/>
      <c r="BQ296" s="66"/>
      <c r="BR296" s="66"/>
      <c r="BS296" s="66"/>
      <c r="BT296" s="66"/>
      <c r="BU296" s="66"/>
      <c r="BV296" s="66"/>
      <c r="BW296" s="66"/>
      <c r="BX296" s="66"/>
      <c r="BY296" s="66"/>
      <c r="BZ296" s="66"/>
      <c r="CA296" s="66"/>
      <c r="CB296" s="66"/>
      <c r="CC296" s="66"/>
      <c r="CD296" s="66"/>
      <c r="CE296" s="66"/>
      <c r="CF296" s="66"/>
      <c r="CG296" s="66"/>
      <c r="CH296" s="66"/>
      <c r="CI296" s="66"/>
      <c r="CJ296" s="66"/>
      <c r="CK296" s="66"/>
      <c r="CL296" s="66"/>
      <c r="CM296" s="66"/>
      <c r="CN296" s="66"/>
      <c r="CO296" s="66"/>
      <c r="CP296" s="66"/>
      <c r="CQ296" s="66"/>
      <c r="CR296" s="66"/>
      <c r="CS296" s="66"/>
      <c r="CT296" s="66"/>
      <c r="CU296" s="66"/>
      <c r="CV296" s="66"/>
      <c r="CW296" s="66"/>
      <c r="CX296" s="66"/>
      <c r="CY296" s="66"/>
      <c r="CZ296" s="66"/>
      <c r="DA296" s="66"/>
      <c r="DB296" s="66"/>
      <c r="DC296" s="66"/>
      <c r="DD296" s="66"/>
      <c r="DE296" s="66"/>
      <c r="DF296" s="66"/>
      <c r="DG296" s="66"/>
      <c r="DH296" s="66"/>
      <c r="DI296" s="66"/>
      <c r="DJ296" s="66"/>
      <c r="DK296" s="66"/>
      <c r="DL296" s="66"/>
      <c r="DM296" s="66"/>
      <c r="DN296" s="66"/>
      <c r="DO296" s="66"/>
      <c r="DP296" s="66"/>
      <c r="DQ296" s="66"/>
      <c r="DR296" s="66"/>
      <c r="DS296" s="66"/>
      <c r="DT296" s="66"/>
      <c r="DU296" s="66"/>
      <c r="DV296" s="66"/>
      <c r="DW296" s="66"/>
      <c r="DX296" s="66"/>
      <c r="DY296" s="66"/>
      <c r="DZ296" s="66"/>
      <c r="EA296" s="66"/>
      <c r="EB296" s="66"/>
      <c r="EC296" s="66"/>
      <c r="ED296" s="66"/>
      <c r="EE296" s="66"/>
      <c r="EF296" s="66"/>
      <c r="EG296" s="66"/>
      <c r="EH296" s="66"/>
      <c r="EI296" s="66"/>
      <c r="EJ296" s="66"/>
      <c r="EK296" s="66"/>
      <c r="EL296" s="66"/>
      <c r="EM296" s="66"/>
      <c r="EN296" s="66"/>
      <c r="EO296" s="66"/>
      <c r="EP296" s="66"/>
      <c r="EQ296" s="66"/>
      <c r="ER296" s="66"/>
      <c r="ES296" s="66"/>
      <c r="ET296" s="66"/>
      <c r="EU296" s="66"/>
      <c r="EV296" s="66"/>
      <c r="EW296" s="66"/>
      <c r="EX296" s="66"/>
      <c r="EY296" s="66"/>
      <c r="EZ296" s="66"/>
      <c r="FA296" s="66"/>
      <c r="FB296" s="66"/>
      <c r="FC296" s="66"/>
      <c r="FD296" s="66"/>
      <c r="FE296" s="66"/>
      <c r="FF296" s="66"/>
      <c r="FG296" s="66"/>
      <c r="FH296" s="66"/>
      <c r="FI296" s="66"/>
      <c r="FJ296" s="66"/>
      <c r="FK296" s="66"/>
      <c r="FL296" s="66"/>
      <c r="FM296" s="66"/>
      <c r="FN296" s="66"/>
      <c r="FO296" s="66"/>
      <c r="FP296" s="66"/>
      <c r="FQ296" s="66"/>
      <c r="FR296" s="66"/>
      <c r="FS296" s="66"/>
      <c r="FT296" s="66"/>
      <c r="FU296" s="66"/>
      <c r="FV296" s="66"/>
      <c r="FW296" s="66"/>
      <c r="FX296" s="66"/>
      <c r="FY296" s="66"/>
      <c r="FZ296" s="66"/>
      <c r="GA296" s="66"/>
      <c r="GB296" s="66"/>
      <c r="GC296" s="66"/>
      <c r="GD296" s="66"/>
      <c r="GE296" s="66"/>
      <c r="GF296" s="66"/>
      <c r="GG296" s="66"/>
      <c r="GH296" s="66"/>
      <c r="GI296" s="66"/>
      <c r="GJ296" s="66"/>
      <c r="GK296" s="66"/>
      <c r="GL296" s="66"/>
      <c r="GM296" s="66"/>
      <c r="GN296" s="66"/>
      <c r="GO296" s="66"/>
      <c r="GP296" s="66"/>
      <c r="GQ296" s="66"/>
      <c r="GR296" s="66"/>
      <c r="GS296" s="66"/>
      <c r="GT296" s="66"/>
      <c r="GU296" s="66"/>
      <c r="GV296" s="66"/>
      <c r="GW296" s="66"/>
      <c r="GX296" s="66"/>
    </row>
    <row r="297" spans="1:206">
      <c r="A297" s="277"/>
      <c r="B297" s="140" t="s">
        <v>695</v>
      </c>
      <c r="C297" s="280">
        <f>-Wind!U202</f>
        <v>0</v>
      </c>
      <c r="D297" s="280">
        <f>-Wind!V202</f>
        <v>0</v>
      </c>
      <c r="E297" s="280">
        <f>-Wind!W202</f>
        <v>0</v>
      </c>
      <c r="F297" s="280">
        <f>-Wind!X202</f>
        <v>0</v>
      </c>
      <c r="G297" s="280">
        <f>-Wind!Y202</f>
        <v>0</v>
      </c>
      <c r="H297" s="280">
        <f>-Wind!Z202</f>
        <v>0</v>
      </c>
      <c r="I297" s="280">
        <f>-Wind!AA202</f>
        <v>-5.4295691799999997</v>
      </c>
      <c r="J297" s="280">
        <f>-Wind!AB202</f>
        <v>0</v>
      </c>
      <c r="K297" s="280"/>
      <c r="L297" s="280">
        <f>-Wind!CB202</f>
        <v>0</v>
      </c>
      <c r="M297" s="280">
        <f>-Wind!CC202</f>
        <v>0</v>
      </c>
      <c r="N297" s="280">
        <f>-Wind!CD202</f>
        <v>0</v>
      </c>
      <c r="O297" s="280">
        <f>-Wind!CE202</f>
        <v>0</v>
      </c>
      <c r="P297" s="280">
        <f>-Wind!CF202</f>
        <v>0</v>
      </c>
      <c r="Q297" s="280">
        <f>-Wind!CG202</f>
        <v>0</v>
      </c>
      <c r="R297" s="280">
        <f>-Wind!CH202</f>
        <v>0</v>
      </c>
      <c r="S297" s="280">
        <f>-Wind!CI202</f>
        <v>0</v>
      </c>
      <c r="T297" s="280">
        <f>-Wind!CJ202</f>
        <v>0</v>
      </c>
      <c r="U297" s="280">
        <f>-Wind!CK202</f>
        <v>0</v>
      </c>
      <c r="V297" s="280">
        <f>-Wind!CL202</f>
        <v>0</v>
      </c>
      <c r="W297" s="280">
        <f>-Wind!CM202</f>
        <v>0</v>
      </c>
      <c r="X297" s="280">
        <f>-Wind!CN202</f>
        <v>0</v>
      </c>
      <c r="Y297" s="280">
        <f>-Wind!CO202</f>
        <v>0</v>
      </c>
      <c r="Z297" s="280">
        <f>-Wind!CP202</f>
        <v>0</v>
      </c>
      <c r="AA297" s="280">
        <f>-Wind!CQ202</f>
        <v>-5.4295691799999997</v>
      </c>
      <c r="AB297" s="280">
        <f>-Wind!CR202</f>
        <v>0</v>
      </c>
      <c r="AC297" s="280">
        <f>-Wind!CS202</f>
        <v>0</v>
      </c>
      <c r="AD297" s="280">
        <f>-Wind!CT202</f>
        <v>0</v>
      </c>
      <c r="AE297" s="280">
        <f>-Wind!CU202</f>
        <v>0</v>
      </c>
      <c r="AF297" s="280">
        <f>-Wind!CV202</f>
        <v>-384.78883263</v>
      </c>
      <c r="AG297" s="280">
        <f>-Wind!CW202</f>
        <v>-355.96635198000001</v>
      </c>
    </row>
    <row r="298" spans="1:206">
      <c r="A298" s="277"/>
      <c r="B298" s="140" t="s">
        <v>667</v>
      </c>
      <c r="C298" s="279"/>
      <c r="D298" s="279"/>
      <c r="E298" s="279"/>
      <c r="F298" s="279"/>
      <c r="G298" s="279"/>
      <c r="H298" s="279"/>
      <c r="I298" s="279"/>
      <c r="J298" s="279"/>
      <c r="K298" s="279"/>
      <c r="L298" s="279"/>
      <c r="M298" s="279"/>
      <c r="N298" s="279"/>
      <c r="O298" s="279"/>
      <c r="P298" s="279"/>
      <c r="Q298" s="279"/>
      <c r="R298" s="279"/>
      <c r="S298" s="279"/>
      <c r="T298" s="279"/>
      <c r="U298" s="279"/>
      <c r="V298" s="279"/>
      <c r="W298" s="279"/>
      <c r="X298" s="279"/>
      <c r="Y298" s="279"/>
      <c r="Z298" s="279"/>
      <c r="AA298" s="279"/>
      <c r="AB298" s="279"/>
      <c r="AC298" s="279"/>
      <c r="AD298" s="279"/>
      <c r="AE298" s="279"/>
      <c r="AF298" s="279"/>
      <c r="AG298" s="279"/>
    </row>
    <row r="299" spans="1:206">
      <c r="A299" s="277"/>
      <c r="B299" s="140" t="s">
        <v>667</v>
      </c>
      <c r="C299" s="279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79"/>
      <c r="W299" s="279"/>
      <c r="X299" s="279"/>
      <c r="Y299" s="279"/>
      <c r="Z299" s="279"/>
      <c r="AA299" s="279"/>
      <c r="AB299" s="279"/>
      <c r="AC299" s="279"/>
      <c r="AD299" s="279"/>
      <c r="AE299" s="279"/>
      <c r="AF299" s="279"/>
      <c r="AG299" s="279"/>
    </row>
    <row r="300" spans="1:206">
      <c r="A300" s="277"/>
      <c r="B300" s="282" t="s">
        <v>694</v>
      </c>
      <c r="C300" s="281">
        <f t="shared" ref="C300:I300" si="148">SUM(C294:C299)</f>
        <v>0.27900000000000003</v>
      </c>
      <c r="D300" s="281">
        <f t="shared" si="148"/>
        <v>0.33450456000000001</v>
      </c>
      <c r="E300" s="281">
        <f t="shared" si="148"/>
        <v>6.822555000000001E-2</v>
      </c>
      <c r="F300" s="281">
        <f t="shared" si="148"/>
        <v>0.84871743999999993</v>
      </c>
      <c r="G300" s="281">
        <f t="shared" si="148"/>
        <v>3.20214607</v>
      </c>
      <c r="H300" s="281">
        <f t="shared" si="148"/>
        <v>1.7920981999999999</v>
      </c>
      <c r="I300" s="281">
        <f t="shared" si="148"/>
        <v>-3.4419806499999996</v>
      </c>
      <c r="J300" s="281">
        <f>SUM(J294:J299)</f>
        <v>3.2052460299999996</v>
      </c>
      <c r="K300" s="281"/>
      <c r="L300" s="281">
        <f t="shared" ref="L300:R300" si="149">SUM(L294:L299)</f>
        <v>1.5877719999999998E-2</v>
      </c>
      <c r="M300" s="281">
        <f t="shared" si="149"/>
        <v>6.1800000000000001E-2</v>
      </c>
      <c r="N300" s="281">
        <f t="shared" si="149"/>
        <v>0.59230183999999997</v>
      </c>
      <c r="O300" s="281">
        <f t="shared" si="149"/>
        <v>0.84871743999999993</v>
      </c>
      <c r="P300" s="281">
        <f t="shared" si="149"/>
        <v>0.94037773000000002</v>
      </c>
      <c r="Q300" s="281">
        <f t="shared" si="149"/>
        <v>1.42098221</v>
      </c>
      <c r="R300" s="281">
        <f t="shared" si="149"/>
        <v>1.7295485700000002</v>
      </c>
      <c r="S300" s="281">
        <f t="shared" ref="S300:AB300" si="150">SUM(S294:S299)</f>
        <v>3.20214607</v>
      </c>
      <c r="T300" s="281">
        <f t="shared" si="150"/>
        <v>4.4363263899999996</v>
      </c>
      <c r="U300" s="281">
        <f t="shared" si="150"/>
        <v>0.22262418</v>
      </c>
      <c r="V300" s="281">
        <f t="shared" si="150"/>
        <v>3.6566230699999998</v>
      </c>
      <c r="W300" s="281">
        <f t="shared" si="150"/>
        <v>1.7920981999999999</v>
      </c>
      <c r="X300" s="281">
        <f t="shared" si="150"/>
        <v>2.5510810000000002E-2</v>
      </c>
      <c r="Y300" s="281">
        <f t="shared" si="150"/>
        <v>0.68998208999999999</v>
      </c>
      <c r="Z300" s="281">
        <f t="shared" si="150"/>
        <v>3.0479744599999998</v>
      </c>
      <c r="AA300" s="281">
        <f t="shared" si="150"/>
        <v>-3.4419806499999996</v>
      </c>
      <c r="AB300" s="281">
        <f t="shared" si="150"/>
        <v>5.0693443</v>
      </c>
      <c r="AC300" s="281">
        <f>SUM(AC294:AC299)</f>
        <v>26.015441969999998</v>
      </c>
      <c r="AD300" s="281">
        <f>SUM(AD294:AD299)</f>
        <v>3.1867997799999999</v>
      </c>
      <c r="AE300" s="281">
        <f>SUM(AE294:AE299)</f>
        <v>3.2052460299999996</v>
      </c>
      <c r="AF300" s="281">
        <f t="shared" ref="AF300:AG300" si="151">SUM(AF294:AF299)</f>
        <v>-384.62017274999999</v>
      </c>
      <c r="AG300" s="281">
        <f t="shared" si="151"/>
        <v>-355.71085228999999</v>
      </c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5"/>
      <c r="CC300" s="85"/>
      <c r="CD300" s="85"/>
      <c r="CE300" s="85"/>
      <c r="CF300" s="85"/>
      <c r="CG300" s="85"/>
      <c r="CH300" s="85"/>
      <c r="CI300" s="85"/>
      <c r="CJ300" s="85"/>
      <c r="CK300" s="85"/>
      <c r="CL300" s="85"/>
      <c r="CM300" s="85"/>
      <c r="CN300" s="85"/>
      <c r="CO300" s="85"/>
      <c r="CP300" s="85"/>
      <c r="CQ300" s="85"/>
      <c r="CR300" s="85"/>
      <c r="CS300" s="85"/>
      <c r="CT300" s="85"/>
      <c r="CU300" s="85"/>
      <c r="CV300" s="85"/>
      <c r="CW300" s="85"/>
      <c r="CX300" s="85"/>
      <c r="CY300" s="85"/>
      <c r="CZ300" s="85"/>
      <c r="DA300" s="85"/>
      <c r="DB300" s="85"/>
      <c r="DC300" s="85"/>
      <c r="DD300" s="85"/>
      <c r="DE300" s="85"/>
      <c r="DF300" s="85"/>
      <c r="DG300" s="85"/>
      <c r="DH300" s="85"/>
      <c r="DI300" s="85"/>
      <c r="DJ300" s="85"/>
      <c r="DK300" s="85"/>
      <c r="DL300" s="85"/>
      <c r="DM300" s="85"/>
      <c r="DN300" s="85"/>
      <c r="DO300" s="85"/>
      <c r="DP300" s="85"/>
      <c r="DQ300" s="85"/>
      <c r="DR300" s="85"/>
      <c r="DS300" s="85"/>
      <c r="DT300" s="85"/>
      <c r="DU300" s="85"/>
      <c r="DV300" s="85"/>
      <c r="DW300" s="85"/>
      <c r="DX300" s="85"/>
      <c r="DY300" s="85"/>
      <c r="DZ300" s="85"/>
      <c r="EA300" s="85"/>
      <c r="EB300" s="85"/>
      <c r="EC300" s="85"/>
      <c r="ED300" s="85"/>
      <c r="EE300" s="85"/>
      <c r="EF300" s="85"/>
      <c r="EG300" s="85"/>
      <c r="EH300" s="85"/>
      <c r="EI300" s="85"/>
      <c r="EJ300" s="85"/>
      <c r="EK300" s="85"/>
      <c r="EL300" s="85"/>
      <c r="EM300" s="85"/>
      <c r="EN300" s="85"/>
      <c r="EO300" s="85"/>
      <c r="EP300" s="85"/>
      <c r="EQ300" s="85"/>
      <c r="ER300" s="85"/>
      <c r="ES300" s="85"/>
      <c r="ET300" s="85"/>
      <c r="EU300" s="85"/>
      <c r="EV300" s="85"/>
      <c r="EW300" s="85"/>
      <c r="EX300" s="85"/>
      <c r="EY300" s="85"/>
      <c r="EZ300" s="85"/>
      <c r="FA300" s="85"/>
      <c r="FB300" s="85"/>
      <c r="FC300" s="85"/>
      <c r="FD300" s="85"/>
      <c r="FE300" s="85"/>
      <c r="FF300" s="85"/>
      <c r="FG300" s="85"/>
      <c r="FH300" s="85"/>
      <c r="FI300" s="85"/>
      <c r="FJ300" s="85"/>
      <c r="FK300" s="85"/>
      <c r="FL300" s="85"/>
      <c r="FM300" s="85"/>
      <c r="FN300" s="85"/>
      <c r="FO300" s="85"/>
      <c r="FP300" s="85"/>
      <c r="FQ300" s="85"/>
      <c r="FR300" s="85"/>
      <c r="FS300" s="85"/>
      <c r="FT300" s="85"/>
      <c r="FU300" s="85"/>
      <c r="FV300" s="85"/>
      <c r="FW300" s="85"/>
      <c r="FX300" s="85"/>
      <c r="FY300" s="85"/>
      <c r="FZ300" s="85"/>
      <c r="GA300" s="85"/>
      <c r="GB300" s="85"/>
      <c r="GC300" s="85"/>
      <c r="GD300" s="85"/>
      <c r="GE300" s="85"/>
      <c r="GF300" s="85"/>
      <c r="GG300" s="85"/>
      <c r="GH300" s="85"/>
      <c r="GI300" s="85"/>
      <c r="GJ300" s="85"/>
      <c r="GK300" s="85"/>
      <c r="GL300" s="85"/>
      <c r="GM300" s="85"/>
      <c r="GN300" s="85"/>
      <c r="GO300" s="85"/>
      <c r="GP300" s="85"/>
      <c r="GQ300" s="85"/>
      <c r="GR300" s="85"/>
      <c r="GS300" s="85"/>
      <c r="GT300" s="85"/>
      <c r="GU300" s="85"/>
      <c r="GV300" s="85"/>
      <c r="GW300" s="85"/>
      <c r="GX300" s="85"/>
    </row>
    <row r="301" spans="1:206">
      <c r="A301" s="277"/>
      <c r="C301" s="279"/>
      <c r="D301" s="279"/>
      <c r="E301" s="279"/>
      <c r="F301" s="279"/>
      <c r="G301" s="279"/>
      <c r="H301" s="279"/>
      <c r="I301" s="279"/>
      <c r="J301" s="279"/>
      <c r="K301" s="279"/>
      <c r="L301" s="279"/>
      <c r="M301" s="279"/>
      <c r="N301" s="279"/>
      <c r="O301" s="279"/>
      <c r="P301" s="279"/>
      <c r="Q301" s="279"/>
      <c r="R301" s="279"/>
      <c r="S301" s="279"/>
      <c r="T301" s="279"/>
      <c r="U301" s="279"/>
      <c r="V301" s="279"/>
      <c r="W301" s="279"/>
      <c r="X301" s="279"/>
      <c r="Y301" s="279"/>
      <c r="Z301" s="279"/>
      <c r="AA301" s="279"/>
      <c r="AB301" s="279"/>
      <c r="AC301" s="279"/>
      <c r="AD301" s="279"/>
      <c r="AE301" s="279"/>
      <c r="AF301" s="279"/>
      <c r="AG301" s="279"/>
    </row>
    <row r="302" spans="1:206">
      <c r="A302" s="277"/>
      <c r="B302" s="140" t="s">
        <v>693</v>
      </c>
      <c r="C302" s="279"/>
      <c r="D302" s="279"/>
      <c r="E302" s="279"/>
      <c r="F302" s="279"/>
      <c r="G302" s="279"/>
      <c r="H302" s="279"/>
      <c r="I302" s="279"/>
      <c r="J302" s="279"/>
      <c r="K302" s="279"/>
      <c r="L302" s="279"/>
      <c r="M302" s="279"/>
      <c r="N302" s="279"/>
      <c r="O302" s="279"/>
      <c r="P302" s="279"/>
      <c r="Q302" s="279"/>
      <c r="R302" s="279"/>
      <c r="S302" s="279"/>
      <c r="T302" s="279"/>
      <c r="U302" s="279"/>
      <c r="V302" s="279"/>
      <c r="W302" s="279"/>
      <c r="X302" s="279"/>
      <c r="Y302" s="279"/>
      <c r="Z302" s="279"/>
      <c r="AA302" s="279"/>
      <c r="AB302" s="279"/>
      <c r="AC302" s="279"/>
      <c r="AD302" s="279"/>
      <c r="AE302" s="279"/>
      <c r="AF302" s="279"/>
      <c r="AG302" s="279"/>
    </row>
    <row r="303" spans="1:206" s="85" customFormat="1">
      <c r="A303" s="276"/>
      <c r="B303" s="140" t="s">
        <v>692</v>
      </c>
      <c r="C303" s="279"/>
      <c r="D303" s="279"/>
      <c r="E303" s="279"/>
      <c r="F303" s="279"/>
      <c r="G303" s="279"/>
      <c r="H303" s="279"/>
      <c r="I303" s="279"/>
      <c r="J303" s="279"/>
      <c r="K303" s="279"/>
      <c r="L303" s="279"/>
      <c r="M303" s="279"/>
      <c r="N303" s="279"/>
      <c r="O303" s="279"/>
      <c r="P303" s="279"/>
      <c r="Q303" s="279"/>
      <c r="R303" s="279"/>
      <c r="S303" s="279"/>
      <c r="T303" s="279"/>
      <c r="U303" s="279"/>
      <c r="V303" s="279"/>
      <c r="W303" s="279"/>
      <c r="X303" s="279"/>
      <c r="Y303" s="279"/>
      <c r="Z303" s="279"/>
      <c r="AA303" s="279"/>
      <c r="AB303" s="279"/>
      <c r="AC303" s="279"/>
      <c r="AD303" s="279"/>
      <c r="AE303" s="279"/>
      <c r="AF303" s="279"/>
      <c r="AG303" s="279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66"/>
      <c r="AU303" s="66"/>
      <c r="AV303" s="66"/>
      <c r="AW303" s="66"/>
      <c r="AX303" s="66"/>
      <c r="AY303" s="66"/>
      <c r="AZ303" s="66"/>
      <c r="BA303" s="66"/>
      <c r="BB303" s="66"/>
      <c r="BC303" s="66"/>
      <c r="BD303" s="66"/>
      <c r="BE303" s="66"/>
      <c r="BF303" s="66"/>
      <c r="BG303" s="66"/>
      <c r="BH303" s="66"/>
      <c r="BI303" s="66"/>
      <c r="BJ303" s="66"/>
      <c r="BK303" s="66"/>
      <c r="BL303" s="66"/>
      <c r="BM303" s="66"/>
      <c r="BN303" s="66"/>
      <c r="BO303" s="66"/>
      <c r="BP303" s="66"/>
      <c r="BQ303" s="66"/>
      <c r="BR303" s="66"/>
      <c r="BS303" s="66"/>
      <c r="BT303" s="66"/>
      <c r="BU303" s="66"/>
      <c r="BV303" s="66"/>
      <c r="BW303" s="66"/>
      <c r="BX303" s="66"/>
      <c r="BY303" s="66"/>
      <c r="BZ303" s="66"/>
      <c r="CA303" s="66"/>
      <c r="CB303" s="66"/>
      <c r="CC303" s="66"/>
      <c r="CD303" s="66"/>
      <c r="CE303" s="66"/>
      <c r="CF303" s="66"/>
      <c r="CG303" s="66"/>
      <c r="CH303" s="66"/>
      <c r="CI303" s="66"/>
      <c r="CJ303" s="66"/>
      <c r="CK303" s="66"/>
      <c r="CL303" s="66"/>
      <c r="CM303" s="66"/>
      <c r="CN303" s="66"/>
      <c r="CO303" s="66"/>
      <c r="CP303" s="66"/>
      <c r="CQ303" s="66"/>
      <c r="CR303" s="66"/>
      <c r="CS303" s="66"/>
      <c r="CT303" s="66"/>
      <c r="CU303" s="66"/>
      <c r="CV303" s="66"/>
      <c r="CW303" s="66"/>
      <c r="CX303" s="66"/>
      <c r="CY303" s="66"/>
      <c r="CZ303" s="66"/>
      <c r="DA303" s="66"/>
      <c r="DB303" s="66"/>
      <c r="DC303" s="66"/>
      <c r="DD303" s="66"/>
      <c r="DE303" s="66"/>
      <c r="DF303" s="66"/>
      <c r="DG303" s="66"/>
      <c r="DH303" s="66"/>
      <c r="DI303" s="66"/>
      <c r="DJ303" s="66"/>
      <c r="DK303" s="66"/>
      <c r="DL303" s="66"/>
      <c r="DM303" s="66"/>
      <c r="DN303" s="66"/>
      <c r="DO303" s="66"/>
      <c r="DP303" s="66"/>
      <c r="DQ303" s="66"/>
      <c r="DR303" s="66"/>
      <c r="DS303" s="66"/>
      <c r="DT303" s="66"/>
      <c r="DU303" s="66"/>
      <c r="DV303" s="66"/>
      <c r="DW303" s="66"/>
      <c r="DX303" s="66"/>
      <c r="DY303" s="66"/>
      <c r="DZ303" s="66"/>
      <c r="EA303" s="66"/>
      <c r="EB303" s="66"/>
      <c r="EC303" s="66"/>
      <c r="ED303" s="66"/>
      <c r="EE303" s="66"/>
      <c r="EF303" s="66"/>
      <c r="EG303" s="66"/>
      <c r="EH303" s="66"/>
      <c r="EI303" s="66"/>
      <c r="EJ303" s="66"/>
      <c r="EK303" s="66"/>
      <c r="EL303" s="66"/>
      <c r="EM303" s="66"/>
      <c r="EN303" s="66"/>
      <c r="EO303" s="66"/>
      <c r="EP303" s="66"/>
      <c r="EQ303" s="66"/>
      <c r="ER303" s="66"/>
      <c r="ES303" s="66"/>
      <c r="ET303" s="66"/>
      <c r="EU303" s="66"/>
      <c r="EV303" s="66"/>
      <c r="EW303" s="66"/>
      <c r="EX303" s="66"/>
      <c r="EY303" s="66"/>
      <c r="EZ303" s="66"/>
      <c r="FA303" s="66"/>
      <c r="FB303" s="66"/>
      <c r="FC303" s="66"/>
      <c r="FD303" s="66"/>
      <c r="FE303" s="66"/>
      <c r="FF303" s="66"/>
      <c r="FG303" s="66"/>
      <c r="FH303" s="66"/>
      <c r="FI303" s="66"/>
      <c r="FJ303" s="66"/>
      <c r="FK303" s="66"/>
      <c r="FL303" s="66"/>
      <c r="FM303" s="66"/>
      <c r="FN303" s="66"/>
      <c r="FO303" s="66"/>
      <c r="FP303" s="66"/>
      <c r="FQ303" s="66"/>
      <c r="FR303" s="66"/>
      <c r="FS303" s="66"/>
      <c r="FT303" s="66"/>
      <c r="FU303" s="66"/>
      <c r="FV303" s="66"/>
      <c r="FW303" s="66"/>
      <c r="FX303" s="66"/>
      <c r="FY303" s="66"/>
      <c r="FZ303" s="66"/>
      <c r="GA303" s="66"/>
      <c r="GB303" s="66"/>
      <c r="GC303" s="66"/>
      <c r="GD303" s="66"/>
      <c r="GE303" s="66"/>
      <c r="GF303" s="66"/>
      <c r="GG303" s="66"/>
      <c r="GH303" s="66"/>
      <c r="GI303" s="66"/>
      <c r="GJ303" s="66"/>
      <c r="GK303" s="66"/>
      <c r="GL303" s="66"/>
      <c r="GM303" s="66"/>
      <c r="GN303" s="66"/>
      <c r="GO303" s="66"/>
      <c r="GP303" s="66"/>
      <c r="GQ303" s="66"/>
      <c r="GR303" s="66"/>
      <c r="GS303" s="66"/>
      <c r="GT303" s="66"/>
      <c r="GU303" s="66"/>
      <c r="GV303" s="66"/>
      <c r="GW303" s="66"/>
      <c r="GX303" s="66"/>
    </row>
    <row r="304" spans="1:206">
      <c r="A304" s="277"/>
      <c r="B304" s="140" t="s">
        <v>691</v>
      </c>
      <c r="C304" s="279"/>
      <c r="D304" s="279"/>
      <c r="E304" s="279"/>
      <c r="F304" s="279"/>
      <c r="G304" s="279"/>
      <c r="H304" s="279"/>
      <c r="I304" s="279"/>
      <c r="J304" s="279"/>
      <c r="K304" s="279"/>
      <c r="L304" s="279"/>
      <c r="M304" s="279"/>
      <c r="N304" s="279"/>
      <c r="O304" s="279"/>
      <c r="P304" s="279"/>
      <c r="Q304" s="279"/>
      <c r="R304" s="279"/>
      <c r="S304" s="279"/>
      <c r="T304" s="279"/>
      <c r="U304" s="279"/>
      <c r="V304" s="279"/>
      <c r="W304" s="279"/>
      <c r="X304" s="279"/>
      <c r="Y304" s="279"/>
      <c r="Z304" s="279"/>
      <c r="AA304" s="279"/>
      <c r="AB304" s="279"/>
      <c r="AC304" s="279"/>
      <c r="AD304" s="279"/>
      <c r="AE304" s="279"/>
      <c r="AF304" s="279"/>
      <c r="AG304" s="279"/>
    </row>
    <row r="305" spans="1:206">
      <c r="A305" s="277"/>
      <c r="B305" s="140" t="s">
        <v>690</v>
      </c>
      <c r="C305" s="279"/>
      <c r="D305" s="279"/>
      <c r="E305" s="279"/>
      <c r="F305" s="279"/>
      <c r="G305" s="279"/>
      <c r="H305" s="279"/>
      <c r="I305" s="279"/>
      <c r="J305" s="279"/>
      <c r="K305" s="279"/>
      <c r="L305" s="279"/>
      <c r="M305" s="279"/>
      <c r="N305" s="279"/>
      <c r="O305" s="279"/>
      <c r="P305" s="279"/>
      <c r="Q305" s="279"/>
      <c r="R305" s="279"/>
      <c r="S305" s="279"/>
      <c r="T305" s="279"/>
      <c r="U305" s="279"/>
      <c r="V305" s="279"/>
      <c r="W305" s="279"/>
      <c r="X305" s="279"/>
      <c r="Y305" s="279"/>
      <c r="Z305" s="279"/>
      <c r="AA305" s="279"/>
      <c r="AB305" s="279"/>
      <c r="AC305" s="279"/>
      <c r="AD305" s="279"/>
      <c r="AE305" s="279"/>
      <c r="AF305" s="279"/>
      <c r="AG305" s="279"/>
    </row>
    <row r="306" spans="1:206">
      <c r="A306" s="277"/>
      <c r="B306" s="140" t="s">
        <v>689</v>
      </c>
      <c r="C306" s="279"/>
      <c r="D306" s="279"/>
      <c r="E306" s="279"/>
      <c r="F306" s="279"/>
      <c r="G306" s="279"/>
      <c r="H306" s="279"/>
      <c r="I306" s="279"/>
      <c r="J306" s="279"/>
      <c r="K306" s="279"/>
      <c r="L306" s="279"/>
      <c r="M306" s="279"/>
      <c r="N306" s="279"/>
      <c r="O306" s="279"/>
      <c r="P306" s="279"/>
      <c r="Q306" s="279"/>
      <c r="R306" s="279"/>
      <c r="S306" s="279"/>
      <c r="T306" s="279"/>
      <c r="U306" s="279"/>
      <c r="V306" s="279"/>
      <c r="W306" s="279"/>
      <c r="X306" s="279"/>
      <c r="Y306" s="279"/>
      <c r="Z306" s="279"/>
      <c r="AA306" s="279"/>
      <c r="AB306" s="279"/>
      <c r="AC306" s="279"/>
      <c r="AD306" s="279"/>
      <c r="AE306" s="279"/>
      <c r="AF306" s="279"/>
      <c r="AG306" s="279"/>
    </row>
    <row r="307" spans="1:206">
      <c r="A307" s="277"/>
      <c r="B307" s="140" t="s">
        <v>688</v>
      </c>
      <c r="C307" s="280">
        <f>Wind!U195</f>
        <v>0</v>
      </c>
      <c r="D307" s="280">
        <f>Wind!V195</f>
        <v>0</v>
      </c>
      <c r="E307" s="280">
        <f>Wind!W195</f>
        <v>0</v>
      </c>
      <c r="F307" s="280">
        <f>Wind!X195</f>
        <v>0</v>
      </c>
      <c r="G307" s="280">
        <f>Wind!Y195</f>
        <v>0</v>
      </c>
      <c r="H307" s="280">
        <f>Wind!Z195</f>
        <v>0</v>
      </c>
      <c r="I307" s="280">
        <f>Wind!AA195</f>
        <v>13.02203201</v>
      </c>
      <c r="J307" s="280">
        <f>Wind!AB195</f>
        <v>0</v>
      </c>
      <c r="K307" s="280"/>
      <c r="L307" s="280">
        <f>Wind!CB195</f>
        <v>0</v>
      </c>
      <c r="M307" s="280">
        <f>Wind!CC195</f>
        <v>0</v>
      </c>
      <c r="N307" s="280">
        <f>Wind!CD195</f>
        <v>0</v>
      </c>
      <c r="O307" s="280">
        <f>Wind!CE195</f>
        <v>0</v>
      </c>
      <c r="P307" s="280">
        <f>Wind!CF195</f>
        <v>0</v>
      </c>
      <c r="Q307" s="280">
        <f>Wind!CG195</f>
        <v>0</v>
      </c>
      <c r="R307" s="280">
        <f>Wind!CH195</f>
        <v>0</v>
      </c>
      <c r="S307" s="280">
        <f>Wind!CI195</f>
        <v>0</v>
      </c>
      <c r="T307" s="280">
        <f>Wind!CJ195</f>
        <v>0</v>
      </c>
      <c r="U307" s="280">
        <f>Wind!CK195</f>
        <v>0</v>
      </c>
      <c r="V307" s="280">
        <f>Wind!CL195</f>
        <v>0</v>
      </c>
      <c r="W307" s="280">
        <f>Wind!CM195</f>
        <v>0</v>
      </c>
      <c r="X307" s="280">
        <f>Wind!CN195</f>
        <v>0</v>
      </c>
      <c r="Y307" s="280">
        <f>Wind!CO195</f>
        <v>13.02203201</v>
      </c>
      <c r="Z307" s="280">
        <f>Wind!CP195</f>
        <v>13.02203201</v>
      </c>
      <c r="AA307" s="280">
        <f>Wind!CQ195</f>
        <v>13.02203201</v>
      </c>
      <c r="AB307" s="280">
        <f>Wind!CR195</f>
        <v>0</v>
      </c>
      <c r="AC307" s="280">
        <f>Wind!CS195</f>
        <v>0</v>
      </c>
      <c r="AD307" s="280">
        <f>Wind!CT195</f>
        <v>0</v>
      </c>
      <c r="AE307" s="280">
        <f>Wind!CU195</f>
        <v>0</v>
      </c>
      <c r="AF307" s="280">
        <f>Wind!CV195</f>
        <v>0</v>
      </c>
      <c r="AG307" s="280">
        <f>Wind!CW195</f>
        <v>0</v>
      </c>
    </row>
    <row r="308" spans="1:206">
      <c r="A308" s="277"/>
      <c r="B308" s="140" t="s">
        <v>687</v>
      </c>
      <c r="C308" s="280"/>
      <c r="D308" s="280"/>
      <c r="E308" s="280"/>
      <c r="F308" s="280"/>
      <c r="G308" s="280"/>
      <c r="H308" s="280"/>
      <c r="I308" s="280"/>
      <c r="J308" s="280"/>
      <c r="K308" s="280"/>
      <c r="L308" s="280"/>
      <c r="M308" s="280"/>
      <c r="N308" s="280"/>
      <c r="O308" s="280"/>
      <c r="P308" s="280"/>
      <c r="Q308" s="280"/>
      <c r="R308" s="280"/>
      <c r="S308" s="280"/>
      <c r="T308" s="280"/>
      <c r="U308" s="280"/>
      <c r="V308" s="280"/>
      <c r="W308" s="280"/>
      <c r="X308" s="280"/>
      <c r="Y308" s="280"/>
      <c r="Z308" s="280"/>
      <c r="AA308" s="280"/>
      <c r="AB308" s="280"/>
      <c r="AC308" s="280"/>
      <c r="AD308" s="280"/>
      <c r="AE308" s="280"/>
      <c r="AF308" s="280"/>
      <c r="AG308" s="280"/>
    </row>
    <row r="309" spans="1:206">
      <c r="A309" s="277"/>
      <c r="B309" s="140" t="s">
        <v>686</v>
      </c>
      <c r="C309" s="280">
        <f>-Wind!U201+Wind!U192</f>
        <v>-221.78000000000065</v>
      </c>
      <c r="D309" s="280">
        <f>-Wind!V201+Wind!V192</f>
        <v>391.82999999999993</v>
      </c>
      <c r="E309" s="280">
        <f>-Wind!W201+Wind!W192</f>
        <v>-30</v>
      </c>
      <c r="F309" s="280">
        <f>-Wind!X201+Wind!X192</f>
        <v>-140</v>
      </c>
      <c r="G309" s="280">
        <f>-Wind!Y201+Wind!Y192</f>
        <v>-2977</v>
      </c>
      <c r="H309" s="280">
        <f>-Wind!Z201+Wind!Z192</f>
        <v>-2609.5606804999998</v>
      </c>
      <c r="I309" s="280">
        <f>-Wind!AA201+Wind!AA192</f>
        <v>-59.474400540000715</v>
      </c>
      <c r="J309" s="280">
        <f>-Wind!AB201+Wind!AB192</f>
        <v>-5383.1044376099962</v>
      </c>
      <c r="K309" s="280"/>
      <c r="L309" s="280">
        <f>-Wind!CB201</f>
        <v>-50</v>
      </c>
      <c r="M309" s="280">
        <f>-Wind!CC201</f>
        <v>-300</v>
      </c>
      <c r="N309" s="280">
        <f>-Wind!CD201</f>
        <v>-550</v>
      </c>
      <c r="O309" s="280">
        <f>-Wind!CE201</f>
        <v>-970</v>
      </c>
      <c r="P309" s="280">
        <f>-Wind!CF201</f>
        <v>-1030</v>
      </c>
      <c r="Q309" s="280">
        <f>-Wind!CG201</f>
        <v>-2475</v>
      </c>
      <c r="R309" s="280">
        <f>-Wind!CH201</f>
        <v>-3427</v>
      </c>
      <c r="S309" s="280">
        <f>-Wind!CI201</f>
        <v>-4777</v>
      </c>
      <c r="T309" s="280">
        <f>-Wind!CJ201</f>
        <v>-500</v>
      </c>
      <c r="U309" s="280">
        <f>-Wind!CK201</f>
        <v>-2714</v>
      </c>
      <c r="V309" s="280">
        <f>-Wind!CL201</f>
        <v>-6014</v>
      </c>
      <c r="W309" s="280">
        <f>-Wind!CM201</f>
        <v>-6206.5606804999998</v>
      </c>
      <c r="X309" s="280">
        <f>-Wind!CN201</f>
        <v>-3424.33541741</v>
      </c>
      <c r="Y309" s="280">
        <f>-Wind!CO201</f>
        <v>-5942.9579956600001</v>
      </c>
      <c r="Z309" s="280">
        <f>-Wind!CP201</f>
        <v>-6662.1914835600001</v>
      </c>
      <c r="AA309" s="280">
        <f>-Wind!CQ201</f>
        <v>-9172.62810618</v>
      </c>
      <c r="AB309" s="280">
        <f>-Wind!CR201</f>
        <v>-397.67619594999996</v>
      </c>
      <c r="AC309" s="280">
        <f>-Wind!CS201</f>
        <v>-7693.9645980200003</v>
      </c>
      <c r="AD309" s="280">
        <f>-Wind!CT201</f>
        <v>-13006.037962569999</v>
      </c>
      <c r="AE309" s="280">
        <f>-Wind!CU201</f>
        <v>-19555.962604959997</v>
      </c>
      <c r="AF309" s="280">
        <f>-Wind!CV201</f>
        <v>-5175.5443218</v>
      </c>
      <c r="AG309" s="280">
        <f>-Wind!CW201</f>
        <v>-10627.177507</v>
      </c>
    </row>
    <row r="310" spans="1:206">
      <c r="A310" s="277"/>
      <c r="B310" s="140" t="s">
        <v>685</v>
      </c>
      <c r="C310" s="279"/>
      <c r="D310" s="279"/>
      <c r="E310" s="279"/>
      <c r="F310" s="279"/>
      <c r="G310" s="279"/>
      <c r="H310" s="279"/>
      <c r="I310" s="279"/>
      <c r="J310" s="279"/>
      <c r="K310" s="279"/>
      <c r="L310" s="279"/>
      <c r="M310" s="279"/>
      <c r="N310" s="279"/>
      <c r="O310" s="279"/>
      <c r="P310" s="279"/>
      <c r="Q310" s="279"/>
      <c r="R310" s="279"/>
      <c r="S310" s="279"/>
      <c r="T310" s="279"/>
      <c r="U310" s="279"/>
      <c r="V310" s="279"/>
      <c r="W310" s="279"/>
      <c r="X310" s="279"/>
      <c r="Y310" s="279"/>
      <c r="Z310" s="279"/>
      <c r="AA310" s="279"/>
      <c r="AB310" s="279"/>
      <c r="AC310" s="279"/>
      <c r="AD310" s="279"/>
      <c r="AE310" s="279"/>
      <c r="AF310" s="279"/>
      <c r="AG310" s="279"/>
    </row>
    <row r="311" spans="1:206">
      <c r="A311" s="277"/>
      <c r="B311" s="140" t="s">
        <v>684</v>
      </c>
      <c r="C311" s="279"/>
      <c r="D311" s="279"/>
      <c r="E311" s="279"/>
      <c r="F311" s="279"/>
      <c r="G311" s="279"/>
      <c r="H311" s="279"/>
      <c r="I311" s="279"/>
      <c r="J311" s="279"/>
      <c r="K311" s="279"/>
      <c r="L311" s="279"/>
      <c r="M311" s="279"/>
      <c r="N311" s="279"/>
      <c r="O311" s="279"/>
      <c r="P311" s="279"/>
      <c r="Q311" s="279"/>
      <c r="R311" s="279"/>
      <c r="S311" s="279"/>
      <c r="T311" s="279"/>
      <c r="U311" s="279"/>
      <c r="V311" s="279"/>
      <c r="W311" s="279"/>
      <c r="X311" s="279"/>
      <c r="Y311" s="279"/>
      <c r="Z311" s="279"/>
      <c r="AA311" s="279"/>
      <c r="AB311" s="279"/>
      <c r="AC311" s="279"/>
      <c r="AD311" s="279"/>
      <c r="AE311" s="279"/>
      <c r="AF311" s="279"/>
      <c r="AG311" s="279"/>
    </row>
    <row r="312" spans="1:206">
      <c r="A312" s="277"/>
      <c r="B312" s="140" t="s">
        <v>683</v>
      </c>
      <c r="C312" s="279"/>
      <c r="D312" s="279"/>
      <c r="E312" s="279"/>
      <c r="F312" s="279"/>
      <c r="G312" s="279"/>
      <c r="H312" s="279"/>
      <c r="I312" s="279"/>
      <c r="J312" s="279"/>
      <c r="K312" s="279"/>
      <c r="L312" s="279"/>
      <c r="M312" s="279"/>
      <c r="N312" s="279"/>
      <c r="O312" s="279"/>
      <c r="P312" s="279"/>
      <c r="Q312" s="279"/>
      <c r="R312" s="279"/>
      <c r="S312" s="279"/>
      <c r="T312" s="279"/>
      <c r="U312" s="279"/>
      <c r="V312" s="279"/>
      <c r="W312" s="279"/>
      <c r="X312" s="279"/>
      <c r="Y312" s="279"/>
      <c r="Z312" s="279"/>
      <c r="AA312" s="279"/>
      <c r="AB312" s="279"/>
      <c r="AC312" s="279"/>
      <c r="AD312" s="279"/>
      <c r="AE312" s="279"/>
      <c r="AF312" s="279"/>
      <c r="AG312" s="279"/>
    </row>
    <row r="313" spans="1:206">
      <c r="A313" s="277"/>
      <c r="B313" s="282" t="s">
        <v>166</v>
      </c>
      <c r="C313" s="281">
        <f t="shared" ref="C313:I313" si="152">SUM(C302:C312)</f>
        <v>-221.78000000000065</v>
      </c>
      <c r="D313" s="281">
        <f t="shared" si="152"/>
        <v>391.82999999999993</v>
      </c>
      <c r="E313" s="281">
        <f t="shared" si="152"/>
        <v>-30</v>
      </c>
      <c r="F313" s="281">
        <f t="shared" si="152"/>
        <v>-140</v>
      </c>
      <c r="G313" s="281">
        <f t="shared" si="152"/>
        <v>-2977</v>
      </c>
      <c r="H313" s="281">
        <f t="shared" si="152"/>
        <v>-2609.5606804999998</v>
      </c>
      <c r="I313" s="281">
        <f t="shared" si="152"/>
        <v>-46.452368530000712</v>
      </c>
      <c r="J313" s="281">
        <f>SUM(J302:J312)</f>
        <v>-5383.1044376099962</v>
      </c>
      <c r="K313" s="281"/>
      <c r="L313" s="281">
        <f t="shared" ref="L313:R313" si="153">SUM(L302:L312)</f>
        <v>-50</v>
      </c>
      <c r="M313" s="281">
        <f t="shared" si="153"/>
        <v>-300</v>
      </c>
      <c r="N313" s="281">
        <f t="shared" si="153"/>
        <v>-550</v>
      </c>
      <c r="O313" s="281">
        <f t="shared" si="153"/>
        <v>-970</v>
      </c>
      <c r="P313" s="281">
        <f t="shared" si="153"/>
        <v>-1030</v>
      </c>
      <c r="Q313" s="281">
        <f t="shared" si="153"/>
        <v>-2475</v>
      </c>
      <c r="R313" s="281">
        <f t="shared" si="153"/>
        <v>-3427</v>
      </c>
      <c r="S313" s="281">
        <f t="shared" ref="S313:AB313" si="154">SUM(S302:S312)</f>
        <v>-4777</v>
      </c>
      <c r="T313" s="281">
        <f t="shared" si="154"/>
        <v>-500</v>
      </c>
      <c r="U313" s="281">
        <f t="shared" si="154"/>
        <v>-2714</v>
      </c>
      <c r="V313" s="281">
        <f t="shared" si="154"/>
        <v>-6014</v>
      </c>
      <c r="W313" s="281">
        <f t="shared" si="154"/>
        <v>-6206.5606804999998</v>
      </c>
      <c r="X313" s="281">
        <f t="shared" si="154"/>
        <v>-3424.33541741</v>
      </c>
      <c r="Y313" s="281">
        <f t="shared" si="154"/>
        <v>-5929.9359636500003</v>
      </c>
      <c r="Z313" s="281">
        <f t="shared" si="154"/>
        <v>-6649.1694515500003</v>
      </c>
      <c r="AA313" s="281">
        <f t="shared" si="154"/>
        <v>-9159.6060741700003</v>
      </c>
      <c r="AB313" s="281">
        <f t="shared" si="154"/>
        <v>-397.67619594999996</v>
      </c>
      <c r="AC313" s="281">
        <f>SUM(AC302:AC312)</f>
        <v>-7693.9645980200003</v>
      </c>
      <c r="AD313" s="281">
        <f>SUM(AD302:AD312)</f>
        <v>-13006.037962569999</v>
      </c>
      <c r="AE313" s="281">
        <f>SUM(AE302:AE312)</f>
        <v>-19555.962604959997</v>
      </c>
      <c r="AF313" s="281">
        <f t="shared" ref="AF313:AG313" si="155">SUM(AF302:AF312)</f>
        <v>-5175.5443218</v>
      </c>
      <c r="AG313" s="281">
        <f t="shared" si="155"/>
        <v>-10627.177507</v>
      </c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  <c r="BE313" s="85"/>
      <c r="BF313" s="85"/>
      <c r="BG313" s="85"/>
      <c r="BH313" s="85"/>
      <c r="BI313" s="85"/>
      <c r="BJ313" s="85"/>
      <c r="BK313" s="85"/>
      <c r="BL313" s="85"/>
      <c r="BM313" s="85"/>
      <c r="BN313" s="85"/>
      <c r="BO313" s="85"/>
      <c r="BP313" s="85"/>
      <c r="BQ313" s="85"/>
      <c r="BR313" s="85"/>
      <c r="BS313" s="85"/>
      <c r="BT313" s="85"/>
      <c r="BU313" s="85"/>
      <c r="BV313" s="85"/>
      <c r="BW313" s="85"/>
      <c r="BX313" s="85"/>
      <c r="BY313" s="85"/>
      <c r="BZ313" s="85"/>
      <c r="CA313" s="85"/>
      <c r="CB313" s="85"/>
      <c r="CC313" s="85"/>
      <c r="CD313" s="85"/>
      <c r="CE313" s="85"/>
      <c r="CF313" s="85"/>
      <c r="CG313" s="85"/>
      <c r="CH313" s="85"/>
      <c r="CI313" s="85"/>
      <c r="CJ313" s="85"/>
      <c r="CK313" s="85"/>
      <c r="CL313" s="85"/>
      <c r="CM313" s="85"/>
      <c r="CN313" s="85"/>
      <c r="CO313" s="85"/>
      <c r="CP313" s="85"/>
      <c r="CQ313" s="85"/>
      <c r="CR313" s="85"/>
      <c r="CS313" s="85"/>
      <c r="CT313" s="85"/>
      <c r="CU313" s="85"/>
      <c r="CV313" s="85"/>
      <c r="CW313" s="85"/>
      <c r="CX313" s="85"/>
      <c r="CY313" s="85"/>
      <c r="CZ313" s="85"/>
      <c r="DA313" s="85"/>
      <c r="DB313" s="85"/>
      <c r="DC313" s="85"/>
      <c r="DD313" s="85"/>
      <c r="DE313" s="85"/>
      <c r="DF313" s="85"/>
      <c r="DG313" s="85"/>
      <c r="DH313" s="85"/>
      <c r="DI313" s="85"/>
      <c r="DJ313" s="85"/>
      <c r="DK313" s="85"/>
      <c r="DL313" s="85"/>
      <c r="DM313" s="85"/>
      <c r="DN313" s="85"/>
      <c r="DO313" s="85"/>
      <c r="DP313" s="85"/>
      <c r="DQ313" s="85"/>
      <c r="DR313" s="85"/>
      <c r="DS313" s="85"/>
      <c r="DT313" s="85"/>
      <c r="DU313" s="85"/>
      <c r="DV313" s="85"/>
      <c r="DW313" s="85"/>
      <c r="DX313" s="85"/>
      <c r="DY313" s="85"/>
      <c r="DZ313" s="85"/>
      <c r="EA313" s="85"/>
      <c r="EB313" s="85"/>
      <c r="EC313" s="85"/>
      <c r="ED313" s="85"/>
      <c r="EE313" s="85"/>
      <c r="EF313" s="85"/>
      <c r="EG313" s="85"/>
      <c r="EH313" s="85"/>
      <c r="EI313" s="85"/>
      <c r="EJ313" s="85"/>
      <c r="EK313" s="85"/>
      <c r="EL313" s="85"/>
      <c r="EM313" s="85"/>
      <c r="EN313" s="85"/>
      <c r="EO313" s="85"/>
      <c r="EP313" s="85"/>
      <c r="EQ313" s="85"/>
      <c r="ER313" s="85"/>
      <c r="ES313" s="85"/>
      <c r="ET313" s="85"/>
      <c r="EU313" s="85"/>
      <c r="EV313" s="85"/>
      <c r="EW313" s="85"/>
      <c r="EX313" s="85"/>
      <c r="EY313" s="85"/>
      <c r="EZ313" s="85"/>
      <c r="FA313" s="85"/>
      <c r="FB313" s="85"/>
      <c r="FC313" s="85"/>
      <c r="FD313" s="85"/>
      <c r="FE313" s="85"/>
      <c r="FF313" s="85"/>
      <c r="FG313" s="85"/>
      <c r="FH313" s="85"/>
      <c r="FI313" s="85"/>
      <c r="FJ313" s="85"/>
      <c r="FK313" s="85"/>
      <c r="FL313" s="85"/>
      <c r="FM313" s="85"/>
      <c r="FN313" s="85"/>
      <c r="FO313" s="85"/>
      <c r="FP313" s="85"/>
      <c r="FQ313" s="85"/>
      <c r="FR313" s="85"/>
      <c r="FS313" s="85"/>
      <c r="FT313" s="85"/>
      <c r="FU313" s="85"/>
      <c r="FV313" s="85"/>
      <c r="FW313" s="85"/>
      <c r="FX313" s="85"/>
      <c r="FY313" s="85"/>
      <c r="FZ313" s="85"/>
      <c r="GA313" s="85"/>
      <c r="GB313" s="85"/>
      <c r="GC313" s="85"/>
      <c r="GD313" s="85"/>
      <c r="GE313" s="85"/>
      <c r="GF313" s="85"/>
      <c r="GG313" s="85"/>
      <c r="GH313" s="85"/>
      <c r="GI313" s="85"/>
      <c r="GJ313" s="85"/>
      <c r="GK313" s="85"/>
      <c r="GL313" s="85"/>
      <c r="GM313" s="85"/>
      <c r="GN313" s="85"/>
      <c r="GO313" s="85"/>
      <c r="GP313" s="85"/>
      <c r="GQ313" s="85"/>
      <c r="GR313" s="85"/>
      <c r="GS313" s="85"/>
      <c r="GT313" s="85"/>
      <c r="GU313" s="85"/>
      <c r="GV313" s="85"/>
      <c r="GW313" s="85"/>
      <c r="GX313" s="85"/>
    </row>
    <row r="314" spans="1:206">
      <c r="A314" s="277"/>
      <c r="C314" s="279"/>
      <c r="D314" s="279"/>
      <c r="E314" s="279"/>
      <c r="F314" s="279"/>
      <c r="G314" s="279"/>
      <c r="H314" s="279"/>
      <c r="I314" s="279"/>
      <c r="J314" s="279"/>
      <c r="K314" s="279"/>
      <c r="L314" s="279"/>
      <c r="M314" s="279"/>
      <c r="N314" s="279"/>
      <c r="O314" s="279"/>
      <c r="P314" s="279"/>
      <c r="Q314" s="279"/>
      <c r="R314" s="279"/>
      <c r="S314" s="279"/>
      <c r="T314" s="279"/>
      <c r="U314" s="279"/>
      <c r="V314" s="279"/>
      <c r="W314" s="279"/>
      <c r="X314" s="279"/>
      <c r="Y314" s="279"/>
      <c r="Z314" s="279"/>
      <c r="AA314" s="279"/>
      <c r="AB314" s="279"/>
      <c r="AC314" s="279"/>
      <c r="AD314" s="279"/>
      <c r="AE314" s="279"/>
      <c r="AF314" s="279"/>
      <c r="AG314" s="279"/>
    </row>
    <row r="315" spans="1:206">
      <c r="A315" s="277"/>
      <c r="B315" s="140" t="s">
        <v>682</v>
      </c>
      <c r="C315" s="279"/>
      <c r="D315" s="279"/>
      <c r="E315" s="279"/>
      <c r="F315" s="279"/>
      <c r="G315" s="279"/>
      <c r="H315" s="279"/>
      <c r="I315" s="279"/>
      <c r="J315" s="279"/>
      <c r="K315" s="279"/>
      <c r="L315" s="279"/>
      <c r="M315" s="279"/>
      <c r="N315" s="279"/>
      <c r="O315" s="279"/>
      <c r="P315" s="279"/>
      <c r="Q315" s="279"/>
      <c r="R315" s="279"/>
      <c r="S315" s="279"/>
      <c r="T315" s="279"/>
      <c r="U315" s="279"/>
      <c r="V315" s="279"/>
      <c r="W315" s="279"/>
      <c r="X315" s="279"/>
      <c r="Y315" s="279"/>
      <c r="Z315" s="279"/>
      <c r="AA315" s="279"/>
      <c r="AB315" s="279"/>
      <c r="AC315" s="279"/>
      <c r="AD315" s="279"/>
      <c r="AE315" s="279"/>
      <c r="AF315" s="279"/>
      <c r="AG315" s="279"/>
    </row>
    <row r="316" spans="1:206" s="85" customFormat="1">
      <c r="A316" s="276"/>
      <c r="B316" s="140" t="s">
        <v>681</v>
      </c>
      <c r="C316" s="280">
        <f>Wind!U193</f>
        <v>19.021000000000001</v>
      </c>
      <c r="D316" s="280">
        <f>Wind!V193</f>
        <v>12.831674849999999</v>
      </c>
      <c r="E316" s="280">
        <f>Wind!W193</f>
        <v>7.1412014699999995</v>
      </c>
      <c r="F316" s="280">
        <f>Wind!X193</f>
        <v>9.8039465000000003</v>
      </c>
      <c r="G316" s="280">
        <f>Wind!Y193</f>
        <v>19.440293660000002</v>
      </c>
      <c r="H316" s="280">
        <f>Wind!Z193</f>
        <v>65.714324120000001</v>
      </c>
      <c r="I316" s="280">
        <f>Wind!AA193</f>
        <v>208.20072639</v>
      </c>
      <c r="J316" s="280">
        <f>Wind!AB193</f>
        <v>191.56303609</v>
      </c>
      <c r="K316" s="280"/>
      <c r="L316" s="280">
        <f>Wind!CB193</f>
        <v>1.36778888</v>
      </c>
      <c r="M316" s="280">
        <f>Wind!CC193</f>
        <v>3.8954</v>
      </c>
      <c r="N316" s="280">
        <f>Wind!CD193</f>
        <v>6.1298444400000003</v>
      </c>
      <c r="O316" s="280">
        <f>Wind!CE193</f>
        <v>9.8039465000000003</v>
      </c>
      <c r="P316" s="280">
        <f>Wind!CF193</f>
        <v>3.1829799400000001</v>
      </c>
      <c r="Q316" s="280">
        <f>Wind!CG193</f>
        <v>8.0087711500000012</v>
      </c>
      <c r="R316" s="280">
        <f>Wind!CH193</f>
        <v>13.684018869999999</v>
      </c>
      <c r="S316" s="280">
        <f>Wind!CI193</f>
        <v>19.440293660000002</v>
      </c>
      <c r="T316" s="280">
        <f>Wind!CJ193</f>
        <v>3.7579120000000001</v>
      </c>
      <c r="U316" s="280">
        <f>Wind!CK193</f>
        <v>20.34179468</v>
      </c>
      <c r="V316" s="280">
        <f>Wind!CL193</f>
        <v>65.553618459999996</v>
      </c>
      <c r="W316" s="280">
        <f>Wind!CM193</f>
        <v>65.714324120000001</v>
      </c>
      <c r="X316" s="280">
        <f>Wind!CN193</f>
        <v>19.64463881</v>
      </c>
      <c r="Y316" s="280">
        <f>Wind!CO193</f>
        <v>119.49776729000001</v>
      </c>
      <c r="Z316" s="280">
        <f>Wind!CP193</f>
        <v>159.51836962000002</v>
      </c>
      <c r="AA316" s="280">
        <f>Wind!CQ193</f>
        <v>208.20072639</v>
      </c>
      <c r="AB316" s="280">
        <f>Wind!CR193</f>
        <v>45.568003170000004</v>
      </c>
      <c r="AC316" s="280">
        <f>Wind!CS193</f>
        <v>137.82933961000001</v>
      </c>
      <c r="AD316" s="280">
        <f>Wind!CT193</f>
        <v>185.01890863999998</v>
      </c>
      <c r="AE316" s="280">
        <f>Wind!CU193</f>
        <v>191.56303609</v>
      </c>
      <c r="AF316" s="280">
        <f>Wind!CV193</f>
        <v>98.745776550000002</v>
      </c>
      <c r="AG316" s="280">
        <f>Wind!CW193</f>
        <v>146.90381424</v>
      </c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66"/>
      <c r="AU316" s="66"/>
      <c r="AV316" s="66"/>
      <c r="AW316" s="66"/>
      <c r="AX316" s="66"/>
      <c r="AY316" s="66"/>
      <c r="AZ316" s="66"/>
      <c r="BA316" s="66"/>
      <c r="BB316" s="66"/>
      <c r="BC316" s="66"/>
      <c r="BD316" s="66"/>
      <c r="BE316" s="66"/>
      <c r="BF316" s="66"/>
      <c r="BG316" s="66"/>
      <c r="BH316" s="66"/>
      <c r="BI316" s="66"/>
      <c r="BJ316" s="66"/>
      <c r="BK316" s="66"/>
      <c r="BL316" s="66"/>
      <c r="BM316" s="66"/>
      <c r="BN316" s="66"/>
      <c r="BO316" s="66"/>
      <c r="BP316" s="66"/>
      <c r="BQ316" s="66"/>
      <c r="BR316" s="66"/>
      <c r="BS316" s="66"/>
      <c r="BT316" s="66"/>
      <c r="BU316" s="66"/>
      <c r="BV316" s="66"/>
      <c r="BW316" s="66"/>
      <c r="BX316" s="66"/>
      <c r="BY316" s="66"/>
      <c r="BZ316" s="66"/>
      <c r="CA316" s="66"/>
      <c r="CB316" s="66"/>
      <c r="CC316" s="66"/>
      <c r="CD316" s="66"/>
      <c r="CE316" s="66"/>
      <c r="CF316" s="66"/>
      <c r="CG316" s="66"/>
      <c r="CH316" s="66"/>
      <c r="CI316" s="66"/>
      <c r="CJ316" s="66"/>
      <c r="CK316" s="66"/>
      <c r="CL316" s="66"/>
      <c r="CM316" s="66"/>
      <c r="CN316" s="66"/>
      <c r="CO316" s="66"/>
      <c r="CP316" s="66"/>
      <c r="CQ316" s="66"/>
      <c r="CR316" s="66"/>
      <c r="CS316" s="66"/>
      <c r="CT316" s="66"/>
      <c r="CU316" s="66"/>
      <c r="CV316" s="66"/>
      <c r="CW316" s="66"/>
      <c r="CX316" s="66"/>
      <c r="CY316" s="66"/>
      <c r="CZ316" s="66"/>
      <c r="DA316" s="66"/>
      <c r="DB316" s="66"/>
      <c r="DC316" s="66"/>
      <c r="DD316" s="66"/>
      <c r="DE316" s="66"/>
      <c r="DF316" s="66"/>
      <c r="DG316" s="66"/>
      <c r="DH316" s="66"/>
      <c r="DI316" s="66"/>
      <c r="DJ316" s="66"/>
      <c r="DK316" s="66"/>
      <c r="DL316" s="66"/>
      <c r="DM316" s="66"/>
      <c r="DN316" s="66"/>
      <c r="DO316" s="66"/>
      <c r="DP316" s="66"/>
      <c r="DQ316" s="66"/>
      <c r="DR316" s="66"/>
      <c r="DS316" s="66"/>
      <c r="DT316" s="66"/>
      <c r="DU316" s="66"/>
      <c r="DV316" s="66"/>
      <c r="DW316" s="66"/>
      <c r="DX316" s="66"/>
      <c r="DY316" s="66"/>
      <c r="DZ316" s="66"/>
      <c r="EA316" s="66"/>
      <c r="EB316" s="66"/>
      <c r="EC316" s="66"/>
      <c r="ED316" s="66"/>
      <c r="EE316" s="66"/>
      <c r="EF316" s="66"/>
      <c r="EG316" s="66"/>
      <c r="EH316" s="66"/>
      <c r="EI316" s="66"/>
      <c r="EJ316" s="66"/>
      <c r="EK316" s="66"/>
      <c r="EL316" s="66"/>
      <c r="EM316" s="66"/>
      <c r="EN316" s="66"/>
      <c r="EO316" s="66"/>
      <c r="EP316" s="66"/>
      <c r="EQ316" s="66"/>
      <c r="ER316" s="66"/>
      <c r="ES316" s="66"/>
      <c r="ET316" s="66"/>
      <c r="EU316" s="66"/>
      <c r="EV316" s="66"/>
      <c r="EW316" s="66"/>
      <c r="EX316" s="66"/>
      <c r="EY316" s="66"/>
      <c r="EZ316" s="66"/>
      <c r="FA316" s="66"/>
      <c r="FB316" s="66"/>
      <c r="FC316" s="66"/>
      <c r="FD316" s="66"/>
      <c r="FE316" s="66"/>
      <c r="FF316" s="66"/>
      <c r="FG316" s="66"/>
      <c r="FH316" s="66"/>
      <c r="FI316" s="66"/>
      <c r="FJ316" s="66"/>
      <c r="FK316" s="66"/>
      <c r="FL316" s="66"/>
      <c r="FM316" s="66"/>
      <c r="FN316" s="66"/>
      <c r="FO316" s="66"/>
      <c r="FP316" s="66"/>
      <c r="FQ316" s="66"/>
      <c r="FR316" s="66"/>
      <c r="FS316" s="66"/>
      <c r="FT316" s="66"/>
      <c r="FU316" s="66"/>
      <c r="FV316" s="66"/>
      <c r="FW316" s="66"/>
      <c r="FX316" s="66"/>
      <c r="FY316" s="66"/>
      <c r="FZ316" s="66"/>
      <c r="GA316" s="66"/>
      <c r="GB316" s="66"/>
      <c r="GC316" s="66"/>
      <c r="GD316" s="66"/>
      <c r="GE316" s="66"/>
      <c r="GF316" s="66"/>
      <c r="GG316" s="66"/>
      <c r="GH316" s="66"/>
      <c r="GI316" s="66"/>
      <c r="GJ316" s="66"/>
      <c r="GK316" s="66"/>
      <c r="GL316" s="66"/>
      <c r="GM316" s="66"/>
      <c r="GN316" s="66"/>
      <c r="GO316" s="66"/>
      <c r="GP316" s="66"/>
      <c r="GQ316" s="66"/>
      <c r="GR316" s="66"/>
      <c r="GS316" s="66"/>
      <c r="GT316" s="66"/>
      <c r="GU316" s="66"/>
      <c r="GV316" s="66"/>
      <c r="GW316" s="66"/>
      <c r="GX316" s="66"/>
    </row>
    <row r="317" spans="1:206">
      <c r="A317" s="277"/>
      <c r="B317" s="140" t="s">
        <v>680</v>
      </c>
      <c r="C317" s="280"/>
      <c r="D317" s="280"/>
      <c r="E317" s="280"/>
      <c r="F317" s="280"/>
      <c r="G317" s="280"/>
      <c r="H317" s="280"/>
      <c r="I317" s="280"/>
      <c r="J317" s="280"/>
      <c r="K317" s="280"/>
      <c r="L317" s="280"/>
      <c r="M317" s="280"/>
      <c r="N317" s="280"/>
      <c r="O317" s="280"/>
      <c r="P317" s="280"/>
      <c r="Q317" s="280"/>
      <c r="R317" s="280"/>
      <c r="S317" s="280"/>
      <c r="T317" s="280"/>
      <c r="U317" s="280"/>
      <c r="V317" s="280"/>
      <c r="W317" s="280"/>
      <c r="X317" s="280"/>
      <c r="Y317" s="280"/>
      <c r="Z317" s="280"/>
      <c r="AA317" s="280"/>
      <c r="AB317" s="280"/>
      <c r="AC317" s="280"/>
      <c r="AD317" s="280"/>
      <c r="AE317" s="280"/>
      <c r="AF317" s="280"/>
      <c r="AG317" s="280"/>
    </row>
    <row r="318" spans="1:206">
      <c r="A318" s="277"/>
      <c r="B318" s="140" t="s">
        <v>660</v>
      </c>
      <c r="C318" s="280"/>
      <c r="D318" s="280"/>
      <c r="E318" s="280"/>
      <c r="F318" s="280"/>
      <c r="G318" s="280"/>
      <c r="H318" s="280"/>
      <c r="I318" s="280"/>
      <c r="J318" s="280"/>
      <c r="K318" s="280"/>
      <c r="L318" s="280"/>
      <c r="M318" s="280"/>
      <c r="N318" s="280"/>
      <c r="O318" s="280"/>
      <c r="P318" s="280"/>
      <c r="Q318" s="280"/>
      <c r="R318" s="280"/>
      <c r="S318" s="280"/>
      <c r="T318" s="280"/>
      <c r="U318" s="280"/>
      <c r="V318" s="280"/>
      <c r="W318" s="280"/>
      <c r="X318" s="280"/>
      <c r="Y318" s="280"/>
      <c r="Z318" s="280"/>
      <c r="AA318" s="280"/>
      <c r="AB318" s="280"/>
      <c r="AC318" s="280"/>
      <c r="AD318" s="280"/>
      <c r="AE318" s="280"/>
      <c r="AF318" s="280"/>
      <c r="AG318" s="280"/>
    </row>
    <row r="319" spans="1:206">
      <c r="A319" s="277"/>
      <c r="B319" s="140" t="s">
        <v>679</v>
      </c>
      <c r="C319" s="280"/>
      <c r="D319" s="280"/>
      <c r="E319" s="280"/>
      <c r="F319" s="280"/>
      <c r="G319" s="280"/>
      <c r="H319" s="280"/>
      <c r="I319" s="280"/>
      <c r="J319" s="280"/>
      <c r="K319" s="280"/>
      <c r="L319" s="280"/>
      <c r="M319" s="280"/>
      <c r="N319" s="280"/>
      <c r="O319" s="280"/>
      <c r="P319" s="280"/>
      <c r="Q319" s="280"/>
      <c r="R319" s="280"/>
      <c r="S319" s="280"/>
      <c r="T319" s="280"/>
      <c r="U319" s="280"/>
      <c r="V319" s="280"/>
      <c r="W319" s="280"/>
      <c r="X319" s="280"/>
      <c r="Y319" s="280"/>
      <c r="Z319" s="280"/>
      <c r="AA319" s="280"/>
      <c r="AB319" s="280"/>
      <c r="AC319" s="280"/>
      <c r="AD319" s="280"/>
      <c r="AE319" s="280"/>
      <c r="AF319" s="280"/>
      <c r="AG319" s="280"/>
    </row>
    <row r="320" spans="1:206">
      <c r="A320" s="277"/>
      <c r="B320" s="140" t="s">
        <v>207</v>
      </c>
      <c r="C320" s="280">
        <f>Wind!U208-'Raw Data'!C292-'Raw Data'!C300-'Raw Data'!C313-'Raw Data'!C316</f>
        <v>-3.2517999999993634</v>
      </c>
      <c r="D320" s="280">
        <f>Wind!V208-'Raw Data'!D292-'Raw Data'!D300-'Raw Data'!D313-'Raw Data'!D316</f>
        <v>-2.3617966099999279</v>
      </c>
      <c r="E320" s="280">
        <f>Wind!W208-'Raw Data'!E292-'Raw Data'!E300-'Raw Data'!E313-'Raw Data'!E316</f>
        <v>-1.2979836200000614</v>
      </c>
      <c r="F320" s="280">
        <f>Wind!X208-'Raw Data'!F292-'Raw Data'!F300-'Raw Data'!F313-'Raw Data'!F316</f>
        <v>2.0658078300000629</v>
      </c>
      <c r="G320" s="280">
        <f>Wind!Y208-'Raw Data'!G292-'Raw Data'!G300-'Raw Data'!G313-'Raw Data'!G316</f>
        <v>0.5799299199997634</v>
      </c>
      <c r="H320" s="280">
        <f>Wind!Z208-'Raw Data'!H292-'Raw Data'!H300-'Raw Data'!H313-'Raw Data'!H316</f>
        <v>-1.0218604200002659</v>
      </c>
      <c r="I320" s="280">
        <f>Wind!AA208-'Raw Data'!I292-'Raw Data'!I300-'Raw Data'!I313-'Raw Data'!I316</f>
        <v>1.1105253600007643</v>
      </c>
      <c r="J320" s="280">
        <f>Wind!AB208-'Raw Data'!J292-'Raw Data'!J300-'Raw Data'!J313-'Raw Data'!J316</f>
        <v>0.32644657999614424</v>
      </c>
      <c r="K320" s="280"/>
      <c r="L320" s="280">
        <f>Wind!CB208-'Raw Data'!L292-'Raw Data'!L300-'Raw Data'!L313-'Raw Data'!L316</f>
        <v>49.985118110000002</v>
      </c>
      <c r="M320" s="280">
        <f>Wind!CC208-'Raw Data'!M292-'Raw Data'!M300-'Raw Data'!M313-'Raw Data'!M316</f>
        <v>269.96849999999995</v>
      </c>
      <c r="N320" s="280">
        <f>Wind!CD208-'Raw Data'!N292-'Raw Data'!N300-'Raw Data'!N313-'Raw Data'!N316</f>
        <v>299.94954266999997</v>
      </c>
      <c r="O320" s="280">
        <f>Wind!CE208-'Raw Data'!O292-'Raw Data'!O300-'Raw Data'!O313-'Raw Data'!O316</f>
        <v>832.06580783000004</v>
      </c>
      <c r="P320" s="280">
        <f>Wind!CF208-'Raw Data'!P292-'Raw Data'!P300-'Raw Data'!P313-'Raw Data'!P316</f>
        <v>601.69542991999992</v>
      </c>
      <c r="Q320" s="280">
        <f>Wind!CG208-'Raw Data'!Q292-'Raw Data'!Q300-'Raw Data'!Q313-'Raw Data'!Q316</f>
        <v>1125.5799299199998</v>
      </c>
      <c r="R320" s="280">
        <f>Wind!CH208-'Raw Data'!R292-'Raw Data'!R300-'Raw Data'!R313-'Raw Data'!R316</f>
        <v>1510.5799299199998</v>
      </c>
      <c r="S320" s="280">
        <f>Wind!CI208-'Raw Data'!S292-'Raw Data'!S300-'Raw Data'!S313-'Raw Data'!S316</f>
        <v>1800.5799299199998</v>
      </c>
      <c r="T320" s="280">
        <f>Wind!CJ208-'Raw Data'!T292-'Raw Data'!T300-'Raw Data'!T313-'Raw Data'!T316</f>
        <v>400.36986301000007</v>
      </c>
      <c r="U320" s="280">
        <f>Wind!CK208-'Raw Data'!U292-'Raw Data'!U300-'Raw Data'!U313-'Raw Data'!U316</f>
        <v>1525.0913663000001</v>
      </c>
      <c r="V320" s="280">
        <f>Wind!CL208-'Raw Data'!V292-'Raw Data'!V300-'Raw Data'!V313-'Raw Data'!V316</f>
        <v>3885.0913663000001</v>
      </c>
      <c r="W320" s="280">
        <f>Wind!CM208-'Raw Data'!W292-'Raw Data'!W300-'Raw Data'!W313-'Raw Data'!W316</f>
        <v>3595.9781395799996</v>
      </c>
      <c r="X320" s="280">
        <f>Wind!CN208-'Raw Data'!X292-'Raw Data'!X300-'Raw Data'!X313-'Raw Data'!X316</f>
        <v>2514.5053000000003</v>
      </c>
      <c r="Y320" s="280">
        <f>Wind!CO208-'Raw Data'!Y292-'Raw Data'!Y300-'Raw Data'!Y313-'Raw Data'!Y316</f>
        <v>5567.9684799999995</v>
      </c>
      <c r="Z320" s="280">
        <f>Wind!CP208-'Raw Data'!Z292-'Raw Data'!Z300-'Raw Data'!Z313-'Raw Data'!Z316</f>
        <v>7211.6581800399999</v>
      </c>
      <c r="AA320" s="280">
        <f>Wind!CQ208-'Raw Data'!AA292-'Raw Data'!AA300-'Raw Data'!AA313-'Raw Data'!AA316</f>
        <v>9114.264231000001</v>
      </c>
      <c r="AB320" s="280">
        <f>Wind!CR208-'Raw Data'!AB292-'Raw Data'!AB300-'Raw Data'!AB313-'Raw Data'!AB316</f>
        <v>410</v>
      </c>
      <c r="AC320" s="280">
        <f>Wind!CS208-'Raw Data'!AC292-'Raw Data'!AC300-'Raw Data'!AC313-'Raw Data'!AC316</f>
        <v>5441.9025423700004</v>
      </c>
      <c r="AD320" s="280">
        <f>Wind!CT208-'Raw Data'!AD292-'Raw Data'!AD300-'Raw Data'!AD313-'Raw Data'!AD316</f>
        <v>8780.3558257999994</v>
      </c>
      <c r="AE320" s="280">
        <f>Wind!CU208-'Raw Data'!AE292-'Raw Data'!AE300-'Raw Data'!AE313-'Raw Data'!AE316</f>
        <v>14173.184613929998</v>
      </c>
      <c r="AF320" s="280">
        <f>Wind!CV208-'Raw Data'!AF292-'Raw Data'!AF300-'Raw Data'!AF313-'Raw Data'!AF316</f>
        <v>5569.1350102199995</v>
      </c>
      <c r="AG320" s="280">
        <f>Wind!CW208-'Raw Data'!AG292-'Raw Data'!AG300-'Raw Data'!AG313-'Raw Data'!AG316</f>
        <v>10622.251790419999</v>
      </c>
    </row>
    <row r="321" spans="1:206">
      <c r="A321" s="277"/>
      <c r="B321" s="140" t="s">
        <v>667</v>
      </c>
      <c r="C321" s="279"/>
      <c r="D321" s="279"/>
      <c r="E321" s="279"/>
      <c r="F321" s="279"/>
      <c r="G321" s="279"/>
      <c r="H321" s="279"/>
      <c r="I321" s="279"/>
      <c r="J321" s="279"/>
      <c r="K321" s="279"/>
      <c r="L321" s="279"/>
      <c r="M321" s="279"/>
      <c r="N321" s="279"/>
      <c r="O321" s="279"/>
      <c r="P321" s="279"/>
      <c r="Q321" s="279"/>
      <c r="R321" s="279"/>
      <c r="S321" s="279"/>
      <c r="T321" s="279"/>
      <c r="U321" s="279"/>
      <c r="V321" s="279"/>
      <c r="W321" s="279"/>
      <c r="X321" s="279"/>
      <c r="Y321" s="279"/>
      <c r="Z321" s="279"/>
      <c r="AA321" s="279"/>
      <c r="AB321" s="279"/>
      <c r="AC321" s="279"/>
      <c r="AD321" s="279"/>
      <c r="AE321" s="279"/>
      <c r="AF321" s="279"/>
      <c r="AG321" s="279"/>
    </row>
    <row r="322" spans="1:206">
      <c r="A322" s="277"/>
      <c r="C322" s="279"/>
      <c r="D322" s="279"/>
      <c r="E322" s="279"/>
      <c r="F322" s="279"/>
      <c r="G322" s="279"/>
      <c r="H322" s="279"/>
      <c r="I322" s="279"/>
      <c r="J322" s="279"/>
      <c r="K322" s="279"/>
      <c r="L322" s="279"/>
      <c r="M322" s="279"/>
      <c r="N322" s="279"/>
      <c r="O322" s="279"/>
      <c r="P322" s="279"/>
      <c r="Q322" s="279"/>
      <c r="R322" s="279"/>
      <c r="S322" s="279"/>
      <c r="T322" s="279"/>
      <c r="U322" s="279"/>
      <c r="V322" s="279"/>
      <c r="W322" s="279"/>
      <c r="X322" s="279"/>
      <c r="Y322" s="279"/>
      <c r="Z322" s="279"/>
      <c r="AA322" s="279"/>
      <c r="AB322" s="279"/>
      <c r="AC322" s="279"/>
      <c r="AD322" s="279"/>
      <c r="AE322" s="279"/>
      <c r="AF322" s="279"/>
      <c r="AG322" s="279"/>
    </row>
    <row r="323" spans="1:206">
      <c r="A323" s="277"/>
      <c r="B323" s="990" t="s">
        <v>678</v>
      </c>
      <c r="C323" s="991">
        <f t="shared" ref="C323:I323" si="156">C292+C300+C313+SUM(C315:C321)</f>
        <v>-541.16330000000005</v>
      </c>
      <c r="D323" s="991">
        <f t="shared" si="156"/>
        <v>10.746001130000025</v>
      </c>
      <c r="E323" s="991">
        <f t="shared" si="156"/>
        <v>-532.35651512000004</v>
      </c>
      <c r="F323" s="991">
        <f t="shared" si="156"/>
        <v>-772.65035050999995</v>
      </c>
      <c r="G323" s="991">
        <f t="shared" si="156"/>
        <v>-3563.2616218000003</v>
      </c>
      <c r="H323" s="991">
        <f t="shared" si="156"/>
        <v>-3335.7685904800001</v>
      </c>
      <c r="I323" s="991">
        <f t="shared" si="156"/>
        <v>-758.30672551999999</v>
      </c>
      <c r="J323" s="991">
        <f>J292+J300+J313+SUM(J315:J321)</f>
        <v>-6875.4904189200006</v>
      </c>
      <c r="K323" s="811"/>
      <c r="L323" s="991">
        <f t="shared" ref="L323:R323" si="157">L292+L300+L313+SUM(L315:L321)</f>
        <v>-294.03012947000002</v>
      </c>
      <c r="M323" s="991">
        <f t="shared" si="157"/>
        <v>-380.77049999999997</v>
      </c>
      <c r="N323" s="991">
        <f t="shared" si="157"/>
        <v>-703.13626621000003</v>
      </c>
      <c r="O323" s="991">
        <f t="shared" si="157"/>
        <v>-772.65035050999984</v>
      </c>
      <c r="P323" s="991">
        <f t="shared" si="157"/>
        <v>-528.19295800999998</v>
      </c>
      <c r="Q323" s="991">
        <f t="shared" si="157"/>
        <v>-1501.4656156600004</v>
      </c>
      <c r="R323" s="991">
        <f t="shared" si="157"/>
        <v>-2204.6875189399998</v>
      </c>
      <c r="S323" s="991">
        <f t="shared" ref="S323:AB323" si="158">S292+S300+S313+SUM(S315:S321)</f>
        <v>-3563.2616218000003</v>
      </c>
      <c r="T323" s="991">
        <f t="shared" si="158"/>
        <v>-291.93727639999997</v>
      </c>
      <c r="U323" s="991">
        <f t="shared" si="158"/>
        <v>-1487.6149408900001</v>
      </c>
      <c r="V323" s="991">
        <f t="shared" si="158"/>
        <v>-2662.2408406499994</v>
      </c>
      <c r="W323" s="991">
        <f t="shared" si="158"/>
        <v>-3335.7685904799996</v>
      </c>
      <c r="X323" s="991">
        <f t="shared" si="158"/>
        <v>-1100.57827847</v>
      </c>
      <c r="Y323" s="991">
        <f t="shared" si="158"/>
        <v>-633.84164081000017</v>
      </c>
      <c r="Z323" s="991">
        <f t="shared" si="158"/>
        <v>110.14214793999963</v>
      </c>
      <c r="AA323" s="991">
        <f t="shared" si="158"/>
        <v>-758.30672552000033</v>
      </c>
      <c r="AB323" s="991">
        <f t="shared" si="158"/>
        <v>-190.15890993999994</v>
      </c>
      <c r="AC323" s="991">
        <f>AC292+AC300+AC313+SUM(AC315:AC321)</f>
        <v>-2587.5155164600001</v>
      </c>
      <c r="AD323" s="991">
        <f>AD292+AD300+AD313+SUM(AD315:AD321)</f>
        <v>-5043.4995341099984</v>
      </c>
      <c r="AE323" s="991">
        <f>AE292+AE300+AE313+SUM(AE315:AE321)</f>
        <v>-6875.4904189200006</v>
      </c>
      <c r="AF323" s="991">
        <f t="shared" ref="AF323" si="159">AF292+AF300+AF313+SUM(AF315:AF321)</f>
        <v>-524.42224906000047</v>
      </c>
      <c r="AG323" s="991">
        <f t="shared" ref="AG323" si="160">AG292+AG300+AG313+SUM(AG315:AG321)</f>
        <v>-1225.7701774100005</v>
      </c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85"/>
      <c r="AS323" s="85"/>
      <c r="AT323" s="85"/>
      <c r="AU323" s="85"/>
      <c r="AV323" s="85"/>
      <c r="AW323" s="85"/>
      <c r="AX323" s="85"/>
      <c r="AY323" s="85"/>
      <c r="AZ323" s="85"/>
      <c r="BA323" s="85"/>
      <c r="BB323" s="85"/>
      <c r="BC323" s="85"/>
      <c r="BD323" s="85"/>
      <c r="BE323" s="85"/>
      <c r="BF323" s="85"/>
      <c r="BG323" s="85"/>
      <c r="BH323" s="85"/>
      <c r="BI323" s="85"/>
      <c r="BJ323" s="85"/>
      <c r="BK323" s="85"/>
      <c r="BL323" s="85"/>
      <c r="BM323" s="85"/>
      <c r="BN323" s="85"/>
      <c r="BO323" s="85"/>
      <c r="BP323" s="85"/>
      <c r="BQ323" s="85"/>
      <c r="BR323" s="85"/>
      <c r="BS323" s="85"/>
      <c r="BT323" s="85"/>
      <c r="BU323" s="85"/>
      <c r="BV323" s="85"/>
      <c r="BW323" s="85"/>
      <c r="BX323" s="85"/>
      <c r="BY323" s="85"/>
      <c r="BZ323" s="85"/>
      <c r="CA323" s="85"/>
      <c r="CB323" s="85"/>
      <c r="CC323" s="85"/>
      <c r="CD323" s="85"/>
      <c r="CE323" s="85"/>
      <c r="CF323" s="85"/>
      <c r="CG323" s="85"/>
      <c r="CH323" s="85"/>
      <c r="CI323" s="85"/>
      <c r="CJ323" s="85"/>
      <c r="CK323" s="85"/>
      <c r="CL323" s="85"/>
      <c r="CM323" s="85"/>
      <c r="CN323" s="85"/>
      <c r="CO323" s="85"/>
      <c r="CP323" s="85"/>
      <c r="CQ323" s="85"/>
      <c r="CR323" s="85"/>
      <c r="CS323" s="85"/>
      <c r="CT323" s="85"/>
      <c r="CU323" s="85"/>
      <c r="CV323" s="85"/>
      <c r="CW323" s="85"/>
      <c r="CX323" s="85"/>
      <c r="CY323" s="85"/>
      <c r="CZ323" s="85"/>
      <c r="DA323" s="85"/>
      <c r="DB323" s="85"/>
      <c r="DC323" s="85"/>
      <c r="DD323" s="85"/>
      <c r="DE323" s="85"/>
      <c r="DF323" s="85"/>
      <c r="DG323" s="85"/>
      <c r="DH323" s="85"/>
      <c r="DI323" s="85"/>
      <c r="DJ323" s="85"/>
      <c r="DK323" s="85"/>
      <c r="DL323" s="85"/>
      <c r="DM323" s="85"/>
      <c r="DN323" s="85"/>
      <c r="DO323" s="85"/>
      <c r="DP323" s="85"/>
      <c r="DQ323" s="85"/>
      <c r="DR323" s="85"/>
      <c r="DS323" s="85"/>
      <c r="DT323" s="85"/>
      <c r="DU323" s="85"/>
      <c r="DV323" s="85"/>
      <c r="DW323" s="85"/>
      <c r="DX323" s="85"/>
      <c r="DY323" s="85"/>
      <c r="DZ323" s="85"/>
      <c r="EA323" s="85"/>
      <c r="EB323" s="85"/>
      <c r="EC323" s="85"/>
      <c r="ED323" s="85"/>
      <c r="EE323" s="85"/>
      <c r="EF323" s="85"/>
      <c r="EG323" s="85"/>
      <c r="EH323" s="85"/>
      <c r="EI323" s="85"/>
      <c r="EJ323" s="85"/>
      <c r="EK323" s="85"/>
      <c r="EL323" s="85"/>
      <c r="EM323" s="85"/>
      <c r="EN323" s="85"/>
      <c r="EO323" s="85"/>
      <c r="EP323" s="85"/>
      <c r="EQ323" s="85"/>
      <c r="ER323" s="85"/>
      <c r="ES323" s="85"/>
      <c r="ET323" s="85"/>
      <c r="EU323" s="85"/>
      <c r="EV323" s="85"/>
      <c r="EW323" s="85"/>
      <c r="EX323" s="85"/>
      <c r="EY323" s="85"/>
      <c r="EZ323" s="85"/>
      <c r="FA323" s="85"/>
      <c r="FB323" s="85"/>
      <c r="FC323" s="85"/>
      <c r="FD323" s="85"/>
      <c r="FE323" s="85"/>
      <c r="FF323" s="85"/>
      <c r="FG323" s="85"/>
      <c r="FH323" s="85"/>
      <c r="FI323" s="85"/>
      <c r="FJ323" s="85"/>
      <c r="FK323" s="85"/>
      <c r="FL323" s="85"/>
      <c r="FM323" s="85"/>
      <c r="FN323" s="85"/>
      <c r="FO323" s="85"/>
      <c r="FP323" s="85"/>
      <c r="FQ323" s="85"/>
      <c r="FR323" s="85"/>
      <c r="FS323" s="85"/>
      <c r="FT323" s="85"/>
      <c r="FU323" s="85"/>
      <c r="FV323" s="85"/>
      <c r="FW323" s="85"/>
      <c r="FX323" s="85"/>
      <c r="FY323" s="85"/>
      <c r="FZ323" s="85"/>
      <c r="GA323" s="85"/>
      <c r="GB323" s="85"/>
      <c r="GC323" s="85"/>
      <c r="GD323" s="85"/>
      <c r="GE323" s="85"/>
      <c r="GF323" s="85"/>
      <c r="GG323" s="85"/>
      <c r="GH323" s="85"/>
      <c r="GI323" s="85"/>
      <c r="GJ323" s="85"/>
      <c r="GK323" s="85"/>
      <c r="GL323" s="85"/>
      <c r="GM323" s="85"/>
      <c r="GN323" s="85"/>
      <c r="GO323" s="85"/>
      <c r="GP323" s="85"/>
      <c r="GQ323" s="85"/>
      <c r="GR323" s="85"/>
      <c r="GS323" s="85"/>
      <c r="GT323" s="85"/>
      <c r="GU323" s="85"/>
      <c r="GV323" s="85"/>
      <c r="GW323" s="85"/>
      <c r="GX323" s="85"/>
    </row>
    <row r="324" spans="1:206">
      <c r="A324" s="277"/>
      <c r="B324" s="275" t="s">
        <v>657</v>
      </c>
      <c r="C324" s="273">
        <f>Model!C211-C323</f>
        <v>0</v>
      </c>
      <c r="D324" s="273">
        <f>Model!D211-D323</f>
        <v>-7.5221867900000303</v>
      </c>
      <c r="E324" s="273">
        <f>Model!E211-E323</f>
        <v>-15.421953799999983</v>
      </c>
      <c r="F324" s="273">
        <f>Model!F211-F323</f>
        <v>46.078865869999959</v>
      </c>
      <c r="G324" s="273">
        <f>Model!G211-G323</f>
        <v>-26.109678209999402</v>
      </c>
      <c r="H324" s="273">
        <f>Model!H211-H323</f>
        <v>699.01944013000002</v>
      </c>
      <c r="I324" s="273">
        <f>Model!I211-I323</f>
        <v>0</v>
      </c>
      <c r="J324" s="273">
        <f>Model!J211-J323</f>
        <v>0</v>
      </c>
      <c r="K324" s="273"/>
      <c r="L324" s="273"/>
      <c r="M324" s="273"/>
      <c r="N324" s="273"/>
      <c r="O324" s="273"/>
      <c r="P324" s="273"/>
      <c r="Q324" s="273"/>
      <c r="R324" s="273"/>
      <c r="S324" s="273"/>
      <c r="T324" s="273"/>
      <c r="U324" s="273"/>
      <c r="V324" s="273"/>
      <c r="W324" s="273"/>
      <c r="X324" s="273"/>
      <c r="Y324" s="273"/>
      <c r="Z324" s="273"/>
      <c r="AA324" s="273"/>
      <c r="AB324" s="273"/>
      <c r="AC324" s="273"/>
      <c r="AD324" s="273"/>
      <c r="AE324" s="273"/>
      <c r="AF324" s="273"/>
      <c r="AG324" s="273"/>
      <c r="AH324" s="273"/>
      <c r="AI324" s="273"/>
      <c r="AJ324" s="273"/>
      <c r="AK324" s="273"/>
      <c r="AL324" s="273"/>
      <c r="AM324" s="273"/>
      <c r="AN324" s="273"/>
      <c r="AO324" s="273"/>
      <c r="AP324" s="273"/>
      <c r="AQ324" s="273"/>
      <c r="AR324" s="273"/>
      <c r="AS324" s="273"/>
      <c r="AT324" s="273"/>
      <c r="AU324" s="273"/>
      <c r="AV324" s="273"/>
      <c r="AW324" s="273"/>
      <c r="AX324" s="273"/>
      <c r="AY324" s="273"/>
      <c r="AZ324" s="273"/>
      <c r="BA324" s="273"/>
      <c r="BB324" s="273"/>
      <c r="BC324" s="273"/>
      <c r="BD324" s="273"/>
      <c r="BE324" s="273"/>
      <c r="BF324" s="273"/>
      <c r="BG324" s="273"/>
      <c r="BH324" s="273"/>
      <c r="BI324" s="273"/>
      <c r="BJ324" s="273"/>
      <c r="BK324" s="273"/>
      <c r="BL324" s="273"/>
      <c r="BM324" s="273"/>
      <c r="BN324" s="273"/>
      <c r="BO324" s="273"/>
      <c r="BP324" s="273"/>
      <c r="BQ324" s="273"/>
      <c r="BR324" s="273"/>
      <c r="BS324" s="273"/>
      <c r="BT324" s="273"/>
      <c r="BU324" s="273"/>
      <c r="BV324" s="273"/>
      <c r="BW324" s="273"/>
      <c r="BX324" s="273"/>
      <c r="BY324" s="273"/>
      <c r="BZ324" s="273"/>
      <c r="CA324" s="273"/>
      <c r="CB324" s="273"/>
      <c r="CC324" s="273"/>
      <c r="CD324" s="273"/>
      <c r="CE324" s="273"/>
      <c r="CF324" s="273"/>
      <c r="CG324" s="273"/>
      <c r="CH324" s="273"/>
      <c r="CI324" s="273"/>
      <c r="CJ324" s="273"/>
      <c r="CK324" s="273"/>
      <c r="CL324" s="273"/>
      <c r="CM324" s="273"/>
      <c r="CN324" s="273"/>
      <c r="CO324" s="273"/>
      <c r="CP324" s="273"/>
      <c r="CQ324" s="273"/>
      <c r="CR324" s="273"/>
      <c r="CS324" s="273"/>
      <c r="CT324" s="273"/>
      <c r="CU324" s="273"/>
      <c r="CV324" s="273"/>
      <c r="CW324" s="273"/>
      <c r="CX324" s="273"/>
      <c r="CY324" s="273"/>
      <c r="CZ324" s="273"/>
      <c r="DA324" s="273"/>
      <c r="DB324" s="273"/>
      <c r="DC324" s="273"/>
      <c r="DD324" s="273"/>
      <c r="DE324" s="273"/>
      <c r="DF324" s="273"/>
      <c r="DG324" s="273"/>
      <c r="DH324" s="273"/>
      <c r="DI324" s="273"/>
      <c r="DJ324" s="273"/>
      <c r="DK324" s="273"/>
      <c r="DL324" s="273"/>
      <c r="DM324" s="273"/>
      <c r="DN324" s="273"/>
      <c r="DO324" s="273"/>
      <c r="DP324" s="273"/>
      <c r="DQ324" s="273"/>
      <c r="DR324" s="273"/>
      <c r="DS324" s="273"/>
      <c r="DT324" s="273"/>
      <c r="DU324" s="273"/>
      <c r="DV324" s="273"/>
      <c r="DW324" s="273"/>
      <c r="DX324" s="273"/>
      <c r="DY324" s="273"/>
      <c r="DZ324" s="273"/>
      <c r="EA324" s="273"/>
      <c r="EB324" s="273"/>
      <c r="EC324" s="273"/>
      <c r="ED324" s="273"/>
      <c r="EE324" s="273"/>
      <c r="EF324" s="273"/>
      <c r="EG324" s="273"/>
      <c r="EH324" s="273"/>
      <c r="EI324" s="273"/>
      <c r="EJ324" s="273"/>
      <c r="EK324" s="273"/>
      <c r="EL324" s="273"/>
      <c r="EM324" s="273"/>
      <c r="EN324" s="273"/>
      <c r="EO324" s="273"/>
      <c r="EP324" s="273"/>
      <c r="EQ324" s="273"/>
      <c r="ER324" s="273"/>
      <c r="ES324" s="273"/>
      <c r="ET324" s="273"/>
      <c r="EU324" s="273"/>
      <c r="EV324" s="273"/>
      <c r="EW324" s="273"/>
      <c r="EX324" s="273"/>
      <c r="EY324" s="273"/>
      <c r="EZ324" s="273"/>
      <c r="FA324" s="273"/>
      <c r="FB324" s="273"/>
      <c r="FC324" s="273"/>
      <c r="FD324" s="273"/>
      <c r="FE324" s="273"/>
      <c r="FF324" s="273"/>
      <c r="FG324" s="273"/>
      <c r="FH324" s="273"/>
      <c r="FI324" s="273"/>
      <c r="FJ324" s="273"/>
      <c r="FK324" s="273"/>
      <c r="FL324" s="273"/>
      <c r="FM324" s="273"/>
      <c r="FN324" s="273"/>
      <c r="FO324" s="273"/>
      <c r="FP324" s="273"/>
      <c r="FQ324" s="273"/>
      <c r="FR324" s="273"/>
      <c r="FS324" s="273"/>
      <c r="FT324" s="273"/>
      <c r="FU324" s="273"/>
      <c r="FV324" s="273"/>
      <c r="FW324" s="273"/>
      <c r="FX324" s="273"/>
      <c r="FY324" s="273"/>
      <c r="FZ324" s="273"/>
      <c r="GA324" s="273"/>
      <c r="GB324" s="273"/>
      <c r="GC324" s="273"/>
      <c r="GD324" s="273"/>
      <c r="GE324" s="273"/>
      <c r="GF324" s="273"/>
      <c r="GG324" s="273"/>
      <c r="GH324" s="273"/>
      <c r="GI324" s="273"/>
      <c r="GJ324" s="273"/>
      <c r="GK324" s="273"/>
      <c r="GL324" s="273"/>
      <c r="GM324" s="273"/>
      <c r="GN324" s="273"/>
      <c r="GO324" s="273"/>
      <c r="GP324" s="273"/>
      <c r="GQ324" s="273"/>
      <c r="GR324" s="273"/>
      <c r="GS324" s="273"/>
      <c r="GT324" s="273"/>
      <c r="GU324" s="273"/>
      <c r="GV324" s="273"/>
      <c r="GW324" s="273"/>
      <c r="GX324" s="273"/>
    </row>
    <row r="325" spans="1:206">
      <c r="A325" s="277"/>
    </row>
    <row r="326" spans="1:206" s="85" customFormat="1">
      <c r="A326" s="276"/>
      <c r="B326" s="988" t="s">
        <v>677</v>
      </c>
      <c r="C326" s="989"/>
      <c r="D326" s="989"/>
      <c r="E326" s="989"/>
      <c r="F326" s="989"/>
      <c r="G326" s="989"/>
      <c r="H326" s="989"/>
      <c r="I326" s="989"/>
      <c r="J326" s="989"/>
      <c r="K326" s="279"/>
      <c r="L326" s="989"/>
      <c r="M326" s="989"/>
      <c r="N326" s="989"/>
      <c r="O326" s="989"/>
      <c r="P326" s="989"/>
      <c r="Q326" s="989"/>
      <c r="R326" s="989"/>
      <c r="S326" s="989"/>
      <c r="T326" s="989"/>
      <c r="U326" s="989"/>
      <c r="V326" s="989"/>
      <c r="W326" s="989"/>
      <c r="X326" s="989"/>
      <c r="Y326" s="989"/>
      <c r="Z326" s="989"/>
      <c r="AA326" s="989"/>
      <c r="AB326" s="989"/>
      <c r="AC326" s="989"/>
      <c r="AD326" s="989"/>
      <c r="AE326" s="989"/>
      <c r="AF326" s="989"/>
      <c r="AG326" s="989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  <c r="AS326" s="66"/>
      <c r="AT326" s="66"/>
      <c r="AU326" s="66"/>
      <c r="AV326" s="66"/>
      <c r="AW326" s="66"/>
      <c r="AX326" s="66"/>
      <c r="AY326" s="66"/>
      <c r="AZ326" s="66"/>
      <c r="BA326" s="66"/>
      <c r="BB326" s="66"/>
      <c r="BC326" s="66"/>
      <c r="BD326" s="66"/>
      <c r="BE326" s="66"/>
      <c r="BF326" s="66"/>
      <c r="BG326" s="66"/>
      <c r="BH326" s="66"/>
      <c r="BI326" s="66"/>
      <c r="BJ326" s="66"/>
      <c r="BK326" s="66"/>
      <c r="BL326" s="66"/>
      <c r="BM326" s="66"/>
      <c r="BN326" s="66"/>
      <c r="BO326" s="66"/>
      <c r="BP326" s="66"/>
      <c r="BQ326" s="66"/>
      <c r="BR326" s="66"/>
      <c r="BS326" s="66"/>
      <c r="BT326" s="66"/>
      <c r="BU326" s="66"/>
      <c r="BV326" s="66"/>
      <c r="BW326" s="66"/>
      <c r="BX326" s="66"/>
      <c r="BY326" s="66"/>
      <c r="BZ326" s="66"/>
      <c r="CA326" s="66"/>
      <c r="CB326" s="66"/>
      <c r="CC326" s="66"/>
      <c r="CD326" s="66"/>
      <c r="CE326" s="66"/>
      <c r="CF326" s="66"/>
      <c r="CG326" s="66"/>
      <c r="CH326" s="66"/>
      <c r="CI326" s="66"/>
      <c r="CJ326" s="66"/>
      <c r="CK326" s="66"/>
      <c r="CL326" s="66"/>
      <c r="CM326" s="66"/>
      <c r="CN326" s="66"/>
      <c r="CO326" s="66"/>
      <c r="CP326" s="66"/>
      <c r="CQ326" s="66"/>
      <c r="CR326" s="66"/>
      <c r="CS326" s="66"/>
      <c r="CT326" s="66"/>
      <c r="CU326" s="66"/>
      <c r="CV326" s="66"/>
      <c r="CW326" s="66"/>
      <c r="CX326" s="66"/>
      <c r="CY326" s="66"/>
      <c r="CZ326" s="66"/>
      <c r="DA326" s="66"/>
      <c r="DB326" s="66"/>
      <c r="DC326" s="66"/>
      <c r="DD326" s="66"/>
      <c r="DE326" s="66"/>
      <c r="DF326" s="66"/>
      <c r="DG326" s="66"/>
      <c r="DH326" s="66"/>
      <c r="DI326" s="66"/>
      <c r="DJ326" s="66"/>
      <c r="DK326" s="66"/>
      <c r="DL326" s="66"/>
      <c r="DM326" s="66"/>
      <c r="DN326" s="66"/>
      <c r="DO326" s="66"/>
      <c r="DP326" s="66"/>
      <c r="DQ326" s="66"/>
      <c r="DR326" s="66"/>
      <c r="DS326" s="66"/>
      <c r="DT326" s="66"/>
      <c r="DU326" s="66"/>
      <c r="DV326" s="66"/>
      <c r="DW326" s="66"/>
      <c r="DX326" s="66"/>
      <c r="DY326" s="66"/>
      <c r="DZ326" s="66"/>
      <c r="EA326" s="66"/>
      <c r="EB326" s="66"/>
      <c r="EC326" s="66"/>
      <c r="ED326" s="66"/>
      <c r="EE326" s="66"/>
      <c r="EF326" s="66"/>
      <c r="EG326" s="66"/>
      <c r="EH326" s="66"/>
      <c r="EI326" s="66"/>
      <c r="EJ326" s="66"/>
      <c r="EK326" s="66"/>
      <c r="EL326" s="66"/>
      <c r="EM326" s="66"/>
      <c r="EN326" s="66"/>
      <c r="EO326" s="66"/>
      <c r="EP326" s="66"/>
      <c r="EQ326" s="66"/>
      <c r="ER326" s="66"/>
      <c r="ES326" s="66"/>
      <c r="ET326" s="66"/>
      <c r="EU326" s="66"/>
      <c r="EV326" s="66"/>
      <c r="EW326" s="66"/>
      <c r="EX326" s="66"/>
      <c r="EY326" s="66"/>
      <c r="EZ326" s="66"/>
      <c r="FA326" s="66"/>
      <c r="FB326" s="66"/>
      <c r="FC326" s="66"/>
      <c r="FD326" s="66"/>
      <c r="FE326" s="66"/>
      <c r="FF326" s="66"/>
      <c r="FG326" s="66"/>
      <c r="FH326" s="66"/>
      <c r="FI326" s="66"/>
      <c r="FJ326" s="66"/>
      <c r="FK326" s="66"/>
      <c r="FL326" s="66"/>
      <c r="FM326" s="66"/>
      <c r="FN326" s="66"/>
      <c r="FO326" s="66"/>
      <c r="FP326" s="66"/>
      <c r="FQ326" s="66"/>
      <c r="FR326" s="66"/>
      <c r="FS326" s="66"/>
      <c r="FT326" s="66"/>
      <c r="FU326" s="66"/>
      <c r="FV326" s="66"/>
      <c r="FW326" s="66"/>
      <c r="FX326" s="66"/>
      <c r="FY326" s="66"/>
      <c r="FZ326" s="66"/>
      <c r="GA326" s="66"/>
      <c r="GB326" s="66"/>
      <c r="GC326" s="66"/>
      <c r="GD326" s="66"/>
      <c r="GE326" s="66"/>
      <c r="GF326" s="66"/>
      <c r="GG326" s="66"/>
      <c r="GH326" s="66"/>
      <c r="GI326" s="66"/>
      <c r="GJ326" s="66"/>
      <c r="GK326" s="66"/>
      <c r="GL326" s="66"/>
      <c r="GM326" s="66"/>
      <c r="GN326" s="66"/>
      <c r="GO326" s="66"/>
      <c r="GP326" s="66"/>
      <c r="GQ326" s="66"/>
      <c r="GR326" s="66"/>
      <c r="GS326" s="66"/>
      <c r="GT326" s="66"/>
      <c r="GU326" s="66"/>
      <c r="GV326" s="66"/>
      <c r="GW326" s="66"/>
      <c r="GX326" s="66"/>
    </row>
    <row r="327" spans="1:206" s="273" customFormat="1">
      <c r="A327" s="274"/>
      <c r="B327" s="140" t="s">
        <v>676</v>
      </c>
      <c r="C327" s="283">
        <f>Wind!U210</f>
        <v>297.5</v>
      </c>
      <c r="D327" s="283">
        <f>Wind!V210</f>
        <v>0</v>
      </c>
      <c r="E327" s="283">
        <f>Wind!W210</f>
        <v>57.143000000000001</v>
      </c>
      <c r="F327" s="283">
        <f>Wind!X210</f>
        <v>0</v>
      </c>
      <c r="G327" s="283">
        <f>Wind!Y210</f>
        <v>1851.2627</v>
      </c>
      <c r="H327" s="283">
        <f>Wind!Z210</f>
        <v>0</v>
      </c>
      <c r="I327" s="283">
        <f>Wind!AA210</f>
        <v>0</v>
      </c>
      <c r="J327" s="283">
        <f>Wind!AB210</f>
        <v>4.0564799999999996</v>
      </c>
      <c r="K327" s="283"/>
      <c r="L327" s="283">
        <f>Wind!CB210</f>
        <v>0</v>
      </c>
      <c r="M327" s="283">
        <f>Wind!CC210</f>
        <v>0</v>
      </c>
      <c r="N327" s="283">
        <f>Wind!CD210</f>
        <v>0</v>
      </c>
      <c r="O327" s="283">
        <f>Wind!CE210</f>
        <v>0</v>
      </c>
      <c r="P327" s="283">
        <f>Wind!CF210</f>
        <v>0</v>
      </c>
      <c r="Q327" s="283">
        <f>Wind!CG210</f>
        <v>1851.2627</v>
      </c>
      <c r="R327" s="283">
        <f>Wind!CH210</f>
        <v>1851.2627</v>
      </c>
      <c r="S327" s="283">
        <f>Wind!CI210</f>
        <v>1851.2627</v>
      </c>
      <c r="T327" s="283">
        <f>Wind!CJ210</f>
        <v>0</v>
      </c>
      <c r="U327" s="283">
        <f>Wind!CK210</f>
        <v>0</v>
      </c>
      <c r="V327" s="283">
        <f>Wind!CL210</f>
        <v>0</v>
      </c>
      <c r="W327" s="283">
        <f>Wind!CM210</f>
        <v>0</v>
      </c>
      <c r="X327" s="283">
        <f>Wind!CN210</f>
        <v>0</v>
      </c>
      <c r="Y327" s="283">
        <f>Wind!CO210</f>
        <v>0</v>
      </c>
      <c r="Z327" s="283">
        <f>Wind!CP210</f>
        <v>0</v>
      </c>
      <c r="AA327" s="283">
        <f>Wind!CQ210</f>
        <v>0</v>
      </c>
      <c r="AB327" s="283">
        <f>Wind!CR210</f>
        <v>0</v>
      </c>
      <c r="AC327" s="283">
        <f>Wind!CS210</f>
        <v>0</v>
      </c>
      <c r="AD327" s="283">
        <f>Wind!CT210</f>
        <v>0</v>
      </c>
      <c r="AE327" s="283">
        <f>Wind!CU210</f>
        <v>4.0564799999999996</v>
      </c>
      <c r="AF327" s="283">
        <f>Wind!CV210</f>
        <v>0</v>
      </c>
      <c r="AG327" s="283">
        <f>Wind!CW210</f>
        <v>0</v>
      </c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  <c r="AS327" s="66"/>
      <c r="AT327" s="66"/>
      <c r="AU327" s="66"/>
      <c r="AV327" s="66"/>
      <c r="AW327" s="66"/>
      <c r="AX327" s="66"/>
      <c r="AY327" s="66"/>
      <c r="AZ327" s="66"/>
      <c r="BA327" s="66"/>
      <c r="BB327" s="66"/>
      <c r="BC327" s="66"/>
      <c r="BD327" s="66"/>
      <c r="BE327" s="66"/>
      <c r="BF327" s="66"/>
      <c r="BG327" s="66"/>
      <c r="BH327" s="66"/>
      <c r="BI327" s="66"/>
      <c r="BJ327" s="66"/>
      <c r="BK327" s="66"/>
      <c r="BL327" s="66"/>
      <c r="BM327" s="66"/>
      <c r="BN327" s="66"/>
      <c r="BO327" s="66"/>
      <c r="BP327" s="66"/>
      <c r="BQ327" s="66"/>
      <c r="BR327" s="66"/>
      <c r="BS327" s="66"/>
      <c r="BT327" s="66"/>
      <c r="BU327" s="66"/>
      <c r="BV327" s="66"/>
      <c r="BW327" s="66"/>
      <c r="BX327" s="66"/>
      <c r="BY327" s="66"/>
      <c r="BZ327" s="66"/>
      <c r="CA327" s="66"/>
      <c r="CB327" s="66"/>
      <c r="CC327" s="66"/>
      <c r="CD327" s="66"/>
      <c r="CE327" s="66"/>
      <c r="CF327" s="66"/>
      <c r="CG327" s="66"/>
      <c r="CH327" s="66"/>
      <c r="CI327" s="66"/>
      <c r="CJ327" s="66"/>
      <c r="CK327" s="66"/>
      <c r="CL327" s="66"/>
      <c r="CM327" s="66"/>
      <c r="CN327" s="66"/>
      <c r="CO327" s="66"/>
      <c r="CP327" s="66"/>
      <c r="CQ327" s="66"/>
      <c r="CR327" s="66"/>
      <c r="CS327" s="66"/>
      <c r="CT327" s="66"/>
      <c r="CU327" s="66"/>
      <c r="CV327" s="66"/>
      <c r="CW327" s="66"/>
      <c r="CX327" s="66"/>
      <c r="CY327" s="66"/>
      <c r="CZ327" s="66"/>
      <c r="DA327" s="66"/>
      <c r="DB327" s="66"/>
      <c r="DC327" s="66"/>
      <c r="DD327" s="66"/>
      <c r="DE327" s="66"/>
      <c r="DF327" s="66"/>
      <c r="DG327" s="66"/>
      <c r="DH327" s="66"/>
      <c r="DI327" s="66"/>
      <c r="DJ327" s="66"/>
      <c r="DK327" s="66"/>
      <c r="DL327" s="66"/>
      <c r="DM327" s="66"/>
      <c r="DN327" s="66"/>
      <c r="DO327" s="66"/>
      <c r="DP327" s="66"/>
      <c r="DQ327" s="66"/>
      <c r="DR327" s="66"/>
      <c r="DS327" s="66"/>
      <c r="DT327" s="66"/>
      <c r="DU327" s="66"/>
      <c r="DV327" s="66"/>
      <c r="DW327" s="66"/>
      <c r="DX327" s="66"/>
      <c r="DY327" s="66"/>
      <c r="DZ327" s="66"/>
      <c r="EA327" s="66"/>
      <c r="EB327" s="66"/>
      <c r="EC327" s="66"/>
      <c r="ED327" s="66"/>
      <c r="EE327" s="66"/>
      <c r="EF327" s="66"/>
      <c r="EG327" s="66"/>
      <c r="EH327" s="66"/>
      <c r="EI327" s="66"/>
      <c r="EJ327" s="66"/>
      <c r="EK327" s="66"/>
      <c r="EL327" s="66"/>
      <c r="EM327" s="66"/>
      <c r="EN327" s="66"/>
      <c r="EO327" s="66"/>
      <c r="EP327" s="66"/>
      <c r="EQ327" s="66"/>
      <c r="ER327" s="66"/>
      <c r="ES327" s="66"/>
      <c r="ET327" s="66"/>
      <c r="EU327" s="66"/>
      <c r="EV327" s="66"/>
      <c r="EW327" s="66"/>
      <c r="EX327" s="66"/>
      <c r="EY327" s="66"/>
      <c r="EZ327" s="66"/>
      <c r="FA327" s="66"/>
      <c r="FB327" s="66"/>
      <c r="FC327" s="66"/>
      <c r="FD327" s="66"/>
      <c r="FE327" s="66"/>
      <c r="FF327" s="66"/>
      <c r="FG327" s="66"/>
      <c r="FH327" s="66"/>
      <c r="FI327" s="66"/>
      <c r="FJ327" s="66"/>
      <c r="FK327" s="66"/>
      <c r="FL327" s="66"/>
      <c r="FM327" s="66"/>
      <c r="FN327" s="66"/>
      <c r="FO327" s="66"/>
      <c r="FP327" s="66"/>
      <c r="FQ327" s="66"/>
      <c r="FR327" s="66"/>
      <c r="FS327" s="66"/>
      <c r="FT327" s="66"/>
      <c r="FU327" s="66"/>
      <c r="FV327" s="66"/>
      <c r="FW327" s="66"/>
      <c r="FX327" s="66"/>
      <c r="FY327" s="66"/>
      <c r="FZ327" s="66"/>
      <c r="GA327" s="66"/>
      <c r="GB327" s="66"/>
      <c r="GC327" s="66"/>
      <c r="GD327" s="66"/>
      <c r="GE327" s="66"/>
      <c r="GF327" s="66"/>
      <c r="GG327" s="66"/>
      <c r="GH327" s="66"/>
      <c r="GI327" s="66"/>
      <c r="GJ327" s="66"/>
      <c r="GK327" s="66"/>
      <c r="GL327" s="66"/>
      <c r="GM327" s="66"/>
      <c r="GN327" s="66"/>
      <c r="GO327" s="66"/>
      <c r="GP327" s="66"/>
      <c r="GQ327" s="66"/>
      <c r="GR327" s="66"/>
      <c r="GS327" s="66"/>
      <c r="GT327" s="66"/>
      <c r="GU327" s="66"/>
      <c r="GV327" s="66"/>
      <c r="GW327" s="66"/>
      <c r="GX327" s="66"/>
    </row>
    <row r="328" spans="1:206">
      <c r="A328" s="277"/>
      <c r="B328" s="140" t="s">
        <v>675</v>
      </c>
      <c r="C328" s="279"/>
      <c r="D328" s="279"/>
      <c r="E328" s="279"/>
      <c r="F328" s="279"/>
      <c r="G328" s="279"/>
      <c r="H328" s="279"/>
      <c r="I328" s="279"/>
      <c r="J328" s="279"/>
      <c r="K328" s="279"/>
      <c r="L328" s="279"/>
      <c r="M328" s="279"/>
      <c r="N328" s="279"/>
      <c r="O328" s="279"/>
      <c r="P328" s="279"/>
      <c r="Q328" s="279"/>
      <c r="R328" s="279"/>
      <c r="S328" s="279"/>
      <c r="T328" s="279"/>
      <c r="U328" s="279"/>
      <c r="V328" s="279"/>
      <c r="W328" s="279"/>
      <c r="X328" s="279"/>
      <c r="Y328" s="279"/>
      <c r="Z328" s="279"/>
      <c r="AA328" s="279"/>
      <c r="AB328" s="279"/>
      <c r="AC328" s="279"/>
      <c r="AD328" s="279"/>
      <c r="AE328" s="279"/>
      <c r="AF328" s="279"/>
      <c r="AG328" s="279"/>
    </row>
    <row r="329" spans="1:206">
      <c r="A329" s="277"/>
      <c r="B329" s="140" t="s">
        <v>667</v>
      </c>
      <c r="C329" s="279"/>
      <c r="D329" s="279"/>
      <c r="E329" s="279"/>
      <c r="F329" s="279"/>
      <c r="G329" s="279"/>
      <c r="H329" s="279"/>
      <c r="I329" s="279"/>
      <c r="J329" s="279"/>
      <c r="K329" s="279"/>
      <c r="L329" s="279"/>
      <c r="M329" s="279"/>
      <c r="N329" s="279"/>
      <c r="O329" s="279"/>
      <c r="P329" s="279"/>
      <c r="Q329" s="279"/>
      <c r="R329" s="279"/>
      <c r="S329" s="279"/>
      <c r="T329" s="279"/>
      <c r="U329" s="279"/>
      <c r="V329" s="279"/>
      <c r="W329" s="279"/>
      <c r="X329" s="279"/>
      <c r="Y329" s="279"/>
      <c r="Z329" s="279"/>
      <c r="AA329" s="279"/>
      <c r="AB329" s="279"/>
      <c r="AC329" s="279"/>
      <c r="AD329" s="279"/>
      <c r="AE329" s="279"/>
      <c r="AF329" s="279"/>
      <c r="AG329" s="279"/>
    </row>
    <row r="330" spans="1:206">
      <c r="A330" s="277"/>
      <c r="B330" s="282" t="s">
        <v>118</v>
      </c>
      <c r="C330" s="281">
        <f t="shared" ref="C330:I330" si="161">SUM(C327:C329)</f>
        <v>297.5</v>
      </c>
      <c r="D330" s="281">
        <f t="shared" si="161"/>
        <v>0</v>
      </c>
      <c r="E330" s="281">
        <f t="shared" si="161"/>
        <v>57.143000000000001</v>
      </c>
      <c r="F330" s="281">
        <f t="shared" si="161"/>
        <v>0</v>
      </c>
      <c r="G330" s="281">
        <f t="shared" si="161"/>
        <v>1851.2627</v>
      </c>
      <c r="H330" s="281">
        <f t="shared" si="161"/>
        <v>0</v>
      </c>
      <c r="I330" s="281">
        <f t="shared" si="161"/>
        <v>0</v>
      </c>
      <c r="J330" s="281">
        <f>SUM(J327:J329)</f>
        <v>4.0564799999999996</v>
      </c>
      <c r="K330" s="281"/>
      <c r="L330" s="281">
        <f t="shared" ref="L330:R330" si="162">SUM(L327:L329)</f>
        <v>0</v>
      </c>
      <c r="M330" s="281">
        <f t="shared" si="162"/>
        <v>0</v>
      </c>
      <c r="N330" s="281">
        <f t="shared" si="162"/>
        <v>0</v>
      </c>
      <c r="O330" s="281">
        <f t="shared" si="162"/>
        <v>0</v>
      </c>
      <c r="P330" s="281">
        <f t="shared" si="162"/>
        <v>0</v>
      </c>
      <c r="Q330" s="281">
        <f t="shared" si="162"/>
        <v>1851.2627</v>
      </c>
      <c r="R330" s="281">
        <f t="shared" si="162"/>
        <v>1851.2627</v>
      </c>
      <c r="S330" s="281">
        <f t="shared" ref="S330:AB330" si="163">SUM(S327:S329)</f>
        <v>1851.2627</v>
      </c>
      <c r="T330" s="281">
        <f t="shared" si="163"/>
        <v>0</v>
      </c>
      <c r="U330" s="281">
        <f t="shared" si="163"/>
        <v>0</v>
      </c>
      <c r="V330" s="281">
        <f t="shared" si="163"/>
        <v>0</v>
      </c>
      <c r="W330" s="281">
        <f t="shared" si="163"/>
        <v>0</v>
      </c>
      <c r="X330" s="281">
        <f t="shared" si="163"/>
        <v>0</v>
      </c>
      <c r="Y330" s="281">
        <f t="shared" si="163"/>
        <v>0</v>
      </c>
      <c r="Z330" s="281">
        <f t="shared" si="163"/>
        <v>0</v>
      </c>
      <c r="AA330" s="281">
        <f t="shared" si="163"/>
        <v>0</v>
      </c>
      <c r="AB330" s="281">
        <f t="shared" si="163"/>
        <v>0</v>
      </c>
      <c r="AC330" s="281">
        <f>SUM(AC327:AC329)</f>
        <v>0</v>
      </c>
      <c r="AD330" s="281">
        <f>SUM(AD327:AD329)</f>
        <v>0</v>
      </c>
      <c r="AE330" s="281">
        <f>SUM(AE327:AE329)</f>
        <v>4.0564799999999996</v>
      </c>
      <c r="AF330" s="281">
        <f t="shared" ref="AF330:AG330" si="164">SUM(AF327:AF329)</f>
        <v>0</v>
      </c>
      <c r="AG330" s="281">
        <f t="shared" si="164"/>
        <v>0</v>
      </c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85"/>
      <c r="AS330" s="85"/>
      <c r="AT330" s="85"/>
      <c r="AU330" s="85"/>
      <c r="AV330" s="85"/>
      <c r="AW330" s="85"/>
      <c r="AX330" s="85"/>
      <c r="AY330" s="85"/>
      <c r="AZ330" s="85"/>
      <c r="BA330" s="85"/>
      <c r="BB330" s="85"/>
      <c r="BC330" s="85"/>
      <c r="BD330" s="85"/>
      <c r="BE330" s="85"/>
      <c r="BF330" s="85"/>
      <c r="BG330" s="85"/>
      <c r="BH330" s="85"/>
      <c r="BI330" s="85"/>
      <c r="BJ330" s="85"/>
      <c r="BK330" s="85"/>
      <c r="BL330" s="85"/>
      <c r="BM330" s="85"/>
      <c r="BN330" s="85"/>
      <c r="BO330" s="85"/>
      <c r="BP330" s="85"/>
      <c r="BQ330" s="85"/>
      <c r="BR330" s="85"/>
      <c r="BS330" s="85"/>
      <c r="BT330" s="85"/>
      <c r="BU330" s="85"/>
      <c r="BV330" s="85"/>
      <c r="BW330" s="85"/>
      <c r="BX330" s="85"/>
      <c r="BY330" s="85"/>
      <c r="BZ330" s="85"/>
      <c r="CA330" s="85"/>
      <c r="CB330" s="85"/>
      <c r="CC330" s="85"/>
      <c r="CD330" s="85"/>
      <c r="CE330" s="85"/>
      <c r="CF330" s="85"/>
      <c r="CG330" s="85"/>
      <c r="CH330" s="85"/>
      <c r="CI330" s="85"/>
      <c r="CJ330" s="85"/>
      <c r="CK330" s="85"/>
      <c r="CL330" s="85"/>
      <c r="CM330" s="85"/>
      <c r="CN330" s="85"/>
      <c r="CO330" s="85"/>
      <c r="CP330" s="85"/>
      <c r="CQ330" s="85"/>
      <c r="CR330" s="85"/>
      <c r="CS330" s="85"/>
      <c r="CT330" s="85"/>
      <c r="CU330" s="85"/>
      <c r="CV330" s="85"/>
      <c r="CW330" s="85"/>
      <c r="CX330" s="85"/>
      <c r="CY330" s="85"/>
      <c r="CZ330" s="85"/>
      <c r="DA330" s="85"/>
      <c r="DB330" s="85"/>
      <c r="DC330" s="85"/>
      <c r="DD330" s="85"/>
      <c r="DE330" s="85"/>
      <c r="DF330" s="85"/>
      <c r="DG330" s="85"/>
      <c r="DH330" s="85"/>
      <c r="DI330" s="85"/>
      <c r="DJ330" s="85"/>
      <c r="DK330" s="85"/>
      <c r="DL330" s="85"/>
      <c r="DM330" s="85"/>
      <c r="DN330" s="85"/>
      <c r="DO330" s="85"/>
      <c r="DP330" s="85"/>
      <c r="DQ330" s="85"/>
      <c r="DR330" s="85"/>
      <c r="DS330" s="85"/>
      <c r="DT330" s="85"/>
      <c r="DU330" s="85"/>
      <c r="DV330" s="85"/>
      <c r="DW330" s="85"/>
      <c r="DX330" s="85"/>
      <c r="DY330" s="85"/>
      <c r="DZ330" s="85"/>
      <c r="EA330" s="85"/>
      <c r="EB330" s="85"/>
      <c r="EC330" s="85"/>
      <c r="ED330" s="85"/>
      <c r="EE330" s="85"/>
      <c r="EF330" s="85"/>
      <c r="EG330" s="85"/>
      <c r="EH330" s="85"/>
      <c r="EI330" s="85"/>
      <c r="EJ330" s="85"/>
      <c r="EK330" s="85"/>
      <c r="EL330" s="85"/>
      <c r="EM330" s="85"/>
      <c r="EN330" s="85"/>
      <c r="EO330" s="85"/>
      <c r="EP330" s="85"/>
      <c r="EQ330" s="85"/>
      <c r="ER330" s="85"/>
      <c r="ES330" s="85"/>
      <c r="ET330" s="85"/>
      <c r="EU330" s="85"/>
      <c r="EV330" s="85"/>
      <c r="EW330" s="85"/>
      <c r="EX330" s="85"/>
      <c r="EY330" s="85"/>
      <c r="EZ330" s="85"/>
      <c r="FA330" s="85"/>
      <c r="FB330" s="85"/>
      <c r="FC330" s="85"/>
      <c r="FD330" s="85"/>
      <c r="FE330" s="85"/>
      <c r="FF330" s="85"/>
      <c r="FG330" s="85"/>
      <c r="FH330" s="85"/>
      <c r="FI330" s="85"/>
      <c r="FJ330" s="85"/>
      <c r="FK330" s="85"/>
      <c r="FL330" s="85"/>
      <c r="FM330" s="85"/>
      <c r="FN330" s="85"/>
      <c r="FO330" s="85"/>
      <c r="FP330" s="85"/>
      <c r="FQ330" s="85"/>
      <c r="FR330" s="85"/>
      <c r="FS330" s="85"/>
      <c r="FT330" s="85"/>
      <c r="FU330" s="85"/>
      <c r="FV330" s="85"/>
      <c r="FW330" s="85"/>
      <c r="FX330" s="85"/>
      <c r="FY330" s="85"/>
      <c r="FZ330" s="85"/>
      <c r="GA330" s="85"/>
      <c r="GB330" s="85"/>
      <c r="GC330" s="85"/>
      <c r="GD330" s="85"/>
      <c r="GE330" s="85"/>
      <c r="GF330" s="85"/>
      <c r="GG330" s="85"/>
      <c r="GH330" s="85"/>
      <c r="GI330" s="85"/>
      <c r="GJ330" s="85"/>
      <c r="GK330" s="85"/>
      <c r="GL330" s="85"/>
      <c r="GM330" s="85"/>
      <c r="GN330" s="85"/>
      <c r="GO330" s="85"/>
      <c r="GP330" s="85"/>
      <c r="GQ330" s="85"/>
      <c r="GR330" s="85"/>
      <c r="GS330" s="85"/>
      <c r="GT330" s="85"/>
      <c r="GU330" s="85"/>
      <c r="GV330" s="85"/>
      <c r="GW330" s="85"/>
      <c r="GX330" s="85"/>
    </row>
    <row r="331" spans="1:206">
      <c r="A331" s="277"/>
      <c r="C331" s="279"/>
      <c r="D331" s="279"/>
      <c r="E331" s="279"/>
      <c r="F331" s="279"/>
      <c r="G331" s="279"/>
      <c r="H331" s="279"/>
      <c r="I331" s="279"/>
      <c r="J331" s="279"/>
      <c r="K331" s="279"/>
      <c r="L331" s="279"/>
      <c r="M331" s="279"/>
      <c r="N331" s="279"/>
      <c r="O331" s="279"/>
      <c r="P331" s="279"/>
      <c r="Q331" s="279"/>
      <c r="R331" s="279"/>
      <c r="S331" s="279"/>
      <c r="T331" s="279"/>
      <c r="U331" s="279"/>
      <c r="V331" s="279"/>
      <c r="W331" s="279"/>
      <c r="X331" s="279"/>
      <c r="Y331" s="279"/>
      <c r="Z331" s="279"/>
      <c r="AA331" s="279"/>
      <c r="AB331" s="279"/>
      <c r="AC331" s="279"/>
      <c r="AD331" s="279"/>
      <c r="AE331" s="279"/>
      <c r="AF331" s="279"/>
      <c r="AG331" s="279"/>
    </row>
    <row r="332" spans="1:206">
      <c r="A332" s="277"/>
      <c r="B332" s="149" t="s">
        <v>674</v>
      </c>
      <c r="C332" s="278">
        <f>-Wind!U219</f>
        <v>-38.927700000000002</v>
      </c>
      <c r="D332" s="278">
        <f>-Wind!V219</f>
        <v>-67.877543870000011</v>
      </c>
      <c r="E332" s="278">
        <f>-Wind!W219</f>
        <v>-150.92364184000002</v>
      </c>
      <c r="F332" s="278">
        <f>-Wind!X219</f>
        <v>-556.38190385999997</v>
      </c>
      <c r="G332" s="278">
        <f>-Wind!Y219</f>
        <v>-626.66607980999993</v>
      </c>
      <c r="H332" s="278">
        <f>-Wind!Z219</f>
        <v>-603.45240447000003</v>
      </c>
      <c r="I332" s="278">
        <f>-Wind!AA219</f>
        <v>-811.02757458000008</v>
      </c>
      <c r="J332" s="278">
        <f>-Wind!AB219</f>
        <v>-2051.2479089799999</v>
      </c>
      <c r="K332" s="278"/>
      <c r="L332" s="278">
        <f>-Wind!CB219</f>
        <v>-2.9015093100000002</v>
      </c>
      <c r="M332" s="278">
        <f>-Wind!CC219</f>
        <v>-367.82929999999999</v>
      </c>
      <c r="N332" s="278">
        <f>-Wind!CD219</f>
        <v>-371.69146054999999</v>
      </c>
      <c r="O332" s="278">
        <f>-Wind!CE219</f>
        <v>-556.38190385999997</v>
      </c>
      <c r="P332" s="278">
        <f>-Wind!CF219</f>
        <v>-4.2514630000000002</v>
      </c>
      <c r="Q332" s="278">
        <f>-Wind!CG219</f>
        <v>-7.92731545</v>
      </c>
      <c r="R332" s="278">
        <f>-Wind!CH219</f>
        <v>-617.08960948000004</v>
      </c>
      <c r="S332" s="278">
        <f>-Wind!CI219</f>
        <v>-626.66607980999993</v>
      </c>
      <c r="T332" s="278">
        <f>-Wind!CJ219</f>
        <v>-78.207115139999999</v>
      </c>
      <c r="U332" s="278">
        <f>-Wind!CK219</f>
        <v>-601.28637163999997</v>
      </c>
      <c r="V332" s="278">
        <f>-Wind!CL219</f>
        <v>-661.05775324000001</v>
      </c>
      <c r="W332" s="278">
        <f>-Wind!CM219</f>
        <v>-603.45240447000003</v>
      </c>
      <c r="X332" s="278">
        <f>-Wind!CN219</f>
        <v>-2.7069819100000001</v>
      </c>
      <c r="Y332" s="278">
        <f>-Wind!CO219</f>
        <v>-764.20118500000001</v>
      </c>
      <c r="Z332" s="278">
        <f>-Wind!CP219</f>
        <v>-805.24384171000008</v>
      </c>
      <c r="AA332" s="278">
        <f>-Wind!CQ219</f>
        <v>-811.02757458000008</v>
      </c>
      <c r="AB332" s="278">
        <f>-Wind!CR219</f>
        <v>-6.5965000099999997</v>
      </c>
      <c r="AC332" s="278">
        <f>-Wind!CS219</f>
        <v>-1039.70008278</v>
      </c>
      <c r="AD332" s="278">
        <f>-Wind!CT219</f>
        <v>-1331.63964351</v>
      </c>
      <c r="AE332" s="278">
        <f>-Wind!CU219</f>
        <v>-2051.2479089799999</v>
      </c>
      <c r="AF332" s="278">
        <f>-Wind!CV219</f>
        <v>-6.7273089199999996</v>
      </c>
      <c r="AG332" s="278">
        <f>-Wind!CW219</f>
        <v>-1335.60807697</v>
      </c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  <c r="BA332" s="85"/>
      <c r="BB332" s="85"/>
      <c r="BC332" s="85"/>
      <c r="BD332" s="85"/>
      <c r="BE332" s="85"/>
      <c r="BF332" s="85"/>
      <c r="BG332" s="85"/>
      <c r="BH332" s="85"/>
      <c r="BI332" s="85"/>
      <c r="BJ332" s="85"/>
      <c r="BK332" s="85"/>
      <c r="BL332" s="85"/>
      <c r="BM332" s="85"/>
      <c r="BN332" s="85"/>
      <c r="BO332" s="85"/>
      <c r="BP332" s="85"/>
      <c r="BQ332" s="85"/>
      <c r="BR332" s="85"/>
      <c r="BS332" s="85"/>
      <c r="BT332" s="85"/>
      <c r="BU332" s="85"/>
      <c r="BV332" s="85"/>
      <c r="BW332" s="85"/>
      <c r="BX332" s="85"/>
      <c r="BY332" s="85"/>
      <c r="BZ332" s="85"/>
      <c r="CA332" s="85"/>
      <c r="CB332" s="85"/>
      <c r="CC332" s="85"/>
      <c r="CD332" s="85"/>
      <c r="CE332" s="85"/>
      <c r="CF332" s="85"/>
      <c r="CG332" s="85"/>
      <c r="CH332" s="85"/>
      <c r="CI332" s="85"/>
      <c r="CJ332" s="85"/>
      <c r="CK332" s="85"/>
      <c r="CL332" s="85"/>
      <c r="CM332" s="85"/>
      <c r="CN332" s="85"/>
      <c r="CO332" s="85"/>
      <c r="CP332" s="85"/>
      <c r="CQ332" s="85"/>
      <c r="CR332" s="85"/>
      <c r="CS332" s="85"/>
      <c r="CT332" s="85"/>
      <c r="CU332" s="85"/>
      <c r="CV332" s="85"/>
      <c r="CW332" s="85"/>
      <c r="CX332" s="85"/>
      <c r="CY332" s="85"/>
      <c r="CZ332" s="85"/>
      <c r="DA332" s="85"/>
      <c r="DB332" s="85"/>
      <c r="DC332" s="85"/>
      <c r="DD332" s="85"/>
      <c r="DE332" s="85"/>
      <c r="DF332" s="85"/>
      <c r="DG332" s="85"/>
      <c r="DH332" s="85"/>
      <c r="DI332" s="85"/>
      <c r="DJ332" s="85"/>
      <c r="DK332" s="85"/>
      <c r="DL332" s="85"/>
      <c r="DM332" s="85"/>
      <c r="DN332" s="85"/>
      <c r="DO332" s="85"/>
      <c r="DP332" s="85"/>
      <c r="DQ332" s="85"/>
      <c r="DR332" s="85"/>
      <c r="DS332" s="85"/>
      <c r="DT332" s="85"/>
      <c r="DU332" s="85"/>
      <c r="DV332" s="85"/>
      <c r="DW332" s="85"/>
      <c r="DX332" s="85"/>
      <c r="DY332" s="85"/>
      <c r="DZ332" s="85"/>
      <c r="EA332" s="85"/>
      <c r="EB332" s="85"/>
      <c r="EC332" s="85"/>
      <c r="ED332" s="85"/>
      <c r="EE332" s="85"/>
      <c r="EF332" s="85"/>
      <c r="EG332" s="85"/>
      <c r="EH332" s="85"/>
      <c r="EI332" s="85"/>
      <c r="EJ332" s="85"/>
      <c r="EK332" s="85"/>
      <c r="EL332" s="85"/>
      <c r="EM332" s="85"/>
      <c r="EN332" s="85"/>
      <c r="EO332" s="85"/>
      <c r="EP332" s="85"/>
      <c r="EQ332" s="85"/>
      <c r="ER332" s="85"/>
      <c r="ES332" s="85"/>
      <c r="ET332" s="85"/>
      <c r="EU332" s="85"/>
      <c r="EV332" s="85"/>
      <c r="EW332" s="85"/>
      <c r="EX332" s="85"/>
      <c r="EY332" s="85"/>
      <c r="EZ332" s="85"/>
      <c r="FA332" s="85"/>
      <c r="FB332" s="85"/>
      <c r="FC332" s="85"/>
      <c r="FD332" s="85"/>
      <c r="FE332" s="85"/>
      <c r="FF332" s="85"/>
      <c r="FG332" s="85"/>
      <c r="FH332" s="85"/>
      <c r="FI332" s="85"/>
      <c r="FJ332" s="85"/>
      <c r="FK332" s="85"/>
      <c r="FL332" s="85"/>
      <c r="FM332" s="85"/>
      <c r="FN332" s="85"/>
      <c r="FO332" s="85"/>
      <c r="FP332" s="85"/>
      <c r="FQ332" s="85"/>
      <c r="FR332" s="85"/>
      <c r="FS332" s="85"/>
      <c r="FT332" s="85"/>
      <c r="FU332" s="85"/>
      <c r="FV332" s="85"/>
      <c r="FW332" s="85"/>
      <c r="FX332" s="85"/>
      <c r="FY332" s="85"/>
      <c r="FZ332" s="85"/>
      <c r="GA332" s="85"/>
      <c r="GB332" s="85"/>
      <c r="GC332" s="85"/>
      <c r="GD332" s="85"/>
      <c r="GE332" s="85"/>
      <c r="GF332" s="85"/>
      <c r="GG332" s="85"/>
      <c r="GH332" s="85"/>
      <c r="GI332" s="85"/>
      <c r="GJ332" s="85"/>
      <c r="GK332" s="85"/>
      <c r="GL332" s="85"/>
      <c r="GM332" s="85"/>
      <c r="GN332" s="85"/>
      <c r="GO332" s="85"/>
      <c r="GP332" s="85"/>
      <c r="GQ332" s="85"/>
      <c r="GR332" s="85"/>
      <c r="GS332" s="85"/>
      <c r="GT332" s="85"/>
      <c r="GU332" s="85"/>
      <c r="GV332" s="85"/>
      <c r="GW332" s="85"/>
      <c r="GX332" s="85"/>
    </row>
    <row r="333" spans="1:206" s="85" customFormat="1">
      <c r="A333" s="276"/>
      <c r="B333" s="67"/>
      <c r="C333" s="280"/>
      <c r="D333" s="280"/>
      <c r="E333" s="280"/>
      <c r="F333" s="280"/>
      <c r="G333" s="280"/>
      <c r="H333" s="280"/>
      <c r="I333" s="280"/>
      <c r="J333" s="280"/>
      <c r="K333" s="280"/>
      <c r="L333" s="280"/>
      <c r="M333" s="280"/>
      <c r="N333" s="280"/>
      <c r="O333" s="280"/>
      <c r="P333" s="280"/>
      <c r="Q333" s="280"/>
      <c r="R333" s="280"/>
      <c r="S333" s="280"/>
      <c r="T333" s="280"/>
      <c r="U333" s="280"/>
      <c r="V333" s="280"/>
      <c r="W333" s="280"/>
      <c r="X333" s="280"/>
      <c r="Y333" s="280"/>
      <c r="Z333" s="280"/>
      <c r="AA333" s="280"/>
      <c r="AB333" s="280"/>
      <c r="AC333" s="280"/>
      <c r="AD333" s="280"/>
      <c r="AE333" s="280"/>
      <c r="AF333" s="280"/>
      <c r="AG333" s="280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  <c r="AS333" s="66"/>
      <c r="AT333" s="66"/>
      <c r="AU333" s="66"/>
      <c r="AV333" s="66"/>
      <c r="AW333" s="66"/>
      <c r="AX333" s="66"/>
      <c r="AY333" s="66"/>
      <c r="AZ333" s="66"/>
      <c r="BA333" s="66"/>
      <c r="BB333" s="66"/>
      <c r="BC333" s="66"/>
      <c r="BD333" s="66"/>
      <c r="BE333" s="66"/>
      <c r="BF333" s="66"/>
      <c r="BG333" s="66"/>
      <c r="BH333" s="66"/>
      <c r="BI333" s="66"/>
      <c r="BJ333" s="66"/>
      <c r="BK333" s="66"/>
      <c r="BL333" s="66"/>
      <c r="BM333" s="66"/>
      <c r="BN333" s="66"/>
      <c r="BO333" s="66"/>
      <c r="BP333" s="66"/>
      <c r="BQ333" s="66"/>
      <c r="BR333" s="66"/>
      <c r="BS333" s="66"/>
      <c r="BT333" s="66"/>
      <c r="BU333" s="66"/>
      <c r="BV333" s="66"/>
      <c r="BW333" s="66"/>
      <c r="BX333" s="66"/>
      <c r="BY333" s="66"/>
      <c r="BZ333" s="66"/>
      <c r="CA333" s="66"/>
      <c r="CB333" s="66"/>
      <c r="CC333" s="66"/>
      <c r="CD333" s="66"/>
      <c r="CE333" s="66"/>
      <c r="CF333" s="66"/>
      <c r="CG333" s="66"/>
      <c r="CH333" s="66"/>
      <c r="CI333" s="66"/>
      <c r="CJ333" s="66"/>
      <c r="CK333" s="66"/>
      <c r="CL333" s="66"/>
      <c r="CM333" s="66"/>
      <c r="CN333" s="66"/>
      <c r="CO333" s="66"/>
      <c r="CP333" s="66"/>
      <c r="CQ333" s="66"/>
      <c r="CR333" s="66"/>
      <c r="CS333" s="66"/>
      <c r="CT333" s="66"/>
      <c r="CU333" s="66"/>
      <c r="CV333" s="66"/>
      <c r="CW333" s="66"/>
      <c r="CX333" s="66"/>
      <c r="CY333" s="66"/>
      <c r="CZ333" s="66"/>
      <c r="DA333" s="66"/>
      <c r="DB333" s="66"/>
      <c r="DC333" s="66"/>
      <c r="DD333" s="66"/>
      <c r="DE333" s="66"/>
      <c r="DF333" s="66"/>
      <c r="DG333" s="66"/>
      <c r="DH333" s="66"/>
      <c r="DI333" s="66"/>
      <c r="DJ333" s="66"/>
      <c r="DK333" s="66"/>
      <c r="DL333" s="66"/>
      <c r="DM333" s="66"/>
      <c r="DN333" s="66"/>
      <c r="DO333" s="66"/>
      <c r="DP333" s="66"/>
      <c r="DQ333" s="66"/>
      <c r="DR333" s="66"/>
      <c r="DS333" s="66"/>
      <c r="DT333" s="66"/>
      <c r="DU333" s="66"/>
      <c r="DV333" s="66"/>
      <c r="DW333" s="66"/>
      <c r="DX333" s="66"/>
      <c r="DY333" s="66"/>
      <c r="DZ333" s="66"/>
      <c r="EA333" s="66"/>
      <c r="EB333" s="66"/>
      <c r="EC333" s="66"/>
      <c r="ED333" s="66"/>
      <c r="EE333" s="66"/>
      <c r="EF333" s="66"/>
      <c r="EG333" s="66"/>
      <c r="EH333" s="66"/>
      <c r="EI333" s="66"/>
      <c r="EJ333" s="66"/>
      <c r="EK333" s="66"/>
      <c r="EL333" s="66"/>
      <c r="EM333" s="66"/>
      <c r="EN333" s="66"/>
      <c r="EO333" s="66"/>
      <c r="EP333" s="66"/>
      <c r="EQ333" s="66"/>
      <c r="ER333" s="66"/>
      <c r="ES333" s="66"/>
      <c r="ET333" s="66"/>
      <c r="EU333" s="66"/>
      <c r="EV333" s="66"/>
      <c r="EW333" s="66"/>
      <c r="EX333" s="66"/>
      <c r="EY333" s="66"/>
      <c r="EZ333" s="66"/>
      <c r="FA333" s="66"/>
      <c r="FB333" s="66"/>
      <c r="FC333" s="66"/>
      <c r="FD333" s="66"/>
      <c r="FE333" s="66"/>
      <c r="FF333" s="66"/>
      <c r="FG333" s="66"/>
      <c r="FH333" s="66"/>
      <c r="FI333" s="66"/>
      <c r="FJ333" s="66"/>
      <c r="FK333" s="66"/>
      <c r="FL333" s="66"/>
      <c r="FM333" s="66"/>
      <c r="FN333" s="66"/>
      <c r="FO333" s="66"/>
      <c r="FP333" s="66"/>
      <c r="FQ333" s="66"/>
      <c r="FR333" s="66"/>
      <c r="FS333" s="66"/>
      <c r="FT333" s="66"/>
      <c r="FU333" s="66"/>
      <c r="FV333" s="66"/>
      <c r="FW333" s="66"/>
      <c r="FX333" s="66"/>
      <c r="FY333" s="66"/>
      <c r="FZ333" s="66"/>
      <c r="GA333" s="66"/>
      <c r="GB333" s="66"/>
      <c r="GC333" s="66"/>
      <c r="GD333" s="66"/>
      <c r="GE333" s="66"/>
      <c r="GF333" s="66"/>
      <c r="GG333" s="66"/>
      <c r="GH333" s="66"/>
      <c r="GI333" s="66"/>
      <c r="GJ333" s="66"/>
      <c r="GK333" s="66"/>
      <c r="GL333" s="66"/>
      <c r="GM333" s="66"/>
      <c r="GN333" s="66"/>
      <c r="GO333" s="66"/>
      <c r="GP333" s="66"/>
      <c r="GQ333" s="66"/>
      <c r="GR333" s="66"/>
      <c r="GS333" s="66"/>
      <c r="GT333" s="66"/>
      <c r="GU333" s="66"/>
      <c r="GV333" s="66"/>
      <c r="GW333" s="66"/>
      <c r="GX333" s="66"/>
    </row>
    <row r="334" spans="1:206">
      <c r="A334" s="277"/>
      <c r="B334" s="140" t="s">
        <v>673</v>
      </c>
      <c r="C334" s="280">
        <f>Wind!U213</f>
        <v>0</v>
      </c>
      <c r="D334" s="280">
        <f>Wind!V213</f>
        <v>0</v>
      </c>
      <c r="E334" s="280">
        <f>Wind!W213</f>
        <v>0</v>
      </c>
      <c r="F334" s="280">
        <f>Wind!X213</f>
        <v>0</v>
      </c>
      <c r="G334" s="280">
        <f>Wind!Y213</f>
        <v>0</v>
      </c>
      <c r="H334" s="280">
        <f>Wind!Z213</f>
        <v>0</v>
      </c>
      <c r="I334" s="280">
        <f>Wind!AA213</f>
        <v>112.34556845</v>
      </c>
      <c r="J334" s="280">
        <f>Wind!AB213</f>
        <v>305.80200000000002</v>
      </c>
      <c r="K334" s="280"/>
      <c r="L334" s="280">
        <f>Wind!CB213</f>
        <v>0</v>
      </c>
      <c r="M334" s="280">
        <f>Wind!CC213</f>
        <v>0</v>
      </c>
      <c r="N334" s="280">
        <f>Wind!CD213</f>
        <v>0</v>
      </c>
      <c r="O334" s="280">
        <f>Wind!CE213</f>
        <v>0</v>
      </c>
      <c r="P334" s="280">
        <f>Wind!CF213</f>
        <v>0</v>
      </c>
      <c r="Q334" s="280">
        <f>Wind!CG213</f>
        <v>0</v>
      </c>
      <c r="R334" s="280">
        <f>Wind!CH213</f>
        <v>0</v>
      </c>
      <c r="S334" s="280">
        <f>Wind!CI213</f>
        <v>0</v>
      </c>
      <c r="T334" s="280">
        <f>Wind!CJ213</f>
        <v>0</v>
      </c>
      <c r="U334" s="280">
        <f>Wind!CK213</f>
        <v>0</v>
      </c>
      <c r="V334" s="280">
        <f>Wind!CL213</f>
        <v>0</v>
      </c>
      <c r="W334" s="280">
        <f>Wind!CM213</f>
        <v>0</v>
      </c>
      <c r="X334" s="280">
        <f>Wind!CN213</f>
        <v>0</v>
      </c>
      <c r="Y334" s="280">
        <f>Wind!CO213</f>
        <v>78.865568449999998</v>
      </c>
      <c r="Z334" s="280">
        <f>Wind!CP213</f>
        <v>0</v>
      </c>
      <c r="AA334" s="280">
        <f>Wind!CQ213</f>
        <v>112.34556845</v>
      </c>
      <c r="AB334" s="280">
        <f>Wind!CR213</f>
        <v>0</v>
      </c>
      <c r="AC334" s="280">
        <f>Wind!CS213</f>
        <v>505.24196052999997</v>
      </c>
      <c r="AD334" s="280">
        <f>Wind!CT213</f>
        <v>613.48697812</v>
      </c>
      <c r="AE334" s="280">
        <f>Wind!CU213</f>
        <v>305.80200000000002</v>
      </c>
      <c r="AF334" s="280">
        <f>Wind!CV213</f>
        <v>0</v>
      </c>
      <c r="AG334" s="280">
        <f>Wind!CW213</f>
        <v>0</v>
      </c>
    </row>
    <row r="335" spans="1:206" s="85" customFormat="1">
      <c r="A335" s="276"/>
      <c r="B335" s="140" t="s">
        <v>672</v>
      </c>
      <c r="C335" s="279"/>
      <c r="D335" s="279"/>
      <c r="E335" s="279"/>
      <c r="F335" s="279"/>
      <c r="G335" s="279"/>
      <c r="H335" s="279"/>
      <c r="I335" s="279"/>
      <c r="J335" s="279"/>
      <c r="K335" s="279"/>
      <c r="L335" s="279"/>
      <c r="M335" s="279"/>
      <c r="N335" s="279"/>
      <c r="O335" s="279"/>
      <c r="P335" s="279"/>
      <c r="Q335" s="279"/>
      <c r="R335" s="279"/>
      <c r="S335" s="279"/>
      <c r="T335" s="279"/>
      <c r="U335" s="279"/>
      <c r="V335" s="279"/>
      <c r="W335" s="279"/>
      <c r="X335" s="279"/>
      <c r="Y335" s="279"/>
      <c r="Z335" s="279"/>
      <c r="AA335" s="279"/>
      <c r="AB335" s="279"/>
      <c r="AC335" s="279"/>
      <c r="AD335" s="279"/>
      <c r="AE335" s="279"/>
      <c r="AF335" s="279"/>
      <c r="AG335" s="279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/>
      <c r="AU335" s="66"/>
      <c r="AV335" s="66"/>
      <c r="AW335" s="66"/>
      <c r="AX335" s="66"/>
      <c r="AY335" s="66"/>
      <c r="AZ335" s="66"/>
      <c r="BA335" s="66"/>
      <c r="BB335" s="66"/>
      <c r="BC335" s="66"/>
      <c r="BD335" s="66"/>
      <c r="BE335" s="66"/>
      <c r="BF335" s="66"/>
      <c r="BG335" s="66"/>
      <c r="BH335" s="66"/>
      <c r="BI335" s="66"/>
      <c r="BJ335" s="66"/>
      <c r="BK335" s="66"/>
      <c r="BL335" s="66"/>
      <c r="BM335" s="66"/>
      <c r="BN335" s="66"/>
      <c r="BO335" s="66"/>
      <c r="BP335" s="66"/>
      <c r="BQ335" s="66"/>
      <c r="BR335" s="66"/>
      <c r="BS335" s="66"/>
      <c r="BT335" s="66"/>
      <c r="BU335" s="66"/>
      <c r="BV335" s="66"/>
      <c r="BW335" s="66"/>
      <c r="BX335" s="66"/>
      <c r="BY335" s="66"/>
      <c r="BZ335" s="66"/>
      <c r="CA335" s="66"/>
      <c r="CB335" s="66"/>
      <c r="CC335" s="66"/>
      <c r="CD335" s="66"/>
      <c r="CE335" s="66"/>
      <c r="CF335" s="66"/>
      <c r="CG335" s="66"/>
      <c r="CH335" s="66"/>
      <c r="CI335" s="66"/>
      <c r="CJ335" s="66"/>
      <c r="CK335" s="66"/>
      <c r="CL335" s="66"/>
      <c r="CM335" s="66"/>
      <c r="CN335" s="66"/>
      <c r="CO335" s="66"/>
      <c r="CP335" s="66"/>
      <c r="CQ335" s="66"/>
      <c r="CR335" s="66"/>
      <c r="CS335" s="66"/>
      <c r="CT335" s="66"/>
      <c r="CU335" s="66"/>
      <c r="CV335" s="66"/>
      <c r="CW335" s="66"/>
      <c r="CX335" s="66"/>
      <c r="CY335" s="66"/>
      <c r="CZ335" s="66"/>
      <c r="DA335" s="66"/>
      <c r="DB335" s="66"/>
      <c r="DC335" s="66"/>
      <c r="DD335" s="66"/>
      <c r="DE335" s="66"/>
      <c r="DF335" s="66"/>
      <c r="DG335" s="66"/>
      <c r="DH335" s="66"/>
      <c r="DI335" s="66"/>
      <c r="DJ335" s="66"/>
      <c r="DK335" s="66"/>
      <c r="DL335" s="66"/>
      <c r="DM335" s="66"/>
      <c r="DN335" s="66"/>
      <c r="DO335" s="66"/>
      <c r="DP335" s="66"/>
      <c r="DQ335" s="66"/>
      <c r="DR335" s="66"/>
      <c r="DS335" s="66"/>
      <c r="DT335" s="66"/>
      <c r="DU335" s="66"/>
      <c r="DV335" s="66"/>
      <c r="DW335" s="66"/>
      <c r="DX335" s="66"/>
      <c r="DY335" s="66"/>
      <c r="DZ335" s="66"/>
      <c r="EA335" s="66"/>
      <c r="EB335" s="66"/>
      <c r="EC335" s="66"/>
      <c r="ED335" s="66"/>
      <c r="EE335" s="66"/>
      <c r="EF335" s="66"/>
      <c r="EG335" s="66"/>
      <c r="EH335" s="66"/>
      <c r="EI335" s="66"/>
      <c r="EJ335" s="66"/>
      <c r="EK335" s="66"/>
      <c r="EL335" s="66"/>
      <c r="EM335" s="66"/>
      <c r="EN335" s="66"/>
      <c r="EO335" s="66"/>
      <c r="EP335" s="66"/>
      <c r="EQ335" s="66"/>
      <c r="ER335" s="66"/>
      <c r="ES335" s="66"/>
      <c r="ET335" s="66"/>
      <c r="EU335" s="66"/>
      <c r="EV335" s="66"/>
      <c r="EW335" s="66"/>
      <c r="EX335" s="66"/>
      <c r="EY335" s="66"/>
      <c r="EZ335" s="66"/>
      <c r="FA335" s="66"/>
      <c r="FB335" s="66"/>
      <c r="FC335" s="66"/>
      <c r="FD335" s="66"/>
      <c r="FE335" s="66"/>
      <c r="FF335" s="66"/>
      <c r="FG335" s="66"/>
      <c r="FH335" s="66"/>
      <c r="FI335" s="66"/>
      <c r="FJ335" s="66"/>
      <c r="FK335" s="66"/>
      <c r="FL335" s="66"/>
      <c r="FM335" s="66"/>
      <c r="FN335" s="66"/>
      <c r="FO335" s="66"/>
      <c r="FP335" s="66"/>
      <c r="FQ335" s="66"/>
      <c r="FR335" s="66"/>
      <c r="FS335" s="66"/>
      <c r="FT335" s="66"/>
      <c r="FU335" s="66"/>
      <c r="FV335" s="66"/>
      <c r="FW335" s="66"/>
      <c r="FX335" s="66"/>
      <c r="FY335" s="66"/>
      <c r="FZ335" s="66"/>
      <c r="GA335" s="66"/>
      <c r="GB335" s="66"/>
      <c r="GC335" s="66"/>
      <c r="GD335" s="66"/>
      <c r="GE335" s="66"/>
      <c r="GF335" s="66"/>
      <c r="GG335" s="66"/>
      <c r="GH335" s="66"/>
      <c r="GI335" s="66"/>
      <c r="GJ335" s="66"/>
      <c r="GK335" s="66"/>
      <c r="GL335" s="66"/>
      <c r="GM335" s="66"/>
      <c r="GN335" s="66"/>
      <c r="GO335" s="66"/>
      <c r="GP335" s="66"/>
      <c r="GQ335" s="66"/>
      <c r="GR335" s="66"/>
      <c r="GS335" s="66"/>
      <c r="GT335" s="66"/>
      <c r="GU335" s="66"/>
      <c r="GV335" s="66"/>
      <c r="GW335" s="66"/>
      <c r="GX335" s="66"/>
    </row>
    <row r="336" spans="1:206">
      <c r="A336" s="277"/>
      <c r="B336" s="140" t="s">
        <v>667</v>
      </c>
      <c r="C336" s="279"/>
      <c r="D336" s="279"/>
      <c r="E336" s="279"/>
      <c r="F336" s="279"/>
      <c r="G336" s="279"/>
      <c r="H336" s="279"/>
      <c r="I336" s="279"/>
      <c r="J336" s="279"/>
      <c r="K336" s="279"/>
      <c r="L336" s="279"/>
      <c r="M336" s="279"/>
      <c r="N336" s="279"/>
      <c r="O336" s="279"/>
      <c r="P336" s="279"/>
      <c r="Q336" s="279"/>
      <c r="R336" s="279"/>
      <c r="S336" s="279"/>
      <c r="T336" s="279"/>
      <c r="U336" s="279"/>
      <c r="V336" s="279"/>
      <c r="W336" s="279"/>
      <c r="X336" s="279"/>
      <c r="Y336" s="279"/>
      <c r="Z336" s="279"/>
      <c r="AA336" s="279"/>
      <c r="AB336" s="279"/>
      <c r="AC336" s="279"/>
      <c r="AD336" s="279"/>
      <c r="AE336" s="279"/>
      <c r="AF336" s="279"/>
      <c r="AG336" s="279"/>
    </row>
    <row r="337" spans="1:206">
      <c r="A337" s="277"/>
      <c r="B337" s="282" t="s">
        <v>671</v>
      </c>
      <c r="C337" s="281">
        <f t="shared" ref="C337:I337" si="165">SUM(C334:C336)</f>
        <v>0</v>
      </c>
      <c r="D337" s="281">
        <f t="shared" si="165"/>
        <v>0</v>
      </c>
      <c r="E337" s="281">
        <f t="shared" si="165"/>
        <v>0</v>
      </c>
      <c r="F337" s="281">
        <f t="shared" si="165"/>
        <v>0</v>
      </c>
      <c r="G337" s="281">
        <f t="shared" si="165"/>
        <v>0</v>
      </c>
      <c r="H337" s="281">
        <f t="shared" si="165"/>
        <v>0</v>
      </c>
      <c r="I337" s="281">
        <f t="shared" si="165"/>
        <v>112.34556845</v>
      </c>
      <c r="J337" s="281">
        <f>SUM(J334:J336)</f>
        <v>305.80200000000002</v>
      </c>
      <c r="K337" s="281"/>
      <c r="L337" s="281">
        <f t="shared" ref="L337:R337" si="166">SUM(L334:L336)</f>
        <v>0</v>
      </c>
      <c r="M337" s="281">
        <f t="shared" si="166"/>
        <v>0</v>
      </c>
      <c r="N337" s="281">
        <f t="shared" si="166"/>
        <v>0</v>
      </c>
      <c r="O337" s="281">
        <f t="shared" si="166"/>
        <v>0</v>
      </c>
      <c r="P337" s="281">
        <f t="shared" si="166"/>
        <v>0</v>
      </c>
      <c r="Q337" s="281">
        <f t="shared" si="166"/>
        <v>0</v>
      </c>
      <c r="R337" s="281">
        <f t="shared" si="166"/>
        <v>0</v>
      </c>
      <c r="S337" s="281">
        <f t="shared" ref="S337:AB337" si="167">SUM(S334:S336)</f>
        <v>0</v>
      </c>
      <c r="T337" s="281">
        <f t="shared" si="167"/>
        <v>0</v>
      </c>
      <c r="U337" s="281">
        <f t="shared" si="167"/>
        <v>0</v>
      </c>
      <c r="V337" s="281">
        <f t="shared" si="167"/>
        <v>0</v>
      </c>
      <c r="W337" s="281">
        <f t="shared" si="167"/>
        <v>0</v>
      </c>
      <c r="X337" s="281">
        <f t="shared" si="167"/>
        <v>0</v>
      </c>
      <c r="Y337" s="281">
        <f t="shared" si="167"/>
        <v>78.865568449999998</v>
      </c>
      <c r="Z337" s="281">
        <f t="shared" si="167"/>
        <v>0</v>
      </c>
      <c r="AA337" s="281">
        <f t="shared" si="167"/>
        <v>112.34556845</v>
      </c>
      <c r="AB337" s="281">
        <f t="shared" si="167"/>
        <v>0</v>
      </c>
      <c r="AC337" s="281">
        <f>SUM(AC334:AC336)</f>
        <v>505.24196052999997</v>
      </c>
      <c r="AD337" s="281">
        <f>SUM(AD334:AD336)</f>
        <v>613.48697812</v>
      </c>
      <c r="AE337" s="281">
        <f>SUM(AE334:AE336)</f>
        <v>305.80200000000002</v>
      </c>
      <c r="AF337" s="281">
        <f t="shared" ref="AF337:AG337" si="168">SUM(AF334:AF336)</f>
        <v>0</v>
      </c>
      <c r="AG337" s="281">
        <f t="shared" si="168"/>
        <v>0</v>
      </c>
      <c r="AH337" s="85"/>
      <c r="AI337" s="85"/>
      <c r="AJ337" s="85"/>
      <c r="AK337" s="85"/>
      <c r="AL337" s="85"/>
      <c r="AM337" s="85"/>
      <c r="AN337" s="85"/>
      <c r="AO337" s="85"/>
      <c r="AP337" s="85"/>
      <c r="AQ337" s="85"/>
      <c r="AR337" s="85"/>
      <c r="AS337" s="85"/>
      <c r="AT337" s="85"/>
      <c r="AU337" s="85"/>
      <c r="AV337" s="85"/>
      <c r="AW337" s="85"/>
      <c r="AX337" s="85"/>
      <c r="AY337" s="85"/>
      <c r="AZ337" s="85"/>
      <c r="BA337" s="85"/>
      <c r="BB337" s="85"/>
      <c r="BC337" s="85"/>
      <c r="BD337" s="85"/>
      <c r="BE337" s="85"/>
      <c r="BF337" s="85"/>
      <c r="BG337" s="85"/>
      <c r="BH337" s="85"/>
      <c r="BI337" s="85"/>
      <c r="BJ337" s="85"/>
      <c r="BK337" s="85"/>
      <c r="BL337" s="85"/>
      <c r="BM337" s="85"/>
      <c r="BN337" s="85"/>
      <c r="BO337" s="85"/>
      <c r="BP337" s="85"/>
      <c r="BQ337" s="85"/>
      <c r="BR337" s="85"/>
      <c r="BS337" s="85"/>
      <c r="BT337" s="85"/>
      <c r="BU337" s="85"/>
      <c r="BV337" s="85"/>
      <c r="BW337" s="85"/>
      <c r="BX337" s="85"/>
      <c r="BY337" s="85"/>
      <c r="BZ337" s="85"/>
      <c r="CA337" s="85"/>
      <c r="CB337" s="85"/>
      <c r="CC337" s="85"/>
      <c r="CD337" s="85"/>
      <c r="CE337" s="85"/>
      <c r="CF337" s="85"/>
      <c r="CG337" s="85"/>
      <c r="CH337" s="85"/>
      <c r="CI337" s="85"/>
      <c r="CJ337" s="85"/>
      <c r="CK337" s="85"/>
      <c r="CL337" s="85"/>
      <c r="CM337" s="85"/>
      <c r="CN337" s="85"/>
      <c r="CO337" s="85"/>
      <c r="CP337" s="85"/>
      <c r="CQ337" s="85"/>
      <c r="CR337" s="85"/>
      <c r="CS337" s="85"/>
      <c r="CT337" s="85"/>
      <c r="CU337" s="85"/>
      <c r="CV337" s="85"/>
      <c r="CW337" s="85"/>
      <c r="CX337" s="85"/>
      <c r="CY337" s="85"/>
      <c r="CZ337" s="85"/>
      <c r="DA337" s="85"/>
      <c r="DB337" s="85"/>
      <c r="DC337" s="85"/>
      <c r="DD337" s="85"/>
      <c r="DE337" s="85"/>
      <c r="DF337" s="85"/>
      <c r="DG337" s="85"/>
      <c r="DH337" s="85"/>
      <c r="DI337" s="85"/>
      <c r="DJ337" s="85"/>
      <c r="DK337" s="85"/>
      <c r="DL337" s="85"/>
      <c r="DM337" s="85"/>
      <c r="DN337" s="85"/>
      <c r="DO337" s="85"/>
      <c r="DP337" s="85"/>
      <c r="DQ337" s="85"/>
      <c r="DR337" s="85"/>
      <c r="DS337" s="85"/>
      <c r="DT337" s="85"/>
      <c r="DU337" s="85"/>
      <c r="DV337" s="85"/>
      <c r="DW337" s="85"/>
      <c r="DX337" s="85"/>
      <c r="DY337" s="85"/>
      <c r="DZ337" s="85"/>
      <c r="EA337" s="85"/>
      <c r="EB337" s="85"/>
      <c r="EC337" s="85"/>
      <c r="ED337" s="85"/>
      <c r="EE337" s="85"/>
      <c r="EF337" s="85"/>
      <c r="EG337" s="85"/>
      <c r="EH337" s="85"/>
      <c r="EI337" s="85"/>
      <c r="EJ337" s="85"/>
      <c r="EK337" s="85"/>
      <c r="EL337" s="85"/>
      <c r="EM337" s="85"/>
      <c r="EN337" s="85"/>
      <c r="EO337" s="85"/>
      <c r="EP337" s="85"/>
      <c r="EQ337" s="85"/>
      <c r="ER337" s="85"/>
      <c r="ES337" s="85"/>
      <c r="ET337" s="85"/>
      <c r="EU337" s="85"/>
      <c r="EV337" s="85"/>
      <c r="EW337" s="85"/>
      <c r="EX337" s="85"/>
      <c r="EY337" s="85"/>
      <c r="EZ337" s="85"/>
      <c r="FA337" s="85"/>
      <c r="FB337" s="85"/>
      <c r="FC337" s="85"/>
      <c r="FD337" s="85"/>
      <c r="FE337" s="85"/>
      <c r="FF337" s="85"/>
      <c r="FG337" s="85"/>
      <c r="FH337" s="85"/>
      <c r="FI337" s="85"/>
      <c r="FJ337" s="85"/>
      <c r="FK337" s="85"/>
      <c r="FL337" s="85"/>
      <c r="FM337" s="85"/>
      <c r="FN337" s="85"/>
      <c r="FO337" s="85"/>
      <c r="FP337" s="85"/>
      <c r="FQ337" s="85"/>
      <c r="FR337" s="85"/>
      <c r="FS337" s="85"/>
      <c r="FT337" s="85"/>
      <c r="FU337" s="85"/>
      <c r="FV337" s="85"/>
      <c r="FW337" s="85"/>
      <c r="FX337" s="85"/>
      <c r="FY337" s="85"/>
      <c r="FZ337" s="85"/>
      <c r="GA337" s="85"/>
      <c r="GB337" s="85"/>
      <c r="GC337" s="85"/>
      <c r="GD337" s="85"/>
      <c r="GE337" s="85"/>
      <c r="GF337" s="85"/>
      <c r="GG337" s="85"/>
      <c r="GH337" s="85"/>
      <c r="GI337" s="85"/>
      <c r="GJ337" s="85"/>
      <c r="GK337" s="85"/>
      <c r="GL337" s="85"/>
      <c r="GM337" s="85"/>
      <c r="GN337" s="85"/>
      <c r="GO337" s="85"/>
      <c r="GP337" s="85"/>
      <c r="GQ337" s="85"/>
      <c r="GR337" s="85"/>
      <c r="GS337" s="85"/>
      <c r="GT337" s="85"/>
      <c r="GU337" s="85"/>
      <c r="GV337" s="85"/>
      <c r="GW337" s="85"/>
      <c r="GX337" s="85"/>
    </row>
    <row r="338" spans="1:206">
      <c r="A338" s="277"/>
      <c r="C338" s="279"/>
      <c r="D338" s="279"/>
      <c r="E338" s="279"/>
      <c r="F338" s="279"/>
      <c r="G338" s="279"/>
      <c r="H338" s="279"/>
      <c r="I338" s="279"/>
      <c r="J338" s="279"/>
      <c r="K338" s="279"/>
      <c r="L338" s="279"/>
      <c r="M338" s="279"/>
      <c r="N338" s="279"/>
      <c r="O338" s="279"/>
      <c r="P338" s="279"/>
      <c r="Q338" s="279"/>
      <c r="R338" s="279"/>
      <c r="S338" s="279"/>
      <c r="T338" s="279"/>
      <c r="U338" s="279"/>
      <c r="V338" s="279"/>
      <c r="W338" s="279"/>
      <c r="X338" s="279"/>
      <c r="Y338" s="279"/>
      <c r="Z338" s="279"/>
      <c r="AA338" s="279"/>
      <c r="AB338" s="279"/>
      <c r="AC338" s="279"/>
      <c r="AD338" s="279"/>
      <c r="AE338" s="279"/>
      <c r="AF338" s="279"/>
      <c r="AG338" s="279"/>
    </row>
    <row r="339" spans="1:206">
      <c r="A339" s="277"/>
      <c r="B339" s="140" t="s">
        <v>670</v>
      </c>
      <c r="C339" s="280">
        <f>Wind!U214</f>
        <v>35</v>
      </c>
      <c r="D339" s="280">
        <f>Wind!V214</f>
        <v>0</v>
      </c>
      <c r="E339" s="280">
        <f>Wind!W214</f>
        <v>0</v>
      </c>
      <c r="F339" s="280">
        <f>Wind!X214</f>
        <v>0</v>
      </c>
      <c r="G339" s="280">
        <f>Wind!Y214</f>
        <v>0</v>
      </c>
      <c r="H339" s="280">
        <f>Wind!Z214</f>
        <v>0</v>
      </c>
      <c r="I339" s="280">
        <f>Wind!AA214</f>
        <v>0</v>
      </c>
      <c r="J339" s="280">
        <f>Wind!AB214</f>
        <v>0</v>
      </c>
      <c r="K339" s="280"/>
      <c r="L339" s="280">
        <f>Wind!CB214</f>
        <v>0</v>
      </c>
      <c r="M339" s="280">
        <f>Wind!CC214</f>
        <v>0</v>
      </c>
      <c r="N339" s="280">
        <f>Wind!CD214</f>
        <v>0</v>
      </c>
      <c r="O339" s="280">
        <f>Wind!CE214</f>
        <v>0</v>
      </c>
      <c r="P339" s="280">
        <f>Wind!CF214</f>
        <v>0</v>
      </c>
      <c r="Q339" s="280">
        <f>Wind!CG214</f>
        <v>0</v>
      </c>
      <c r="R339" s="280">
        <f>Wind!CH214</f>
        <v>0</v>
      </c>
      <c r="S339" s="280">
        <f>Wind!CI214</f>
        <v>0</v>
      </c>
      <c r="T339" s="280">
        <f>Wind!CJ214</f>
        <v>0</v>
      </c>
      <c r="U339" s="280">
        <f>Wind!CK214</f>
        <v>0</v>
      </c>
      <c r="V339" s="280">
        <f>Wind!CL214</f>
        <v>0</v>
      </c>
      <c r="W339" s="280">
        <f>Wind!CM214</f>
        <v>0</v>
      </c>
      <c r="X339" s="280">
        <f>Wind!CN214</f>
        <v>0</v>
      </c>
      <c r="Y339" s="280">
        <f>Wind!CO214</f>
        <v>0</v>
      </c>
      <c r="Z339" s="280">
        <f>Wind!CP214</f>
        <v>0</v>
      </c>
      <c r="AA339" s="280">
        <f>Wind!CQ214</f>
        <v>0</v>
      </c>
      <c r="AB339" s="280">
        <f>Wind!CR214</f>
        <v>0</v>
      </c>
      <c r="AC339" s="280">
        <f>Wind!CS214</f>
        <v>0</v>
      </c>
      <c r="AD339" s="280">
        <f>Wind!CT214</f>
        <v>0</v>
      </c>
      <c r="AE339" s="280">
        <f>Wind!CU214</f>
        <v>0</v>
      </c>
      <c r="AF339" s="280">
        <f>Wind!CV214</f>
        <v>0</v>
      </c>
      <c r="AG339" s="280">
        <f>Wind!CW214</f>
        <v>0</v>
      </c>
    </row>
    <row r="340" spans="1:206" s="85" customFormat="1">
      <c r="A340" s="276"/>
      <c r="B340" s="140" t="s">
        <v>669</v>
      </c>
      <c r="C340" s="280">
        <f>-Wind!U218</f>
        <v>-193</v>
      </c>
      <c r="D340" s="280">
        <f>-Wind!V218</f>
        <v>-222</v>
      </c>
      <c r="E340" s="280">
        <f>-Wind!W218</f>
        <v>-366.92606369999999</v>
      </c>
      <c r="F340" s="280">
        <f>-Wind!X218</f>
        <v>-297.05943874000002</v>
      </c>
      <c r="G340" s="280">
        <f>-Wind!Y218</f>
        <v>-431.52499999999998</v>
      </c>
      <c r="H340" s="280">
        <f>-Wind!Z218</f>
        <v>-953.85</v>
      </c>
      <c r="I340" s="280">
        <f>-Wind!AA218</f>
        <v>-5944.1030000000001</v>
      </c>
      <c r="J340" s="280">
        <f>-Wind!AB218</f>
        <v>-6011.3963000000003</v>
      </c>
      <c r="K340" s="280"/>
      <c r="L340" s="280">
        <f>-Wind!CB218</f>
        <v>-7.5875000000000004</v>
      </c>
      <c r="M340" s="280">
        <f>-Wind!CC218</f>
        <v>-168.05940000000001</v>
      </c>
      <c r="N340" s="280">
        <f>-Wind!CD218</f>
        <v>-225.64693874</v>
      </c>
      <c r="O340" s="280">
        <f>-Wind!CE218</f>
        <v>-297.05943874000002</v>
      </c>
      <c r="P340" s="280">
        <f>-Wind!CF218</f>
        <v>-122.738</v>
      </c>
      <c r="Q340" s="280">
        <f>-Wind!CG218</f>
        <v>-135.476</v>
      </c>
      <c r="R340" s="280">
        <f>-Wind!CH218</f>
        <v>-423.9375</v>
      </c>
      <c r="S340" s="280">
        <f>-Wind!CI218</f>
        <v>-431.52499999999998</v>
      </c>
      <c r="T340" s="280">
        <f>-Wind!CJ218</f>
        <v>-47.587499999999999</v>
      </c>
      <c r="U340" s="280">
        <f>-Wind!CK218</f>
        <v>-55.174999999999997</v>
      </c>
      <c r="V340" s="280">
        <f>-Wind!CL218</f>
        <v>-687.76250000000005</v>
      </c>
      <c r="W340" s="280">
        <f>-Wind!CM218</f>
        <v>-953.85</v>
      </c>
      <c r="X340" s="280">
        <f>-Wind!CN218</f>
        <v>-1149.07057672</v>
      </c>
      <c r="Y340" s="280">
        <f>-Wind!CO218</f>
        <v>-2412.32953112</v>
      </c>
      <c r="Z340" s="280">
        <f>-Wind!CP218</f>
        <v>-3259.55953112</v>
      </c>
      <c r="AA340" s="280">
        <f>-Wind!CQ218</f>
        <v>-5944.1030000000001</v>
      </c>
      <c r="AB340" s="280">
        <f>-Wind!CR218</f>
        <v>-1709.01</v>
      </c>
      <c r="AC340" s="280">
        <f>-Wind!CS218</f>
        <v>-2595.7471028099999</v>
      </c>
      <c r="AD340" s="280">
        <f>-Wind!CT218</f>
        <v>-3995.5381110999997</v>
      </c>
      <c r="AE340" s="280">
        <f>-Wind!CU218</f>
        <v>-6011.3963000000003</v>
      </c>
      <c r="AF340" s="280">
        <f>-Wind!CV218</f>
        <v>-1382.6949999999999</v>
      </c>
      <c r="AG340" s="280">
        <f>-Wind!CW218</f>
        <v>-4428.4908999999998</v>
      </c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  <c r="AR340" s="66"/>
      <c r="AS340" s="66"/>
      <c r="AT340" s="66"/>
      <c r="AU340" s="66"/>
      <c r="AV340" s="66"/>
      <c r="AW340" s="66"/>
      <c r="AX340" s="66"/>
      <c r="AY340" s="66"/>
      <c r="AZ340" s="66"/>
      <c r="BA340" s="66"/>
      <c r="BB340" s="66"/>
      <c r="BC340" s="66"/>
      <c r="BD340" s="66"/>
      <c r="BE340" s="66"/>
      <c r="BF340" s="66"/>
      <c r="BG340" s="66"/>
      <c r="BH340" s="66"/>
      <c r="BI340" s="66"/>
      <c r="BJ340" s="66"/>
      <c r="BK340" s="66"/>
      <c r="BL340" s="66"/>
      <c r="BM340" s="66"/>
      <c r="BN340" s="66"/>
      <c r="BO340" s="66"/>
      <c r="BP340" s="66"/>
      <c r="BQ340" s="66"/>
      <c r="BR340" s="66"/>
      <c r="BS340" s="66"/>
      <c r="BT340" s="66"/>
      <c r="BU340" s="66"/>
      <c r="BV340" s="66"/>
      <c r="BW340" s="66"/>
      <c r="BX340" s="66"/>
      <c r="BY340" s="66"/>
      <c r="BZ340" s="66"/>
      <c r="CA340" s="66"/>
      <c r="CB340" s="66"/>
      <c r="CC340" s="66"/>
      <c r="CD340" s="66"/>
      <c r="CE340" s="66"/>
      <c r="CF340" s="66"/>
      <c r="CG340" s="66"/>
      <c r="CH340" s="66"/>
      <c r="CI340" s="66"/>
      <c r="CJ340" s="66"/>
      <c r="CK340" s="66"/>
      <c r="CL340" s="66"/>
      <c r="CM340" s="66"/>
      <c r="CN340" s="66"/>
      <c r="CO340" s="66"/>
      <c r="CP340" s="66"/>
      <c r="CQ340" s="66"/>
      <c r="CR340" s="66"/>
      <c r="CS340" s="66"/>
      <c r="CT340" s="66"/>
      <c r="CU340" s="66"/>
      <c r="CV340" s="66"/>
      <c r="CW340" s="66"/>
      <c r="CX340" s="66"/>
      <c r="CY340" s="66"/>
      <c r="CZ340" s="66"/>
      <c r="DA340" s="66"/>
      <c r="DB340" s="66"/>
      <c r="DC340" s="66"/>
      <c r="DD340" s="66"/>
      <c r="DE340" s="66"/>
      <c r="DF340" s="66"/>
      <c r="DG340" s="66"/>
      <c r="DH340" s="66"/>
      <c r="DI340" s="66"/>
      <c r="DJ340" s="66"/>
      <c r="DK340" s="66"/>
      <c r="DL340" s="66"/>
      <c r="DM340" s="66"/>
      <c r="DN340" s="66"/>
      <c r="DO340" s="66"/>
      <c r="DP340" s="66"/>
      <c r="DQ340" s="66"/>
      <c r="DR340" s="66"/>
      <c r="DS340" s="66"/>
      <c r="DT340" s="66"/>
      <c r="DU340" s="66"/>
      <c r="DV340" s="66"/>
      <c r="DW340" s="66"/>
      <c r="DX340" s="66"/>
      <c r="DY340" s="66"/>
      <c r="DZ340" s="66"/>
      <c r="EA340" s="66"/>
      <c r="EB340" s="66"/>
      <c r="EC340" s="66"/>
      <c r="ED340" s="66"/>
      <c r="EE340" s="66"/>
      <c r="EF340" s="66"/>
      <c r="EG340" s="66"/>
      <c r="EH340" s="66"/>
      <c r="EI340" s="66"/>
      <c r="EJ340" s="66"/>
      <c r="EK340" s="66"/>
      <c r="EL340" s="66"/>
      <c r="EM340" s="66"/>
      <c r="EN340" s="66"/>
      <c r="EO340" s="66"/>
      <c r="EP340" s="66"/>
      <c r="EQ340" s="66"/>
      <c r="ER340" s="66"/>
      <c r="ES340" s="66"/>
      <c r="ET340" s="66"/>
      <c r="EU340" s="66"/>
      <c r="EV340" s="66"/>
      <c r="EW340" s="66"/>
      <c r="EX340" s="66"/>
      <c r="EY340" s="66"/>
      <c r="EZ340" s="66"/>
      <c r="FA340" s="66"/>
      <c r="FB340" s="66"/>
      <c r="FC340" s="66"/>
      <c r="FD340" s="66"/>
      <c r="FE340" s="66"/>
      <c r="FF340" s="66"/>
      <c r="FG340" s="66"/>
      <c r="FH340" s="66"/>
      <c r="FI340" s="66"/>
      <c r="FJ340" s="66"/>
      <c r="FK340" s="66"/>
      <c r="FL340" s="66"/>
      <c r="FM340" s="66"/>
      <c r="FN340" s="66"/>
      <c r="FO340" s="66"/>
      <c r="FP340" s="66"/>
      <c r="FQ340" s="66"/>
      <c r="FR340" s="66"/>
      <c r="FS340" s="66"/>
      <c r="FT340" s="66"/>
      <c r="FU340" s="66"/>
      <c r="FV340" s="66"/>
      <c r="FW340" s="66"/>
      <c r="FX340" s="66"/>
      <c r="FY340" s="66"/>
      <c r="FZ340" s="66"/>
      <c r="GA340" s="66"/>
      <c r="GB340" s="66"/>
      <c r="GC340" s="66"/>
      <c r="GD340" s="66"/>
      <c r="GE340" s="66"/>
      <c r="GF340" s="66"/>
      <c r="GG340" s="66"/>
      <c r="GH340" s="66"/>
      <c r="GI340" s="66"/>
      <c r="GJ340" s="66"/>
      <c r="GK340" s="66"/>
      <c r="GL340" s="66"/>
      <c r="GM340" s="66"/>
      <c r="GN340" s="66"/>
      <c r="GO340" s="66"/>
      <c r="GP340" s="66"/>
      <c r="GQ340" s="66"/>
      <c r="GR340" s="66"/>
      <c r="GS340" s="66"/>
      <c r="GT340" s="66"/>
      <c r="GU340" s="66"/>
      <c r="GV340" s="66"/>
      <c r="GW340" s="66"/>
      <c r="GX340" s="66"/>
    </row>
    <row r="341" spans="1:206">
      <c r="A341" s="277"/>
      <c r="B341" s="140" t="s">
        <v>668</v>
      </c>
      <c r="C341" s="280">
        <f>Wind!U212</f>
        <v>155</v>
      </c>
      <c r="D341" s="280">
        <f>Wind!V212</f>
        <v>254.79784472999998</v>
      </c>
      <c r="E341" s="280">
        <f>Wind!W212</f>
        <v>409.00321897000003</v>
      </c>
      <c r="F341" s="280">
        <f>Wind!X212</f>
        <v>523.88443874000006</v>
      </c>
      <c r="G341" s="280">
        <f>Wind!Y212</f>
        <v>637.5</v>
      </c>
      <c r="H341" s="280">
        <f>Wind!Z212</f>
        <v>3449.72092484</v>
      </c>
      <c r="I341" s="280">
        <f>Wind!AA212</f>
        <v>5908.77985825</v>
      </c>
      <c r="J341" s="280">
        <f>Wind!AB212</f>
        <v>9280.1296191599995</v>
      </c>
      <c r="K341" s="280"/>
      <c r="L341" s="280">
        <f>Wind!CB212</f>
        <v>172.88443874000001</v>
      </c>
      <c r="M341" s="280">
        <f>Wind!CC212</f>
        <v>225.8844</v>
      </c>
      <c r="N341" s="280">
        <f>Wind!CD212</f>
        <v>341.88443874000001</v>
      </c>
      <c r="O341" s="280">
        <f>Wind!CE212</f>
        <v>523.88443874000006</v>
      </c>
      <c r="P341" s="280">
        <f>Wind!CF212</f>
        <v>14</v>
      </c>
      <c r="Q341" s="280">
        <f>Wind!CG212</f>
        <v>14</v>
      </c>
      <c r="R341" s="280">
        <f>Wind!CH212</f>
        <v>304</v>
      </c>
      <c r="S341" s="280">
        <f>Wind!CI212</f>
        <v>637.5</v>
      </c>
      <c r="T341" s="280">
        <f>Wind!CJ212</f>
        <v>818</v>
      </c>
      <c r="U341" s="280">
        <f>Wind!CK212</f>
        <v>1610.6219182100001</v>
      </c>
      <c r="V341" s="280">
        <f>Wind!CL212</f>
        <v>2543.73</v>
      </c>
      <c r="W341" s="280">
        <f>Wind!CM212</f>
        <v>3449.72092484</v>
      </c>
      <c r="X341" s="280">
        <f>Wind!CN212</f>
        <v>1405.16169653</v>
      </c>
      <c r="Y341" s="280">
        <f>Wind!CO212</f>
        <v>3113.9642036499999</v>
      </c>
      <c r="Z341" s="280">
        <f>Wind!CP212</f>
        <v>4425.0732928199996</v>
      </c>
      <c r="AA341" s="280">
        <f>Wind!CQ212</f>
        <v>5908.77985825</v>
      </c>
      <c r="AB341" s="280">
        <f>Wind!CR212</f>
        <v>2149.3172863200002</v>
      </c>
      <c r="AC341" s="280">
        <f>Wind!CS212</f>
        <v>5350.5601999999999</v>
      </c>
      <c r="AD341" s="280">
        <f>Wind!CT212</f>
        <v>7530.6893042199999</v>
      </c>
      <c r="AE341" s="280">
        <f>Wind!CU212</f>
        <v>9280.1296191599995</v>
      </c>
      <c r="AF341" s="280">
        <f>Wind!CV212</f>
        <v>883</v>
      </c>
      <c r="AG341" s="280">
        <f>Wind!CW212</f>
        <v>3997.16</v>
      </c>
    </row>
    <row r="342" spans="1:206">
      <c r="A342" s="277"/>
      <c r="B342" s="140" t="s">
        <v>667</v>
      </c>
      <c r="C342" s="279"/>
      <c r="D342" s="279"/>
      <c r="E342" s="279"/>
      <c r="F342" s="279"/>
      <c r="G342" s="279"/>
      <c r="H342" s="279"/>
      <c r="I342" s="279"/>
      <c r="J342" s="279"/>
      <c r="K342" s="279"/>
      <c r="L342" s="279"/>
      <c r="M342" s="279"/>
      <c r="N342" s="279"/>
      <c r="O342" s="279"/>
      <c r="P342" s="279"/>
      <c r="Q342" s="279"/>
      <c r="R342" s="279"/>
      <c r="S342" s="279"/>
      <c r="T342" s="279"/>
      <c r="U342" s="279"/>
      <c r="V342" s="279"/>
      <c r="W342" s="279"/>
      <c r="X342" s="279"/>
      <c r="Y342" s="279"/>
      <c r="Z342" s="279"/>
      <c r="AA342" s="279"/>
      <c r="AB342" s="279"/>
      <c r="AC342" s="279"/>
      <c r="AD342" s="279"/>
      <c r="AE342" s="279"/>
      <c r="AF342" s="279"/>
      <c r="AG342" s="279"/>
    </row>
    <row r="343" spans="1:206">
      <c r="A343" s="277"/>
      <c r="B343" s="282" t="s">
        <v>666</v>
      </c>
      <c r="C343" s="281">
        <f t="shared" ref="C343:I343" si="169">SUM(C340:C342)</f>
        <v>-38</v>
      </c>
      <c r="D343" s="281">
        <f t="shared" si="169"/>
        <v>32.79784472999998</v>
      </c>
      <c r="E343" s="281">
        <f t="shared" si="169"/>
        <v>42.077155270000048</v>
      </c>
      <c r="F343" s="281">
        <f t="shared" si="169"/>
        <v>226.82500000000005</v>
      </c>
      <c r="G343" s="281">
        <f t="shared" si="169"/>
        <v>205.97500000000002</v>
      </c>
      <c r="H343" s="281">
        <f t="shared" si="169"/>
        <v>2495.87092484</v>
      </c>
      <c r="I343" s="281">
        <f t="shared" si="169"/>
        <v>-35.323141750000104</v>
      </c>
      <c r="J343" s="281">
        <f>SUM(J340:J342)</f>
        <v>3268.7333191599992</v>
      </c>
      <c r="K343" s="281"/>
      <c r="L343" s="281">
        <f t="shared" ref="L343:R343" si="170">SUM(L340:L342)</f>
        <v>165.29693874</v>
      </c>
      <c r="M343" s="281">
        <f t="shared" si="170"/>
        <v>57.824999999999989</v>
      </c>
      <c r="N343" s="281">
        <f t="shared" si="170"/>
        <v>116.23750000000001</v>
      </c>
      <c r="O343" s="281">
        <f t="shared" si="170"/>
        <v>226.82500000000005</v>
      </c>
      <c r="P343" s="281">
        <f t="shared" si="170"/>
        <v>-108.738</v>
      </c>
      <c r="Q343" s="281">
        <f t="shared" si="170"/>
        <v>-121.476</v>
      </c>
      <c r="R343" s="281">
        <f t="shared" si="170"/>
        <v>-119.9375</v>
      </c>
      <c r="S343" s="281">
        <f t="shared" ref="S343:AB343" si="171">SUM(S340:S342)</f>
        <v>205.97500000000002</v>
      </c>
      <c r="T343" s="281">
        <f t="shared" si="171"/>
        <v>770.41250000000002</v>
      </c>
      <c r="U343" s="281">
        <f t="shared" si="171"/>
        <v>1555.4469182100001</v>
      </c>
      <c r="V343" s="281">
        <f t="shared" si="171"/>
        <v>1855.9675</v>
      </c>
      <c r="W343" s="281">
        <f t="shared" si="171"/>
        <v>2495.87092484</v>
      </c>
      <c r="X343" s="281">
        <f t="shared" si="171"/>
        <v>256.09111981000001</v>
      </c>
      <c r="Y343" s="281">
        <f t="shared" si="171"/>
        <v>701.63467252999999</v>
      </c>
      <c r="Z343" s="281">
        <f t="shared" si="171"/>
        <v>1165.5137616999996</v>
      </c>
      <c r="AA343" s="281">
        <f t="shared" si="171"/>
        <v>-35.323141750000104</v>
      </c>
      <c r="AB343" s="281">
        <f t="shared" si="171"/>
        <v>440.30728632000023</v>
      </c>
      <c r="AC343" s="281">
        <f>SUM(AC340:AC342)</f>
        <v>2754.81309719</v>
      </c>
      <c r="AD343" s="281">
        <f>SUM(AD340:AD342)</f>
        <v>3535.1511931200002</v>
      </c>
      <c r="AE343" s="281">
        <f>SUM(AE340:AE342)</f>
        <v>3268.7333191599992</v>
      </c>
      <c r="AF343" s="281">
        <f t="shared" ref="AF343:AG343" si="172">SUM(AF340:AF342)</f>
        <v>-499.69499999999994</v>
      </c>
      <c r="AG343" s="281">
        <f t="shared" si="172"/>
        <v>-431.33089999999993</v>
      </c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  <c r="BB343" s="85"/>
      <c r="BC343" s="85"/>
      <c r="BD343" s="85"/>
      <c r="BE343" s="85"/>
      <c r="BF343" s="85"/>
      <c r="BG343" s="85"/>
      <c r="BH343" s="85"/>
      <c r="BI343" s="85"/>
      <c r="BJ343" s="85"/>
      <c r="BK343" s="85"/>
      <c r="BL343" s="85"/>
      <c r="BM343" s="85"/>
      <c r="BN343" s="85"/>
      <c r="BO343" s="85"/>
      <c r="BP343" s="85"/>
      <c r="BQ343" s="85"/>
      <c r="BR343" s="85"/>
      <c r="BS343" s="85"/>
      <c r="BT343" s="85"/>
      <c r="BU343" s="85"/>
      <c r="BV343" s="85"/>
      <c r="BW343" s="85"/>
      <c r="BX343" s="85"/>
      <c r="BY343" s="85"/>
      <c r="BZ343" s="85"/>
      <c r="CA343" s="85"/>
      <c r="CB343" s="85"/>
      <c r="CC343" s="85"/>
      <c r="CD343" s="85"/>
      <c r="CE343" s="85"/>
      <c r="CF343" s="85"/>
      <c r="CG343" s="85"/>
      <c r="CH343" s="85"/>
      <c r="CI343" s="85"/>
      <c r="CJ343" s="85"/>
      <c r="CK343" s="85"/>
      <c r="CL343" s="85"/>
      <c r="CM343" s="85"/>
      <c r="CN343" s="85"/>
      <c r="CO343" s="85"/>
      <c r="CP343" s="85"/>
      <c r="CQ343" s="85"/>
      <c r="CR343" s="85"/>
      <c r="CS343" s="85"/>
      <c r="CT343" s="85"/>
      <c r="CU343" s="85"/>
      <c r="CV343" s="85"/>
      <c r="CW343" s="85"/>
      <c r="CX343" s="85"/>
      <c r="CY343" s="85"/>
      <c r="CZ343" s="85"/>
      <c r="DA343" s="85"/>
      <c r="DB343" s="85"/>
      <c r="DC343" s="85"/>
      <c r="DD343" s="85"/>
      <c r="DE343" s="85"/>
      <c r="DF343" s="85"/>
      <c r="DG343" s="85"/>
      <c r="DH343" s="85"/>
      <c r="DI343" s="85"/>
      <c r="DJ343" s="85"/>
      <c r="DK343" s="85"/>
      <c r="DL343" s="85"/>
      <c r="DM343" s="85"/>
      <c r="DN343" s="85"/>
      <c r="DO343" s="85"/>
      <c r="DP343" s="85"/>
      <c r="DQ343" s="85"/>
      <c r="DR343" s="85"/>
      <c r="DS343" s="85"/>
      <c r="DT343" s="85"/>
      <c r="DU343" s="85"/>
      <c r="DV343" s="85"/>
      <c r="DW343" s="85"/>
      <c r="DX343" s="85"/>
      <c r="DY343" s="85"/>
      <c r="DZ343" s="85"/>
      <c r="EA343" s="85"/>
      <c r="EB343" s="85"/>
      <c r="EC343" s="85"/>
      <c r="ED343" s="85"/>
      <c r="EE343" s="85"/>
      <c r="EF343" s="85"/>
      <c r="EG343" s="85"/>
      <c r="EH343" s="85"/>
      <c r="EI343" s="85"/>
      <c r="EJ343" s="85"/>
      <c r="EK343" s="85"/>
      <c r="EL343" s="85"/>
      <c r="EM343" s="85"/>
      <c r="EN343" s="85"/>
      <c r="EO343" s="85"/>
      <c r="EP343" s="85"/>
      <c r="EQ343" s="85"/>
      <c r="ER343" s="85"/>
      <c r="ES343" s="85"/>
      <c r="ET343" s="85"/>
      <c r="EU343" s="85"/>
      <c r="EV343" s="85"/>
      <c r="EW343" s="85"/>
      <c r="EX343" s="85"/>
      <c r="EY343" s="85"/>
      <c r="EZ343" s="85"/>
      <c r="FA343" s="85"/>
      <c r="FB343" s="85"/>
      <c r="FC343" s="85"/>
      <c r="FD343" s="85"/>
      <c r="FE343" s="85"/>
      <c r="FF343" s="85"/>
      <c r="FG343" s="85"/>
      <c r="FH343" s="85"/>
      <c r="FI343" s="85"/>
      <c r="FJ343" s="85"/>
      <c r="FK343" s="85"/>
      <c r="FL343" s="85"/>
      <c r="FM343" s="85"/>
      <c r="FN343" s="85"/>
      <c r="FO343" s="85"/>
      <c r="FP343" s="85"/>
      <c r="FQ343" s="85"/>
      <c r="FR343" s="85"/>
      <c r="FS343" s="85"/>
      <c r="FT343" s="85"/>
      <c r="FU343" s="85"/>
      <c r="FV343" s="85"/>
      <c r="FW343" s="85"/>
      <c r="FX343" s="85"/>
      <c r="FY343" s="85"/>
      <c r="FZ343" s="85"/>
      <c r="GA343" s="85"/>
      <c r="GB343" s="85"/>
      <c r="GC343" s="85"/>
      <c r="GD343" s="85"/>
      <c r="GE343" s="85"/>
      <c r="GF343" s="85"/>
      <c r="GG343" s="85"/>
      <c r="GH343" s="85"/>
      <c r="GI343" s="85"/>
      <c r="GJ343" s="85"/>
      <c r="GK343" s="85"/>
      <c r="GL343" s="85"/>
      <c r="GM343" s="85"/>
      <c r="GN343" s="85"/>
      <c r="GO343" s="85"/>
      <c r="GP343" s="85"/>
      <c r="GQ343" s="85"/>
      <c r="GR343" s="85"/>
      <c r="GS343" s="85"/>
      <c r="GT343" s="85"/>
      <c r="GU343" s="85"/>
      <c r="GV343" s="85"/>
      <c r="GW343" s="85"/>
      <c r="GX343" s="85"/>
    </row>
    <row r="344" spans="1:206">
      <c r="A344" s="277"/>
      <c r="C344" s="279"/>
      <c r="D344" s="279"/>
      <c r="E344" s="279"/>
      <c r="F344" s="279"/>
      <c r="G344" s="279"/>
      <c r="H344" s="279"/>
      <c r="I344" s="279"/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79"/>
      <c r="W344" s="279"/>
      <c r="X344" s="279"/>
      <c r="Y344" s="279"/>
      <c r="Z344" s="279"/>
      <c r="AA344" s="279"/>
      <c r="AB344" s="279"/>
      <c r="AC344" s="279"/>
      <c r="AD344" s="279"/>
      <c r="AE344" s="279"/>
      <c r="AF344" s="279"/>
      <c r="AG344" s="279"/>
    </row>
    <row r="345" spans="1:206">
      <c r="A345" s="277"/>
      <c r="B345" s="140" t="s">
        <v>665</v>
      </c>
      <c r="C345" s="279"/>
      <c r="D345" s="279"/>
      <c r="E345" s="279"/>
      <c r="F345" s="279"/>
      <c r="G345" s="279"/>
      <c r="H345" s="279"/>
      <c r="I345" s="279"/>
      <c r="J345" s="279"/>
      <c r="K345" s="279"/>
      <c r="L345" s="279"/>
      <c r="M345" s="279"/>
      <c r="N345" s="279"/>
      <c r="O345" s="279"/>
      <c r="P345" s="279"/>
      <c r="Q345" s="279"/>
      <c r="R345" s="279"/>
      <c r="S345" s="279"/>
      <c r="T345" s="279"/>
      <c r="U345" s="279"/>
      <c r="V345" s="279"/>
      <c r="W345" s="279"/>
      <c r="X345" s="279"/>
      <c r="Y345" s="279"/>
      <c r="Z345" s="279"/>
      <c r="AA345" s="279"/>
      <c r="AB345" s="279"/>
      <c r="AC345" s="279"/>
      <c r="AD345" s="279"/>
      <c r="AE345" s="279"/>
      <c r="AF345" s="279"/>
      <c r="AG345" s="279"/>
    </row>
    <row r="346" spans="1:206" s="85" customFormat="1">
      <c r="A346" s="276"/>
      <c r="B346" s="140" t="s">
        <v>664</v>
      </c>
      <c r="C346" s="279"/>
      <c r="D346" s="279"/>
      <c r="E346" s="279"/>
      <c r="F346" s="279"/>
      <c r="G346" s="279"/>
      <c r="H346" s="279"/>
      <c r="I346" s="279"/>
      <c r="J346" s="279"/>
      <c r="K346" s="279"/>
      <c r="L346" s="279"/>
      <c r="M346" s="279"/>
      <c r="N346" s="279"/>
      <c r="O346" s="279"/>
      <c r="P346" s="279"/>
      <c r="Q346" s="279"/>
      <c r="R346" s="279"/>
      <c r="S346" s="279"/>
      <c r="T346" s="279"/>
      <c r="U346" s="279"/>
      <c r="V346" s="279"/>
      <c r="W346" s="279"/>
      <c r="X346" s="279"/>
      <c r="Y346" s="279"/>
      <c r="Z346" s="279"/>
      <c r="AA346" s="279"/>
      <c r="AB346" s="279"/>
      <c r="AC346" s="279"/>
      <c r="AD346" s="279"/>
      <c r="AE346" s="279"/>
      <c r="AF346" s="279"/>
      <c r="AG346" s="279"/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6"/>
      <c r="AS346" s="66"/>
      <c r="AT346" s="66"/>
      <c r="AU346" s="66"/>
      <c r="AV346" s="66"/>
      <c r="AW346" s="66"/>
      <c r="AX346" s="66"/>
      <c r="AY346" s="66"/>
      <c r="AZ346" s="66"/>
      <c r="BA346" s="66"/>
      <c r="BB346" s="66"/>
      <c r="BC346" s="66"/>
      <c r="BD346" s="66"/>
      <c r="BE346" s="66"/>
      <c r="BF346" s="66"/>
      <c r="BG346" s="66"/>
      <c r="BH346" s="66"/>
      <c r="BI346" s="66"/>
      <c r="BJ346" s="66"/>
      <c r="BK346" s="66"/>
      <c r="BL346" s="66"/>
      <c r="BM346" s="66"/>
      <c r="BN346" s="66"/>
      <c r="BO346" s="66"/>
      <c r="BP346" s="66"/>
      <c r="BQ346" s="66"/>
      <c r="BR346" s="66"/>
      <c r="BS346" s="66"/>
      <c r="BT346" s="66"/>
      <c r="BU346" s="66"/>
      <c r="BV346" s="66"/>
      <c r="BW346" s="66"/>
      <c r="BX346" s="66"/>
      <c r="BY346" s="66"/>
      <c r="BZ346" s="66"/>
      <c r="CA346" s="66"/>
      <c r="CB346" s="66"/>
      <c r="CC346" s="66"/>
      <c r="CD346" s="66"/>
      <c r="CE346" s="66"/>
      <c r="CF346" s="66"/>
      <c r="CG346" s="66"/>
      <c r="CH346" s="66"/>
      <c r="CI346" s="66"/>
      <c r="CJ346" s="66"/>
      <c r="CK346" s="66"/>
      <c r="CL346" s="66"/>
      <c r="CM346" s="66"/>
      <c r="CN346" s="66"/>
      <c r="CO346" s="66"/>
      <c r="CP346" s="66"/>
      <c r="CQ346" s="66"/>
      <c r="CR346" s="66"/>
      <c r="CS346" s="66"/>
      <c r="CT346" s="66"/>
      <c r="CU346" s="66"/>
      <c r="CV346" s="66"/>
      <c r="CW346" s="66"/>
      <c r="CX346" s="66"/>
      <c r="CY346" s="66"/>
      <c r="CZ346" s="66"/>
      <c r="DA346" s="66"/>
      <c r="DB346" s="66"/>
      <c r="DC346" s="66"/>
      <c r="DD346" s="66"/>
      <c r="DE346" s="66"/>
      <c r="DF346" s="66"/>
      <c r="DG346" s="66"/>
      <c r="DH346" s="66"/>
      <c r="DI346" s="66"/>
      <c r="DJ346" s="66"/>
      <c r="DK346" s="66"/>
      <c r="DL346" s="66"/>
      <c r="DM346" s="66"/>
      <c r="DN346" s="66"/>
      <c r="DO346" s="66"/>
      <c r="DP346" s="66"/>
      <c r="DQ346" s="66"/>
      <c r="DR346" s="66"/>
      <c r="DS346" s="66"/>
      <c r="DT346" s="66"/>
      <c r="DU346" s="66"/>
      <c r="DV346" s="66"/>
      <c r="DW346" s="66"/>
      <c r="DX346" s="66"/>
      <c r="DY346" s="66"/>
      <c r="DZ346" s="66"/>
      <c r="EA346" s="66"/>
      <c r="EB346" s="66"/>
      <c r="EC346" s="66"/>
      <c r="ED346" s="66"/>
      <c r="EE346" s="66"/>
      <c r="EF346" s="66"/>
      <c r="EG346" s="66"/>
      <c r="EH346" s="66"/>
      <c r="EI346" s="66"/>
      <c r="EJ346" s="66"/>
      <c r="EK346" s="66"/>
      <c r="EL346" s="66"/>
      <c r="EM346" s="66"/>
      <c r="EN346" s="66"/>
      <c r="EO346" s="66"/>
      <c r="EP346" s="66"/>
      <c r="EQ346" s="66"/>
      <c r="ER346" s="66"/>
      <c r="ES346" s="66"/>
      <c r="ET346" s="66"/>
      <c r="EU346" s="66"/>
      <c r="EV346" s="66"/>
      <c r="EW346" s="66"/>
      <c r="EX346" s="66"/>
      <c r="EY346" s="66"/>
      <c r="EZ346" s="66"/>
      <c r="FA346" s="66"/>
      <c r="FB346" s="66"/>
      <c r="FC346" s="66"/>
      <c r="FD346" s="66"/>
      <c r="FE346" s="66"/>
      <c r="FF346" s="66"/>
      <c r="FG346" s="66"/>
      <c r="FH346" s="66"/>
      <c r="FI346" s="66"/>
      <c r="FJ346" s="66"/>
      <c r="FK346" s="66"/>
      <c r="FL346" s="66"/>
      <c r="FM346" s="66"/>
      <c r="FN346" s="66"/>
      <c r="FO346" s="66"/>
      <c r="FP346" s="66"/>
      <c r="FQ346" s="66"/>
      <c r="FR346" s="66"/>
      <c r="FS346" s="66"/>
      <c r="FT346" s="66"/>
      <c r="FU346" s="66"/>
      <c r="FV346" s="66"/>
      <c r="FW346" s="66"/>
      <c r="FX346" s="66"/>
      <c r="FY346" s="66"/>
      <c r="FZ346" s="66"/>
      <c r="GA346" s="66"/>
      <c r="GB346" s="66"/>
      <c r="GC346" s="66"/>
      <c r="GD346" s="66"/>
      <c r="GE346" s="66"/>
      <c r="GF346" s="66"/>
      <c r="GG346" s="66"/>
      <c r="GH346" s="66"/>
      <c r="GI346" s="66"/>
      <c r="GJ346" s="66"/>
      <c r="GK346" s="66"/>
      <c r="GL346" s="66"/>
      <c r="GM346" s="66"/>
      <c r="GN346" s="66"/>
      <c r="GO346" s="66"/>
      <c r="GP346" s="66"/>
      <c r="GQ346" s="66"/>
      <c r="GR346" s="66"/>
      <c r="GS346" s="66"/>
      <c r="GT346" s="66"/>
      <c r="GU346" s="66"/>
      <c r="GV346" s="66"/>
      <c r="GW346" s="66"/>
      <c r="GX346" s="66"/>
    </row>
    <row r="347" spans="1:206">
      <c r="A347" s="277"/>
      <c r="B347" s="282" t="s">
        <v>663</v>
      </c>
      <c r="C347" s="281">
        <f t="shared" ref="C347:I347" si="173">SUM(C345:C346)</f>
        <v>0</v>
      </c>
      <c r="D347" s="281">
        <f t="shared" si="173"/>
        <v>0</v>
      </c>
      <c r="E347" s="281">
        <f t="shared" si="173"/>
        <v>0</v>
      </c>
      <c r="F347" s="281">
        <f t="shared" si="173"/>
        <v>0</v>
      </c>
      <c r="G347" s="281">
        <f t="shared" si="173"/>
        <v>0</v>
      </c>
      <c r="H347" s="281">
        <f t="shared" si="173"/>
        <v>0</v>
      </c>
      <c r="I347" s="281">
        <f t="shared" si="173"/>
        <v>0</v>
      </c>
      <c r="J347" s="281">
        <f>SUM(J345:J346)</f>
        <v>0</v>
      </c>
      <c r="K347" s="281"/>
      <c r="L347" s="281">
        <f t="shared" ref="L347:R347" si="174">SUM(L345:L346)</f>
        <v>0</v>
      </c>
      <c r="M347" s="281">
        <f t="shared" si="174"/>
        <v>0</v>
      </c>
      <c r="N347" s="281">
        <f t="shared" si="174"/>
        <v>0</v>
      </c>
      <c r="O347" s="281">
        <f t="shared" si="174"/>
        <v>0</v>
      </c>
      <c r="P347" s="281">
        <f t="shared" si="174"/>
        <v>0</v>
      </c>
      <c r="Q347" s="281">
        <f t="shared" si="174"/>
        <v>0</v>
      </c>
      <c r="R347" s="281">
        <f t="shared" si="174"/>
        <v>0</v>
      </c>
      <c r="S347" s="281">
        <f t="shared" ref="S347:AB347" si="175">SUM(S345:S346)</f>
        <v>0</v>
      </c>
      <c r="T347" s="281">
        <f t="shared" si="175"/>
        <v>0</v>
      </c>
      <c r="U347" s="281">
        <f t="shared" si="175"/>
        <v>0</v>
      </c>
      <c r="V347" s="281">
        <f t="shared" si="175"/>
        <v>0</v>
      </c>
      <c r="W347" s="281">
        <f t="shared" si="175"/>
        <v>0</v>
      </c>
      <c r="X347" s="281">
        <f t="shared" si="175"/>
        <v>0</v>
      </c>
      <c r="Y347" s="281">
        <f t="shared" si="175"/>
        <v>0</v>
      </c>
      <c r="Z347" s="281">
        <f t="shared" si="175"/>
        <v>0</v>
      </c>
      <c r="AA347" s="281">
        <f t="shared" si="175"/>
        <v>0</v>
      </c>
      <c r="AB347" s="281">
        <f t="shared" si="175"/>
        <v>0</v>
      </c>
      <c r="AC347" s="281">
        <f>SUM(AC345:AC346)</f>
        <v>0</v>
      </c>
      <c r="AD347" s="281">
        <f>SUM(AD345:AD346)</f>
        <v>0</v>
      </c>
      <c r="AE347" s="281">
        <f>SUM(AE345:AE346)</f>
        <v>0</v>
      </c>
      <c r="AF347" s="281">
        <f t="shared" ref="AF347:AG347" si="176">SUM(AF345:AF346)</f>
        <v>0</v>
      </c>
      <c r="AG347" s="281">
        <f t="shared" si="176"/>
        <v>0</v>
      </c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  <c r="BE347" s="85"/>
      <c r="BF347" s="85"/>
      <c r="BG347" s="85"/>
      <c r="BH347" s="85"/>
      <c r="BI347" s="85"/>
      <c r="BJ347" s="85"/>
      <c r="BK347" s="85"/>
      <c r="BL347" s="85"/>
      <c r="BM347" s="85"/>
      <c r="BN347" s="85"/>
      <c r="BO347" s="85"/>
      <c r="BP347" s="85"/>
      <c r="BQ347" s="85"/>
      <c r="BR347" s="85"/>
      <c r="BS347" s="85"/>
      <c r="BT347" s="85"/>
      <c r="BU347" s="85"/>
      <c r="BV347" s="85"/>
      <c r="BW347" s="85"/>
      <c r="BX347" s="85"/>
      <c r="BY347" s="85"/>
      <c r="BZ347" s="85"/>
      <c r="CA347" s="85"/>
      <c r="CB347" s="85"/>
      <c r="CC347" s="85"/>
      <c r="CD347" s="85"/>
      <c r="CE347" s="85"/>
      <c r="CF347" s="85"/>
      <c r="CG347" s="85"/>
      <c r="CH347" s="85"/>
      <c r="CI347" s="85"/>
      <c r="CJ347" s="85"/>
      <c r="CK347" s="85"/>
      <c r="CL347" s="85"/>
      <c r="CM347" s="85"/>
      <c r="CN347" s="85"/>
      <c r="CO347" s="85"/>
      <c r="CP347" s="85"/>
      <c r="CQ347" s="85"/>
      <c r="CR347" s="85"/>
      <c r="CS347" s="85"/>
      <c r="CT347" s="85"/>
      <c r="CU347" s="85"/>
      <c r="CV347" s="85"/>
      <c r="CW347" s="85"/>
      <c r="CX347" s="85"/>
      <c r="CY347" s="85"/>
      <c r="CZ347" s="85"/>
      <c r="DA347" s="85"/>
      <c r="DB347" s="85"/>
      <c r="DC347" s="85"/>
      <c r="DD347" s="85"/>
      <c r="DE347" s="85"/>
      <c r="DF347" s="85"/>
      <c r="DG347" s="85"/>
      <c r="DH347" s="85"/>
      <c r="DI347" s="85"/>
      <c r="DJ347" s="85"/>
      <c r="DK347" s="85"/>
      <c r="DL347" s="85"/>
      <c r="DM347" s="85"/>
      <c r="DN347" s="85"/>
      <c r="DO347" s="85"/>
      <c r="DP347" s="85"/>
      <c r="DQ347" s="85"/>
      <c r="DR347" s="85"/>
      <c r="DS347" s="85"/>
      <c r="DT347" s="85"/>
      <c r="DU347" s="85"/>
      <c r="DV347" s="85"/>
      <c r="DW347" s="85"/>
      <c r="DX347" s="85"/>
      <c r="DY347" s="85"/>
      <c r="DZ347" s="85"/>
      <c r="EA347" s="85"/>
      <c r="EB347" s="85"/>
      <c r="EC347" s="85"/>
      <c r="ED347" s="85"/>
      <c r="EE347" s="85"/>
      <c r="EF347" s="85"/>
      <c r="EG347" s="85"/>
      <c r="EH347" s="85"/>
      <c r="EI347" s="85"/>
      <c r="EJ347" s="85"/>
      <c r="EK347" s="85"/>
      <c r="EL347" s="85"/>
      <c r="EM347" s="85"/>
      <c r="EN347" s="85"/>
      <c r="EO347" s="85"/>
      <c r="EP347" s="85"/>
      <c r="EQ347" s="85"/>
      <c r="ER347" s="85"/>
      <c r="ES347" s="85"/>
      <c r="ET347" s="85"/>
      <c r="EU347" s="85"/>
      <c r="EV347" s="85"/>
      <c r="EW347" s="85"/>
      <c r="EX347" s="85"/>
      <c r="EY347" s="85"/>
      <c r="EZ347" s="85"/>
      <c r="FA347" s="85"/>
      <c r="FB347" s="85"/>
      <c r="FC347" s="85"/>
      <c r="FD347" s="85"/>
      <c r="FE347" s="85"/>
      <c r="FF347" s="85"/>
      <c r="FG347" s="85"/>
      <c r="FH347" s="85"/>
      <c r="FI347" s="85"/>
      <c r="FJ347" s="85"/>
      <c r="FK347" s="85"/>
      <c r="FL347" s="85"/>
      <c r="FM347" s="85"/>
      <c r="FN347" s="85"/>
      <c r="FO347" s="85"/>
      <c r="FP347" s="85"/>
      <c r="FQ347" s="85"/>
      <c r="FR347" s="85"/>
      <c r="FS347" s="85"/>
      <c r="FT347" s="85"/>
      <c r="FU347" s="85"/>
      <c r="FV347" s="85"/>
      <c r="FW347" s="85"/>
      <c r="FX347" s="85"/>
      <c r="FY347" s="85"/>
      <c r="FZ347" s="85"/>
      <c r="GA347" s="85"/>
      <c r="GB347" s="85"/>
      <c r="GC347" s="85"/>
      <c r="GD347" s="85"/>
      <c r="GE347" s="85"/>
      <c r="GF347" s="85"/>
      <c r="GG347" s="85"/>
      <c r="GH347" s="85"/>
      <c r="GI347" s="85"/>
      <c r="GJ347" s="85"/>
      <c r="GK347" s="85"/>
      <c r="GL347" s="85"/>
      <c r="GM347" s="85"/>
      <c r="GN347" s="85"/>
      <c r="GO347" s="85"/>
      <c r="GP347" s="85"/>
      <c r="GQ347" s="85"/>
      <c r="GR347" s="85"/>
      <c r="GS347" s="85"/>
      <c r="GT347" s="85"/>
      <c r="GU347" s="85"/>
      <c r="GV347" s="85"/>
      <c r="GW347" s="85"/>
      <c r="GX347" s="85"/>
    </row>
    <row r="348" spans="1:206">
      <c r="A348" s="277"/>
      <c r="C348" s="279"/>
      <c r="D348" s="279"/>
      <c r="E348" s="279"/>
      <c r="F348" s="279"/>
      <c r="G348" s="279"/>
      <c r="H348" s="279"/>
      <c r="I348" s="279"/>
      <c r="J348" s="279"/>
      <c r="K348" s="279"/>
      <c r="L348" s="279"/>
      <c r="M348" s="279"/>
      <c r="N348" s="279"/>
      <c r="O348" s="279"/>
      <c r="P348" s="279"/>
      <c r="Q348" s="279"/>
      <c r="R348" s="279"/>
      <c r="S348" s="279"/>
      <c r="T348" s="279"/>
      <c r="U348" s="279"/>
      <c r="V348" s="279"/>
      <c r="W348" s="279"/>
      <c r="X348" s="279"/>
      <c r="Y348" s="279"/>
      <c r="Z348" s="279"/>
      <c r="AA348" s="279"/>
      <c r="AB348" s="279"/>
      <c r="AC348" s="279"/>
      <c r="AD348" s="279"/>
      <c r="AE348" s="279"/>
      <c r="AF348" s="279"/>
      <c r="AG348" s="279"/>
    </row>
    <row r="349" spans="1:206">
      <c r="A349" s="277"/>
      <c r="B349" s="140" t="s">
        <v>662</v>
      </c>
      <c r="C349" s="279"/>
      <c r="D349" s="279"/>
      <c r="E349" s="279"/>
      <c r="F349" s="279"/>
      <c r="G349" s="279"/>
      <c r="H349" s="279"/>
      <c r="I349" s="279"/>
      <c r="J349" s="279"/>
      <c r="K349" s="279"/>
      <c r="L349" s="279"/>
      <c r="M349" s="279"/>
      <c r="N349" s="279"/>
      <c r="O349" s="279"/>
      <c r="P349" s="279"/>
      <c r="Q349" s="279"/>
      <c r="R349" s="279"/>
      <c r="S349" s="279"/>
      <c r="T349" s="279"/>
      <c r="U349" s="279"/>
      <c r="V349" s="279"/>
      <c r="W349" s="279"/>
      <c r="X349" s="279"/>
      <c r="Y349" s="279"/>
      <c r="Z349" s="279"/>
      <c r="AA349" s="279"/>
      <c r="AB349" s="279"/>
      <c r="AC349" s="279"/>
      <c r="AD349" s="279"/>
      <c r="AE349" s="279"/>
      <c r="AF349" s="279"/>
      <c r="AG349" s="279"/>
    </row>
    <row r="350" spans="1:206" s="85" customFormat="1">
      <c r="A350" s="276"/>
      <c r="B350" s="140" t="s">
        <v>661</v>
      </c>
      <c r="C350" s="279"/>
      <c r="D350" s="279"/>
      <c r="E350" s="279"/>
      <c r="F350" s="279"/>
      <c r="G350" s="279"/>
      <c r="H350" s="279"/>
      <c r="I350" s="279"/>
      <c r="J350" s="279"/>
      <c r="K350" s="279"/>
      <c r="L350" s="279"/>
      <c r="M350" s="279"/>
      <c r="N350" s="279"/>
      <c r="O350" s="279"/>
      <c r="P350" s="279"/>
      <c r="Q350" s="279"/>
      <c r="R350" s="279"/>
      <c r="S350" s="279"/>
      <c r="T350" s="279"/>
      <c r="U350" s="279"/>
      <c r="V350" s="279"/>
      <c r="W350" s="279"/>
      <c r="X350" s="279"/>
      <c r="Y350" s="279"/>
      <c r="Z350" s="279"/>
      <c r="AA350" s="279"/>
      <c r="AB350" s="279"/>
      <c r="AC350" s="279"/>
      <c r="AD350" s="279"/>
      <c r="AE350" s="279"/>
      <c r="AF350" s="279"/>
      <c r="AG350" s="279"/>
      <c r="AH350" s="66"/>
      <c r="AI350" s="66"/>
      <c r="AJ350" s="66"/>
      <c r="AK350" s="66"/>
      <c r="AL350" s="66"/>
      <c r="AM350" s="66"/>
      <c r="AN350" s="66"/>
      <c r="AO350" s="66"/>
      <c r="AP350" s="66"/>
      <c r="AQ350" s="66"/>
      <c r="AR350" s="66"/>
      <c r="AS350" s="66"/>
      <c r="AT350" s="66"/>
      <c r="AU350" s="66"/>
      <c r="AV350" s="66"/>
      <c r="AW350" s="66"/>
      <c r="AX350" s="66"/>
      <c r="AY350" s="66"/>
      <c r="AZ350" s="66"/>
      <c r="BA350" s="66"/>
      <c r="BB350" s="66"/>
      <c r="BC350" s="66"/>
      <c r="BD350" s="66"/>
      <c r="BE350" s="66"/>
      <c r="BF350" s="66"/>
      <c r="BG350" s="66"/>
      <c r="BH350" s="66"/>
      <c r="BI350" s="66"/>
      <c r="BJ350" s="66"/>
      <c r="BK350" s="66"/>
      <c r="BL350" s="66"/>
      <c r="BM350" s="66"/>
      <c r="BN350" s="66"/>
      <c r="BO350" s="66"/>
      <c r="BP350" s="66"/>
      <c r="BQ350" s="66"/>
      <c r="BR350" s="66"/>
      <c r="BS350" s="66"/>
      <c r="BT350" s="66"/>
      <c r="BU350" s="66"/>
      <c r="BV350" s="66"/>
      <c r="BW350" s="66"/>
      <c r="BX350" s="66"/>
      <c r="BY350" s="66"/>
      <c r="BZ350" s="66"/>
      <c r="CA350" s="66"/>
      <c r="CB350" s="66"/>
      <c r="CC350" s="66"/>
      <c r="CD350" s="66"/>
      <c r="CE350" s="66"/>
      <c r="CF350" s="66"/>
      <c r="CG350" s="66"/>
      <c r="CH350" s="66"/>
      <c r="CI350" s="66"/>
      <c r="CJ350" s="66"/>
      <c r="CK350" s="66"/>
      <c r="CL350" s="66"/>
      <c r="CM350" s="66"/>
      <c r="CN350" s="66"/>
      <c r="CO350" s="66"/>
      <c r="CP350" s="66"/>
      <c r="CQ350" s="66"/>
      <c r="CR350" s="66"/>
      <c r="CS350" s="66"/>
      <c r="CT350" s="66"/>
      <c r="CU350" s="66"/>
      <c r="CV350" s="66"/>
      <c r="CW350" s="66"/>
      <c r="CX350" s="66"/>
      <c r="CY350" s="66"/>
      <c r="CZ350" s="66"/>
      <c r="DA350" s="66"/>
      <c r="DB350" s="66"/>
      <c r="DC350" s="66"/>
      <c r="DD350" s="66"/>
      <c r="DE350" s="66"/>
      <c r="DF350" s="66"/>
      <c r="DG350" s="66"/>
      <c r="DH350" s="66"/>
      <c r="DI350" s="66"/>
      <c r="DJ350" s="66"/>
      <c r="DK350" s="66"/>
      <c r="DL350" s="66"/>
      <c r="DM350" s="66"/>
      <c r="DN350" s="66"/>
      <c r="DO350" s="66"/>
      <c r="DP350" s="66"/>
      <c r="DQ350" s="66"/>
      <c r="DR350" s="66"/>
      <c r="DS350" s="66"/>
      <c r="DT350" s="66"/>
      <c r="DU350" s="66"/>
      <c r="DV350" s="66"/>
      <c r="DW350" s="66"/>
      <c r="DX350" s="66"/>
      <c r="DY350" s="66"/>
      <c r="DZ350" s="66"/>
      <c r="EA350" s="66"/>
      <c r="EB350" s="66"/>
      <c r="EC350" s="66"/>
      <c r="ED350" s="66"/>
      <c r="EE350" s="66"/>
      <c r="EF350" s="66"/>
      <c r="EG350" s="66"/>
      <c r="EH350" s="66"/>
      <c r="EI350" s="66"/>
      <c r="EJ350" s="66"/>
      <c r="EK350" s="66"/>
      <c r="EL350" s="66"/>
      <c r="EM350" s="66"/>
      <c r="EN350" s="66"/>
      <c r="EO350" s="66"/>
      <c r="EP350" s="66"/>
      <c r="EQ350" s="66"/>
      <c r="ER350" s="66"/>
      <c r="ES350" s="66"/>
      <c r="ET350" s="66"/>
      <c r="EU350" s="66"/>
      <c r="EV350" s="66"/>
      <c r="EW350" s="66"/>
      <c r="EX350" s="66"/>
      <c r="EY350" s="66"/>
      <c r="EZ350" s="66"/>
      <c r="FA350" s="66"/>
      <c r="FB350" s="66"/>
      <c r="FC350" s="66"/>
      <c r="FD350" s="66"/>
      <c r="FE350" s="66"/>
      <c r="FF350" s="66"/>
      <c r="FG350" s="66"/>
      <c r="FH350" s="66"/>
      <c r="FI350" s="66"/>
      <c r="FJ350" s="66"/>
      <c r="FK350" s="66"/>
      <c r="FL350" s="66"/>
      <c r="FM350" s="66"/>
      <c r="FN350" s="66"/>
      <c r="FO350" s="66"/>
      <c r="FP350" s="66"/>
      <c r="FQ350" s="66"/>
      <c r="FR350" s="66"/>
      <c r="FS350" s="66"/>
      <c r="FT350" s="66"/>
      <c r="FU350" s="66"/>
      <c r="FV350" s="66"/>
      <c r="FW350" s="66"/>
      <c r="FX350" s="66"/>
      <c r="FY350" s="66"/>
      <c r="FZ350" s="66"/>
      <c r="GA350" s="66"/>
      <c r="GB350" s="66"/>
      <c r="GC350" s="66"/>
      <c r="GD350" s="66"/>
      <c r="GE350" s="66"/>
      <c r="GF350" s="66"/>
      <c r="GG350" s="66"/>
      <c r="GH350" s="66"/>
      <c r="GI350" s="66"/>
      <c r="GJ350" s="66"/>
      <c r="GK350" s="66"/>
      <c r="GL350" s="66"/>
      <c r="GM350" s="66"/>
      <c r="GN350" s="66"/>
      <c r="GO350" s="66"/>
      <c r="GP350" s="66"/>
      <c r="GQ350" s="66"/>
      <c r="GR350" s="66"/>
      <c r="GS350" s="66"/>
      <c r="GT350" s="66"/>
      <c r="GU350" s="66"/>
      <c r="GV350" s="66"/>
      <c r="GW350" s="66"/>
      <c r="GX350" s="66"/>
    </row>
    <row r="351" spans="1:206">
      <c r="A351" s="277"/>
      <c r="B351" s="282" t="s">
        <v>114</v>
      </c>
      <c r="C351" s="281">
        <f t="shared" ref="C351:I351" si="177">SUM(C349:C350)</f>
        <v>0</v>
      </c>
      <c r="D351" s="281">
        <f t="shared" si="177"/>
        <v>0</v>
      </c>
      <c r="E351" s="281">
        <f t="shared" si="177"/>
        <v>0</v>
      </c>
      <c r="F351" s="281">
        <f t="shared" si="177"/>
        <v>0</v>
      </c>
      <c r="G351" s="281">
        <f t="shared" si="177"/>
        <v>0</v>
      </c>
      <c r="H351" s="281">
        <f t="shared" si="177"/>
        <v>0</v>
      </c>
      <c r="I351" s="281">
        <f t="shared" si="177"/>
        <v>0</v>
      </c>
      <c r="J351" s="281">
        <f>SUM(J349:J350)</f>
        <v>0</v>
      </c>
      <c r="K351" s="281"/>
      <c r="L351" s="281">
        <f t="shared" ref="L351:R351" si="178">SUM(L349:L350)</f>
        <v>0</v>
      </c>
      <c r="M351" s="281">
        <f t="shared" si="178"/>
        <v>0</v>
      </c>
      <c r="N351" s="281">
        <f t="shared" si="178"/>
        <v>0</v>
      </c>
      <c r="O351" s="281">
        <f t="shared" si="178"/>
        <v>0</v>
      </c>
      <c r="P351" s="281">
        <f t="shared" si="178"/>
        <v>0</v>
      </c>
      <c r="Q351" s="281">
        <f t="shared" si="178"/>
        <v>0</v>
      </c>
      <c r="R351" s="281">
        <f t="shared" si="178"/>
        <v>0</v>
      </c>
      <c r="S351" s="281">
        <f t="shared" ref="S351:AB351" si="179">SUM(S349:S350)</f>
        <v>0</v>
      </c>
      <c r="T351" s="281">
        <f t="shared" si="179"/>
        <v>0</v>
      </c>
      <c r="U351" s="281">
        <f t="shared" si="179"/>
        <v>0</v>
      </c>
      <c r="V351" s="281">
        <f t="shared" si="179"/>
        <v>0</v>
      </c>
      <c r="W351" s="281">
        <f t="shared" si="179"/>
        <v>0</v>
      </c>
      <c r="X351" s="281">
        <f t="shared" si="179"/>
        <v>0</v>
      </c>
      <c r="Y351" s="281">
        <f t="shared" si="179"/>
        <v>0</v>
      </c>
      <c r="Z351" s="281">
        <f t="shared" si="179"/>
        <v>0</v>
      </c>
      <c r="AA351" s="281">
        <f t="shared" si="179"/>
        <v>0</v>
      </c>
      <c r="AB351" s="281">
        <f t="shared" si="179"/>
        <v>0</v>
      </c>
      <c r="AC351" s="281">
        <f>SUM(AC349:AC350)</f>
        <v>0</v>
      </c>
      <c r="AD351" s="281">
        <f>SUM(AD349:AD350)</f>
        <v>0</v>
      </c>
      <c r="AE351" s="281">
        <f>SUM(AE349:AE350)</f>
        <v>0</v>
      </c>
      <c r="AF351" s="281">
        <f t="shared" ref="AF351:AG351" si="180">SUM(AF349:AF350)</f>
        <v>0</v>
      </c>
      <c r="AG351" s="281">
        <f t="shared" si="180"/>
        <v>0</v>
      </c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  <c r="BE351" s="85"/>
      <c r="BF351" s="85"/>
      <c r="BG351" s="85"/>
      <c r="BH351" s="85"/>
      <c r="BI351" s="85"/>
      <c r="BJ351" s="85"/>
      <c r="BK351" s="85"/>
      <c r="BL351" s="85"/>
      <c r="BM351" s="85"/>
      <c r="BN351" s="85"/>
      <c r="BO351" s="85"/>
      <c r="BP351" s="85"/>
      <c r="BQ351" s="85"/>
      <c r="BR351" s="85"/>
      <c r="BS351" s="85"/>
      <c r="BT351" s="85"/>
      <c r="BU351" s="85"/>
      <c r="BV351" s="85"/>
      <c r="BW351" s="85"/>
      <c r="BX351" s="85"/>
      <c r="BY351" s="85"/>
      <c r="BZ351" s="85"/>
      <c r="CA351" s="85"/>
      <c r="CB351" s="85"/>
      <c r="CC351" s="85"/>
      <c r="CD351" s="85"/>
      <c r="CE351" s="85"/>
      <c r="CF351" s="85"/>
      <c r="CG351" s="85"/>
      <c r="CH351" s="85"/>
      <c r="CI351" s="85"/>
      <c r="CJ351" s="85"/>
      <c r="CK351" s="85"/>
      <c r="CL351" s="85"/>
      <c r="CM351" s="85"/>
      <c r="CN351" s="85"/>
      <c r="CO351" s="85"/>
      <c r="CP351" s="85"/>
      <c r="CQ351" s="85"/>
      <c r="CR351" s="85"/>
      <c r="CS351" s="85"/>
      <c r="CT351" s="85"/>
      <c r="CU351" s="85"/>
      <c r="CV351" s="85"/>
      <c r="CW351" s="85"/>
      <c r="CX351" s="85"/>
      <c r="CY351" s="85"/>
      <c r="CZ351" s="85"/>
      <c r="DA351" s="85"/>
      <c r="DB351" s="85"/>
      <c r="DC351" s="85"/>
      <c r="DD351" s="85"/>
      <c r="DE351" s="85"/>
      <c r="DF351" s="85"/>
      <c r="DG351" s="85"/>
      <c r="DH351" s="85"/>
      <c r="DI351" s="85"/>
      <c r="DJ351" s="85"/>
      <c r="DK351" s="85"/>
      <c r="DL351" s="85"/>
      <c r="DM351" s="85"/>
      <c r="DN351" s="85"/>
      <c r="DO351" s="85"/>
      <c r="DP351" s="85"/>
      <c r="DQ351" s="85"/>
      <c r="DR351" s="85"/>
      <c r="DS351" s="85"/>
      <c r="DT351" s="85"/>
      <c r="DU351" s="85"/>
      <c r="DV351" s="85"/>
      <c r="DW351" s="85"/>
      <c r="DX351" s="85"/>
      <c r="DY351" s="85"/>
      <c r="DZ351" s="85"/>
      <c r="EA351" s="85"/>
      <c r="EB351" s="85"/>
      <c r="EC351" s="85"/>
      <c r="ED351" s="85"/>
      <c r="EE351" s="85"/>
      <c r="EF351" s="85"/>
      <c r="EG351" s="85"/>
      <c r="EH351" s="85"/>
      <c r="EI351" s="85"/>
      <c r="EJ351" s="85"/>
      <c r="EK351" s="85"/>
      <c r="EL351" s="85"/>
      <c r="EM351" s="85"/>
      <c r="EN351" s="85"/>
      <c r="EO351" s="85"/>
      <c r="EP351" s="85"/>
      <c r="EQ351" s="85"/>
      <c r="ER351" s="85"/>
      <c r="ES351" s="85"/>
      <c r="ET351" s="85"/>
      <c r="EU351" s="85"/>
      <c r="EV351" s="85"/>
      <c r="EW351" s="85"/>
      <c r="EX351" s="85"/>
      <c r="EY351" s="85"/>
      <c r="EZ351" s="85"/>
      <c r="FA351" s="85"/>
      <c r="FB351" s="85"/>
      <c r="FC351" s="85"/>
      <c r="FD351" s="85"/>
      <c r="FE351" s="85"/>
      <c r="FF351" s="85"/>
      <c r="FG351" s="85"/>
      <c r="FH351" s="85"/>
      <c r="FI351" s="85"/>
      <c r="FJ351" s="85"/>
      <c r="FK351" s="85"/>
      <c r="FL351" s="85"/>
      <c r="FM351" s="85"/>
      <c r="FN351" s="85"/>
      <c r="FO351" s="85"/>
      <c r="FP351" s="85"/>
      <c r="FQ351" s="85"/>
      <c r="FR351" s="85"/>
      <c r="FS351" s="85"/>
      <c r="FT351" s="85"/>
      <c r="FU351" s="85"/>
      <c r="FV351" s="85"/>
      <c r="FW351" s="85"/>
      <c r="FX351" s="85"/>
      <c r="FY351" s="85"/>
      <c r="FZ351" s="85"/>
      <c r="GA351" s="85"/>
      <c r="GB351" s="85"/>
      <c r="GC351" s="85"/>
      <c r="GD351" s="85"/>
      <c r="GE351" s="85"/>
      <c r="GF351" s="85"/>
      <c r="GG351" s="85"/>
      <c r="GH351" s="85"/>
      <c r="GI351" s="85"/>
      <c r="GJ351" s="85"/>
      <c r="GK351" s="85"/>
      <c r="GL351" s="85"/>
      <c r="GM351" s="85"/>
      <c r="GN351" s="85"/>
      <c r="GO351" s="85"/>
      <c r="GP351" s="85"/>
      <c r="GQ351" s="85"/>
      <c r="GR351" s="85"/>
      <c r="GS351" s="85"/>
      <c r="GT351" s="85"/>
      <c r="GU351" s="85"/>
      <c r="GV351" s="85"/>
      <c r="GW351" s="85"/>
      <c r="GX351" s="85"/>
    </row>
    <row r="352" spans="1:206">
      <c r="A352" s="277"/>
      <c r="C352" s="279"/>
      <c r="D352" s="279"/>
      <c r="E352" s="279"/>
      <c r="F352" s="279"/>
      <c r="G352" s="279"/>
      <c r="H352" s="279"/>
      <c r="I352" s="279"/>
      <c r="J352" s="279"/>
      <c r="K352" s="279"/>
      <c r="L352" s="279"/>
      <c r="M352" s="279"/>
      <c r="N352" s="279"/>
      <c r="O352" s="279"/>
      <c r="P352" s="279"/>
      <c r="Q352" s="279"/>
      <c r="R352" s="279"/>
      <c r="S352" s="279"/>
      <c r="T352" s="279"/>
      <c r="U352" s="279"/>
      <c r="V352" s="279"/>
      <c r="W352" s="279"/>
      <c r="X352" s="279"/>
      <c r="Y352" s="279"/>
      <c r="Z352" s="279"/>
      <c r="AA352" s="279"/>
      <c r="AB352" s="279"/>
      <c r="AC352" s="279"/>
      <c r="AD352" s="279"/>
      <c r="AE352" s="279"/>
      <c r="AF352" s="279"/>
      <c r="AG352" s="279"/>
    </row>
    <row r="353" spans="1:206">
      <c r="A353" s="277"/>
      <c r="B353" s="140" t="s">
        <v>660</v>
      </c>
      <c r="C353" s="279"/>
      <c r="D353" s="279"/>
      <c r="E353" s="279"/>
      <c r="F353" s="279"/>
      <c r="G353" s="279"/>
      <c r="H353" s="279"/>
      <c r="I353" s="279"/>
      <c r="J353" s="279"/>
      <c r="K353" s="279"/>
      <c r="L353" s="279"/>
      <c r="M353" s="279"/>
      <c r="N353" s="279"/>
      <c r="O353" s="279"/>
      <c r="P353" s="279"/>
      <c r="Q353" s="279"/>
      <c r="R353" s="279"/>
      <c r="S353" s="279"/>
      <c r="T353" s="279"/>
      <c r="U353" s="279"/>
      <c r="V353" s="279"/>
      <c r="W353" s="279"/>
      <c r="X353" s="279"/>
      <c r="Y353" s="279"/>
      <c r="Z353" s="279"/>
      <c r="AA353" s="279"/>
      <c r="AB353" s="279"/>
      <c r="AC353" s="279"/>
      <c r="AD353" s="279"/>
      <c r="AE353" s="279"/>
      <c r="AF353" s="279"/>
      <c r="AG353" s="279"/>
    </row>
    <row r="354" spans="1:206" s="85" customFormat="1">
      <c r="A354" s="276"/>
      <c r="B354" s="140" t="s">
        <v>207</v>
      </c>
      <c r="C354" s="280">
        <f>Wind!U226-'Raw Data'!C330-'Raw Data'!C332-'Raw Data'!C337-'Raw Data'!C343-'Raw Data'!C347-'Raw Data'!C351</f>
        <v>22.764400000000009</v>
      </c>
      <c r="D354" s="280">
        <f>Wind!V226-'Raw Data'!D330-'Raw Data'!D332-'Raw Data'!D337-'Raw Data'!D343-'Raw Data'!D347-'Raw Data'!D351</f>
        <v>-17.359461869999969</v>
      </c>
      <c r="E354" s="280">
        <f>Wind!W226-'Raw Data'!E330-'Raw Data'!E332-'Raw Data'!E337-'Raw Data'!E343-'Raw Data'!E347-'Raw Data'!E351</f>
        <v>-5.6988071300000342</v>
      </c>
      <c r="F354" s="280">
        <f>Wind!X226-'Raw Data'!F330-'Raw Data'!F332-'Raw Data'!F337-'Raw Data'!F343-'Raw Data'!F347-'Raw Data'!F351</f>
        <v>-4.4767693900000722</v>
      </c>
      <c r="G354" s="280">
        <f>Wind!Y226-'Raw Data'!G330-'Raw Data'!G332-'Raw Data'!G337-'Raw Data'!G343-'Raw Data'!G347-'Raw Data'!G351</f>
        <v>-123.79401187000019</v>
      </c>
      <c r="H354" s="280">
        <f>Wind!Z226-'Raw Data'!H330-'Raw Data'!H332-'Raw Data'!H337-'Raw Data'!H343-'Raw Data'!H347-'Raw Data'!H351</f>
        <v>-128.19505681999999</v>
      </c>
      <c r="I354" s="280">
        <f>Wind!AA226-'Raw Data'!I330-'Raw Data'!I332-'Raw Data'!I337-'Raw Data'!I343-'Raw Data'!I347-'Raw Data'!I351</f>
        <v>-323.89949748999982</v>
      </c>
      <c r="J354" s="280">
        <f>Wind!AB226-'Raw Data'!J330-'Raw Data'!J332-'Raw Data'!J337-'Raw Data'!J343-'Raw Data'!J347-'Raw Data'!J351</f>
        <v>-19.894124339999507</v>
      </c>
      <c r="K354" s="280"/>
      <c r="L354" s="280">
        <f>Wind!CB226-'Raw Data'!L330-'Raw Data'!L332-'Raw Data'!L337-'Raw Data'!L343-'Raw Data'!L347-'Raw Data'!L351</f>
        <v>0</v>
      </c>
      <c r="M354" s="280">
        <f>Wind!CC226-'Raw Data'!M330-'Raw Data'!M332-'Raw Data'!M337-'Raw Data'!M343-'Raw Data'!M347-'Raw Data'!M351</f>
        <v>-3.0595000000000141</v>
      </c>
      <c r="N354" s="280">
        <f>Wind!CD226-'Raw Data'!N330-'Raw Data'!N332-'Raw Data'!N337-'Raw Data'!N343-'Raw Data'!N347-'Raw Data'!N351</f>
        <v>-3.0595305000000508</v>
      </c>
      <c r="O354" s="280">
        <f>Wind!CE226-'Raw Data'!O330-'Raw Data'!O332-'Raw Data'!O337-'Raw Data'!O343-'Raw Data'!O347-'Raw Data'!O351</f>
        <v>-4.4767693900000722</v>
      </c>
      <c r="P354" s="280">
        <f>Wind!CF226-'Raw Data'!P330-'Raw Data'!P332-'Raw Data'!P337-'Raw Data'!P343-'Raw Data'!P347-'Raw Data'!P351</f>
        <v>-2.861588900000001</v>
      </c>
      <c r="Q354" s="280">
        <f>Wind!CG226-'Raw Data'!Q330-'Raw Data'!Q332-'Raw Data'!Q337-'Raw Data'!Q343-'Raw Data'!Q347-'Raw Data'!Q351</f>
        <v>-114.59162070000005</v>
      </c>
      <c r="R354" s="280">
        <f>Wind!CH226-'Raw Data'!R330-'Raw Data'!R332-'Raw Data'!R337-'Raw Data'!R343-'Raw Data'!R347-'Raw Data'!R351</f>
        <v>-117.92980612999997</v>
      </c>
      <c r="S354" s="280">
        <f>Wind!CI226-'Raw Data'!S330-'Raw Data'!S332-'Raw Data'!S337-'Raw Data'!S343-'Raw Data'!S347-'Raw Data'!S351</f>
        <v>-123.79401187000019</v>
      </c>
      <c r="T354" s="280">
        <f>Wind!CJ226-'Raw Data'!T330-'Raw Data'!T332-'Raw Data'!T337-'Raw Data'!T343-'Raw Data'!T347-'Raw Data'!T351</f>
        <v>-4.1197143899998991</v>
      </c>
      <c r="U354" s="280">
        <f>Wind!CK226-'Raw Data'!U330-'Raw Data'!U332-'Raw Data'!U337-'Raw Data'!U343-'Raw Data'!U347-'Raw Data'!U351</f>
        <v>-87.60735227000032</v>
      </c>
      <c r="V354" s="280">
        <f>Wind!CL226-'Raw Data'!V330-'Raw Data'!V332-'Raw Data'!V337-'Raw Data'!V343-'Raw Data'!V347-'Raw Data'!V351</f>
        <v>-132.77245212999992</v>
      </c>
      <c r="W354" s="280">
        <f>Wind!CM226-'Raw Data'!W330-'Raw Data'!W332-'Raw Data'!W337-'Raw Data'!W343-'Raw Data'!W347-'Raw Data'!W351</f>
        <v>-128.19505681999999</v>
      </c>
      <c r="X354" s="280">
        <f>Wind!CN226-'Raw Data'!X330-'Raw Data'!X332-'Raw Data'!X337-'Raw Data'!X343-'Raw Data'!X347-'Raw Data'!X351</f>
        <v>-3.8943483900000331</v>
      </c>
      <c r="Y354" s="280">
        <f>Wind!CO226-'Raw Data'!Y330-'Raw Data'!Y332-'Raw Data'!Y337-'Raw Data'!Y343-'Raw Data'!Y347-'Raw Data'!Y351</f>
        <v>-10.087153759999978</v>
      </c>
      <c r="Z354" s="280">
        <f>Wind!CP226-'Raw Data'!Z330-'Raw Data'!Z332-'Raw Data'!Z337-'Raw Data'!Z343-'Raw Data'!Z347-'Raw Data'!Z351</f>
        <v>-208.43477327999949</v>
      </c>
      <c r="AA354" s="280">
        <f>Wind!CQ226-'Raw Data'!AA330-'Raw Data'!AA332-'Raw Data'!AA337-'Raw Data'!AA343-'Raw Data'!AA347-'Raw Data'!AA351</f>
        <v>-323.89949748999982</v>
      </c>
      <c r="AB354" s="280">
        <f>Wind!CR226-'Raw Data'!AB330-'Raw Data'!AB332-'Raw Data'!AB337-'Raw Data'!AB343-'Raw Data'!AB347-'Raw Data'!AB351</f>
        <v>-17.249891910000258</v>
      </c>
      <c r="AC354" s="280">
        <f>Wind!CS226-'Raw Data'!AC330-'Raw Data'!AC332-'Raw Data'!AC337-'Raw Data'!AC343-'Raw Data'!AC347-'Raw Data'!AC351</f>
        <v>-376.09860174000005</v>
      </c>
      <c r="AD354" s="280">
        <f>Wind!CT226-'Raw Data'!AD330-'Raw Data'!AD332-'Raw Data'!AD337-'Raw Data'!AD343-'Raw Data'!AD347-'Raw Data'!AD351</f>
        <v>-402.51536912000029</v>
      </c>
      <c r="AE354" s="280">
        <f>Wind!CU226-'Raw Data'!AE330-'Raw Data'!AE332-'Raw Data'!AE337-'Raw Data'!AE343-'Raw Data'!AE347-'Raw Data'!AE351</f>
        <v>-19.894124339999507</v>
      </c>
      <c r="AF354" s="280">
        <f>Wind!CV226-'Raw Data'!AF330-'Raw Data'!AF332-'Raw Data'!AF337-'Raw Data'!AF343-'Raw Data'!AF347-'Raw Data'!AF351</f>
        <v>-4.2720415300000809</v>
      </c>
      <c r="AG354" s="280">
        <f>Wind!CW226-'Raw Data'!AG330-'Raw Data'!AG332-'Raw Data'!AG337-'Raw Data'!AG343-'Raw Data'!AG347-'Raw Data'!AG351</f>
        <v>-21.12428854000018</v>
      </c>
      <c r="AH354" s="66"/>
      <c r="AI354" s="66"/>
      <c r="AJ354" s="66"/>
      <c r="AK354" s="66"/>
      <c r="AL354" s="66"/>
      <c r="AM354" s="66"/>
      <c r="AN354" s="66"/>
      <c r="AO354" s="66"/>
      <c r="AP354" s="66"/>
      <c r="AQ354" s="66"/>
      <c r="AR354" s="66"/>
      <c r="AS354" s="66"/>
      <c r="AT354" s="66"/>
      <c r="AU354" s="66"/>
      <c r="AV354" s="66"/>
      <c r="AW354" s="66"/>
      <c r="AX354" s="66"/>
      <c r="AY354" s="66"/>
      <c r="AZ354" s="66"/>
      <c r="BA354" s="66"/>
      <c r="BB354" s="66"/>
      <c r="BC354" s="66"/>
      <c r="BD354" s="66"/>
      <c r="BE354" s="66"/>
      <c r="BF354" s="66"/>
      <c r="BG354" s="66"/>
      <c r="BH354" s="66"/>
      <c r="BI354" s="66"/>
      <c r="BJ354" s="66"/>
      <c r="BK354" s="66"/>
      <c r="BL354" s="66"/>
      <c r="BM354" s="66"/>
      <c r="BN354" s="66"/>
      <c r="BO354" s="66"/>
      <c r="BP354" s="66"/>
      <c r="BQ354" s="66"/>
      <c r="BR354" s="66"/>
      <c r="BS354" s="66"/>
      <c r="BT354" s="66"/>
      <c r="BU354" s="66"/>
      <c r="BV354" s="66"/>
      <c r="BW354" s="66"/>
      <c r="BX354" s="66"/>
      <c r="BY354" s="66"/>
      <c r="BZ354" s="66"/>
      <c r="CA354" s="66"/>
      <c r="CB354" s="66"/>
      <c r="CC354" s="66"/>
      <c r="CD354" s="66"/>
      <c r="CE354" s="66"/>
      <c r="CF354" s="66"/>
      <c r="CG354" s="66"/>
      <c r="CH354" s="66"/>
      <c r="CI354" s="66"/>
      <c r="CJ354" s="66"/>
      <c r="CK354" s="66"/>
      <c r="CL354" s="66"/>
      <c r="CM354" s="66"/>
      <c r="CN354" s="66"/>
      <c r="CO354" s="66"/>
      <c r="CP354" s="66"/>
      <c r="CQ354" s="66"/>
      <c r="CR354" s="66"/>
      <c r="CS354" s="66"/>
      <c r="CT354" s="66"/>
      <c r="CU354" s="66"/>
      <c r="CV354" s="66"/>
      <c r="CW354" s="66"/>
      <c r="CX354" s="66"/>
      <c r="CY354" s="66"/>
      <c r="CZ354" s="66"/>
      <c r="DA354" s="66"/>
      <c r="DB354" s="66"/>
      <c r="DC354" s="66"/>
      <c r="DD354" s="66"/>
      <c r="DE354" s="66"/>
      <c r="DF354" s="66"/>
      <c r="DG354" s="66"/>
      <c r="DH354" s="66"/>
      <c r="DI354" s="66"/>
      <c r="DJ354" s="66"/>
      <c r="DK354" s="66"/>
      <c r="DL354" s="66"/>
      <c r="DM354" s="66"/>
      <c r="DN354" s="66"/>
      <c r="DO354" s="66"/>
      <c r="DP354" s="66"/>
      <c r="DQ354" s="66"/>
      <c r="DR354" s="66"/>
      <c r="DS354" s="66"/>
      <c r="DT354" s="66"/>
      <c r="DU354" s="66"/>
      <c r="DV354" s="66"/>
      <c r="DW354" s="66"/>
      <c r="DX354" s="66"/>
      <c r="DY354" s="66"/>
      <c r="DZ354" s="66"/>
      <c r="EA354" s="66"/>
      <c r="EB354" s="66"/>
      <c r="EC354" s="66"/>
      <c r="ED354" s="66"/>
      <c r="EE354" s="66"/>
      <c r="EF354" s="66"/>
      <c r="EG354" s="66"/>
      <c r="EH354" s="66"/>
      <c r="EI354" s="66"/>
      <c r="EJ354" s="66"/>
      <c r="EK354" s="66"/>
      <c r="EL354" s="66"/>
      <c r="EM354" s="66"/>
      <c r="EN354" s="66"/>
      <c r="EO354" s="66"/>
      <c r="EP354" s="66"/>
      <c r="EQ354" s="66"/>
      <c r="ER354" s="66"/>
      <c r="ES354" s="66"/>
      <c r="ET354" s="66"/>
      <c r="EU354" s="66"/>
      <c r="EV354" s="66"/>
      <c r="EW354" s="66"/>
      <c r="EX354" s="66"/>
      <c r="EY354" s="66"/>
      <c r="EZ354" s="66"/>
      <c r="FA354" s="66"/>
      <c r="FB354" s="66"/>
      <c r="FC354" s="66"/>
      <c r="FD354" s="66"/>
      <c r="FE354" s="66"/>
      <c r="FF354" s="66"/>
      <c r="FG354" s="66"/>
      <c r="FH354" s="66"/>
      <c r="FI354" s="66"/>
      <c r="FJ354" s="66"/>
      <c r="FK354" s="66"/>
      <c r="FL354" s="66"/>
      <c r="FM354" s="66"/>
      <c r="FN354" s="66"/>
      <c r="FO354" s="66"/>
      <c r="FP354" s="66"/>
      <c r="FQ354" s="66"/>
      <c r="FR354" s="66"/>
      <c r="FS354" s="66"/>
      <c r="FT354" s="66"/>
      <c r="FU354" s="66"/>
      <c r="FV354" s="66"/>
      <c r="FW354" s="66"/>
      <c r="FX354" s="66"/>
      <c r="FY354" s="66"/>
      <c r="FZ354" s="66"/>
      <c r="GA354" s="66"/>
      <c r="GB354" s="66"/>
      <c r="GC354" s="66"/>
      <c r="GD354" s="66"/>
      <c r="GE354" s="66"/>
      <c r="GF354" s="66"/>
      <c r="GG354" s="66"/>
      <c r="GH354" s="66"/>
      <c r="GI354" s="66"/>
      <c r="GJ354" s="66"/>
      <c r="GK354" s="66"/>
      <c r="GL354" s="66"/>
      <c r="GM354" s="66"/>
      <c r="GN354" s="66"/>
      <c r="GO354" s="66"/>
      <c r="GP354" s="66"/>
      <c r="GQ354" s="66"/>
      <c r="GR354" s="66"/>
      <c r="GS354" s="66"/>
      <c r="GT354" s="66"/>
      <c r="GU354" s="66"/>
      <c r="GV354" s="66"/>
      <c r="GW354" s="66"/>
      <c r="GX354" s="66"/>
    </row>
    <row r="355" spans="1:206">
      <c r="A355" s="277"/>
      <c r="C355" s="279"/>
      <c r="D355" s="279"/>
      <c r="E355" s="279"/>
      <c r="F355" s="279"/>
      <c r="G355" s="279"/>
      <c r="H355" s="279"/>
      <c r="I355" s="279"/>
      <c r="J355" s="279"/>
      <c r="K355" s="279"/>
      <c r="L355" s="279"/>
      <c r="M355" s="279"/>
      <c r="N355" s="279"/>
      <c r="O355" s="279"/>
      <c r="P355" s="279"/>
      <c r="Q355" s="279"/>
      <c r="R355" s="279"/>
      <c r="S355" s="279"/>
      <c r="T355" s="279"/>
      <c r="U355" s="279"/>
      <c r="V355" s="279"/>
      <c r="W355" s="279"/>
      <c r="X355" s="279"/>
      <c r="Y355" s="279"/>
      <c r="Z355" s="279"/>
      <c r="AA355" s="279"/>
      <c r="AB355" s="279"/>
      <c r="AC355" s="279"/>
      <c r="AD355" s="279"/>
      <c r="AE355" s="279"/>
      <c r="AF355" s="279"/>
      <c r="AG355" s="279"/>
    </row>
    <row r="356" spans="1:206">
      <c r="A356" s="277"/>
      <c r="B356" s="990" t="s">
        <v>659</v>
      </c>
      <c r="C356" s="991">
        <f t="shared" ref="C356:I356" si="181">C330+C337+C343+C347+C351+SUM(C353:C354)+C332</f>
        <v>243.33670000000001</v>
      </c>
      <c r="D356" s="991">
        <f t="shared" si="181"/>
        <v>-52.439161009999999</v>
      </c>
      <c r="E356" s="991">
        <f t="shared" si="181"/>
        <v>-57.402293700000001</v>
      </c>
      <c r="F356" s="991">
        <f t="shared" si="181"/>
        <v>-334.03367324999999</v>
      </c>
      <c r="G356" s="991">
        <f t="shared" si="181"/>
        <v>1306.7776083199999</v>
      </c>
      <c r="H356" s="991">
        <f t="shared" si="181"/>
        <v>1764.2234635499999</v>
      </c>
      <c r="I356" s="991">
        <f t="shared" si="181"/>
        <v>-1057.90464537</v>
      </c>
      <c r="J356" s="991">
        <f>J330+J337+J343+J347+J351+SUM(J353:J354)+J332</f>
        <v>1507.4497658399996</v>
      </c>
      <c r="K356" s="811"/>
      <c r="L356" s="991">
        <f t="shared" ref="L356:R356" si="182">L330+L337+L343+L347+L351+SUM(L353:L354)+L332</f>
        <v>162.39542943000001</v>
      </c>
      <c r="M356" s="991">
        <f t="shared" si="182"/>
        <v>-313.06380000000001</v>
      </c>
      <c r="N356" s="991">
        <f t="shared" si="182"/>
        <v>-258.51349105000003</v>
      </c>
      <c r="O356" s="991">
        <f t="shared" si="182"/>
        <v>-334.03367324999999</v>
      </c>
      <c r="P356" s="991">
        <f t="shared" si="182"/>
        <v>-115.8510519</v>
      </c>
      <c r="Q356" s="991">
        <f t="shared" si="182"/>
        <v>1607.2677638500002</v>
      </c>
      <c r="R356" s="991">
        <f t="shared" si="182"/>
        <v>996.3057843900001</v>
      </c>
      <c r="S356" s="991">
        <f t="shared" ref="S356:AB356" si="183">S330+S337+S343+S347+S351+SUM(S353:S354)+S332</f>
        <v>1306.7776083199999</v>
      </c>
      <c r="T356" s="991">
        <f t="shared" si="183"/>
        <v>688.08567047000008</v>
      </c>
      <c r="U356" s="991">
        <f t="shared" si="183"/>
        <v>866.55319429999986</v>
      </c>
      <c r="V356" s="991">
        <f t="shared" si="183"/>
        <v>1062.13729463</v>
      </c>
      <c r="W356" s="991">
        <f t="shared" si="183"/>
        <v>1764.2234635499999</v>
      </c>
      <c r="X356" s="991">
        <f t="shared" si="183"/>
        <v>249.48978950999998</v>
      </c>
      <c r="Y356" s="991">
        <f t="shared" si="183"/>
        <v>6.2119022199999563</v>
      </c>
      <c r="Z356" s="991">
        <f t="shared" si="183"/>
        <v>151.83514671</v>
      </c>
      <c r="AA356" s="991">
        <f t="shared" si="183"/>
        <v>-1057.90464537</v>
      </c>
      <c r="AB356" s="991">
        <f t="shared" si="183"/>
        <v>416.46089439999997</v>
      </c>
      <c r="AC356" s="991">
        <f>AC330+AC337+AC343+AC347+AC351+SUM(AC353:AC354)+AC332</f>
        <v>1844.2563732000001</v>
      </c>
      <c r="AD356" s="991">
        <f>AD330+AD337+AD343+AD347+AD351+SUM(AD353:AD354)+AD332</f>
        <v>2414.4831586099995</v>
      </c>
      <c r="AE356" s="991">
        <f>AE330+AE337+AE343+AE347+AE351+SUM(AE353:AE354)+AE332</f>
        <v>1507.4497658399996</v>
      </c>
      <c r="AF356" s="991">
        <f t="shared" ref="AF356" si="184">AF330+AF337+AF343+AF347+AF351+SUM(AF353:AF354)+AF332</f>
        <v>-510.69435045</v>
      </c>
      <c r="AG356" s="991">
        <f t="shared" ref="AG356" si="185">AG330+AG337+AG343+AG347+AG351+SUM(AG353:AG354)+AG332</f>
        <v>-1788.0632655100001</v>
      </c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  <c r="BE356" s="85"/>
      <c r="BF356" s="85"/>
      <c r="BG356" s="85"/>
      <c r="BH356" s="85"/>
      <c r="BI356" s="85"/>
      <c r="BJ356" s="85"/>
      <c r="BK356" s="85"/>
      <c r="BL356" s="85"/>
      <c r="BM356" s="85"/>
      <c r="BN356" s="85"/>
      <c r="BO356" s="85"/>
      <c r="BP356" s="85"/>
      <c r="BQ356" s="85"/>
      <c r="BR356" s="85"/>
      <c r="BS356" s="85"/>
      <c r="BT356" s="85"/>
      <c r="BU356" s="85"/>
      <c r="BV356" s="85"/>
      <c r="BW356" s="85"/>
      <c r="BX356" s="85"/>
      <c r="BY356" s="85"/>
      <c r="BZ356" s="85"/>
      <c r="CA356" s="85"/>
      <c r="CB356" s="85"/>
      <c r="CC356" s="85"/>
      <c r="CD356" s="85"/>
      <c r="CE356" s="85"/>
      <c r="CF356" s="85"/>
      <c r="CG356" s="85"/>
      <c r="CH356" s="85"/>
      <c r="CI356" s="85"/>
      <c r="CJ356" s="85"/>
      <c r="CK356" s="85"/>
      <c r="CL356" s="85"/>
      <c r="CM356" s="85"/>
      <c r="CN356" s="85"/>
      <c r="CO356" s="85"/>
      <c r="CP356" s="85"/>
      <c r="CQ356" s="85"/>
      <c r="CR356" s="85"/>
      <c r="CS356" s="85"/>
      <c r="CT356" s="85"/>
      <c r="CU356" s="85"/>
      <c r="CV356" s="85"/>
      <c r="CW356" s="85"/>
      <c r="CX356" s="85"/>
      <c r="CY356" s="85"/>
      <c r="CZ356" s="85"/>
      <c r="DA356" s="85"/>
      <c r="DB356" s="85"/>
      <c r="DC356" s="85"/>
      <c r="DD356" s="85"/>
      <c r="DE356" s="85"/>
      <c r="DF356" s="85"/>
      <c r="DG356" s="85"/>
      <c r="DH356" s="85"/>
      <c r="DI356" s="85"/>
      <c r="DJ356" s="85"/>
      <c r="DK356" s="85"/>
      <c r="DL356" s="85"/>
      <c r="DM356" s="85"/>
      <c r="DN356" s="85"/>
      <c r="DO356" s="85"/>
      <c r="DP356" s="85"/>
      <c r="DQ356" s="85"/>
      <c r="DR356" s="85"/>
      <c r="DS356" s="85"/>
      <c r="DT356" s="85"/>
      <c r="DU356" s="85"/>
      <c r="DV356" s="85"/>
      <c r="DW356" s="85"/>
      <c r="DX356" s="85"/>
      <c r="DY356" s="85"/>
      <c r="DZ356" s="85"/>
      <c r="EA356" s="85"/>
      <c r="EB356" s="85"/>
      <c r="EC356" s="85"/>
      <c r="ED356" s="85"/>
      <c r="EE356" s="85"/>
      <c r="EF356" s="85"/>
      <c r="EG356" s="85"/>
      <c r="EH356" s="85"/>
      <c r="EI356" s="85"/>
      <c r="EJ356" s="85"/>
      <c r="EK356" s="85"/>
      <c r="EL356" s="85"/>
      <c r="EM356" s="85"/>
      <c r="EN356" s="85"/>
      <c r="EO356" s="85"/>
      <c r="EP356" s="85"/>
      <c r="EQ356" s="85"/>
      <c r="ER356" s="85"/>
      <c r="ES356" s="85"/>
      <c r="ET356" s="85"/>
      <c r="EU356" s="85"/>
      <c r="EV356" s="85"/>
      <c r="EW356" s="85"/>
      <c r="EX356" s="85"/>
      <c r="EY356" s="85"/>
      <c r="EZ356" s="85"/>
      <c r="FA356" s="85"/>
      <c r="FB356" s="85"/>
      <c r="FC356" s="85"/>
      <c r="FD356" s="85"/>
      <c r="FE356" s="85"/>
      <c r="FF356" s="85"/>
      <c r="FG356" s="85"/>
      <c r="FH356" s="85"/>
      <c r="FI356" s="85"/>
      <c r="FJ356" s="85"/>
      <c r="FK356" s="85"/>
      <c r="FL356" s="85"/>
      <c r="FM356" s="85"/>
      <c r="FN356" s="85"/>
      <c r="FO356" s="85"/>
      <c r="FP356" s="85"/>
      <c r="FQ356" s="85"/>
      <c r="FR356" s="85"/>
      <c r="FS356" s="85"/>
      <c r="FT356" s="85"/>
      <c r="FU356" s="85"/>
      <c r="FV356" s="85"/>
      <c r="FW356" s="85"/>
      <c r="FX356" s="85"/>
      <c r="FY356" s="85"/>
      <c r="FZ356" s="85"/>
      <c r="GA356" s="85"/>
      <c r="GB356" s="85"/>
      <c r="GC356" s="85"/>
      <c r="GD356" s="85"/>
      <c r="GE356" s="85"/>
      <c r="GF356" s="85"/>
      <c r="GG356" s="85"/>
      <c r="GH356" s="85"/>
      <c r="GI356" s="85"/>
      <c r="GJ356" s="85"/>
      <c r="GK356" s="85"/>
      <c r="GL356" s="85"/>
      <c r="GM356" s="85"/>
      <c r="GN356" s="85"/>
      <c r="GO356" s="85"/>
      <c r="GP356" s="85"/>
      <c r="GQ356" s="85"/>
      <c r="GR356" s="85"/>
      <c r="GS356" s="85"/>
      <c r="GT356" s="85"/>
      <c r="GU356" s="85"/>
      <c r="GV356" s="85"/>
      <c r="GW356" s="85"/>
      <c r="GX356" s="85"/>
    </row>
    <row r="357" spans="1:206">
      <c r="A357" s="277"/>
      <c r="B357" s="275" t="s">
        <v>657</v>
      </c>
      <c r="C357" s="273"/>
      <c r="D357" s="273"/>
      <c r="E357" s="273"/>
      <c r="F357" s="273"/>
      <c r="G357" s="273"/>
      <c r="H357" s="273"/>
      <c r="I357" s="273"/>
      <c r="J357" s="273"/>
      <c r="K357" s="273"/>
      <c r="L357" s="273"/>
      <c r="M357" s="273"/>
      <c r="N357" s="273"/>
      <c r="O357" s="273"/>
      <c r="P357" s="273"/>
      <c r="Q357" s="273"/>
      <c r="R357" s="273"/>
      <c r="S357" s="273"/>
      <c r="T357" s="273"/>
      <c r="U357" s="273"/>
      <c r="V357" s="273"/>
      <c r="W357" s="273"/>
      <c r="X357" s="273"/>
      <c r="Y357" s="273"/>
      <c r="Z357" s="273"/>
      <c r="AA357" s="273"/>
      <c r="AB357" s="273"/>
      <c r="AC357" s="273"/>
      <c r="AD357" s="273"/>
      <c r="AE357" s="273"/>
      <c r="AF357" s="273"/>
      <c r="AG357" s="273"/>
      <c r="AH357" s="273"/>
      <c r="AI357" s="273"/>
      <c r="AJ357" s="273"/>
      <c r="AK357" s="273"/>
      <c r="AL357" s="273"/>
      <c r="AM357" s="273"/>
      <c r="AN357" s="273"/>
      <c r="AO357" s="273"/>
      <c r="AP357" s="273"/>
      <c r="AQ357" s="273"/>
      <c r="AR357" s="273"/>
      <c r="AS357" s="273"/>
      <c r="AT357" s="273"/>
      <c r="AU357" s="273"/>
      <c r="AV357" s="273"/>
      <c r="AW357" s="273"/>
      <c r="AX357" s="273"/>
      <c r="AY357" s="273"/>
      <c r="AZ357" s="273"/>
      <c r="BA357" s="273"/>
      <c r="BB357" s="273"/>
      <c r="BC357" s="273"/>
      <c r="BD357" s="273"/>
      <c r="BE357" s="273"/>
      <c r="BF357" s="273"/>
      <c r="BG357" s="273"/>
      <c r="BH357" s="273"/>
      <c r="BI357" s="273"/>
      <c r="BJ357" s="273"/>
      <c r="BK357" s="273"/>
      <c r="BL357" s="273"/>
      <c r="BM357" s="273"/>
      <c r="BN357" s="273"/>
      <c r="BO357" s="273"/>
      <c r="BP357" s="273"/>
      <c r="BQ357" s="273"/>
      <c r="BR357" s="273"/>
      <c r="BS357" s="273"/>
      <c r="BT357" s="273"/>
      <c r="BU357" s="273"/>
      <c r="BV357" s="273"/>
      <c r="BW357" s="273"/>
      <c r="BX357" s="273"/>
      <c r="BY357" s="273"/>
      <c r="BZ357" s="273"/>
      <c r="CA357" s="273"/>
      <c r="CB357" s="273"/>
      <c r="CC357" s="273"/>
      <c r="CD357" s="273"/>
      <c r="CE357" s="273"/>
      <c r="CF357" s="273"/>
      <c r="CG357" s="273"/>
      <c r="CH357" s="273"/>
      <c r="CI357" s="273"/>
      <c r="CJ357" s="273"/>
      <c r="CK357" s="273"/>
      <c r="CL357" s="273"/>
      <c r="CM357" s="273"/>
      <c r="CN357" s="273"/>
      <c r="CO357" s="273"/>
      <c r="CP357" s="273"/>
      <c r="CQ357" s="273"/>
      <c r="CR357" s="273"/>
      <c r="CS357" s="273"/>
      <c r="CT357" s="273"/>
      <c r="CU357" s="273"/>
      <c r="CV357" s="273"/>
      <c r="CW357" s="273"/>
      <c r="CX357" s="273"/>
      <c r="CY357" s="273"/>
      <c r="CZ357" s="273"/>
      <c r="DA357" s="273"/>
      <c r="DB357" s="273"/>
      <c r="DC357" s="273"/>
      <c r="DD357" s="273"/>
      <c r="DE357" s="273"/>
      <c r="DF357" s="273"/>
      <c r="DG357" s="273"/>
      <c r="DH357" s="273"/>
      <c r="DI357" s="273"/>
      <c r="DJ357" s="273"/>
      <c r="DK357" s="273"/>
      <c r="DL357" s="273"/>
      <c r="DM357" s="273"/>
      <c r="DN357" s="273"/>
      <c r="DO357" s="273"/>
      <c r="DP357" s="273"/>
      <c r="DQ357" s="273"/>
      <c r="DR357" s="273"/>
      <c r="DS357" s="273"/>
      <c r="DT357" s="273"/>
      <c r="DU357" s="273"/>
      <c r="DV357" s="273"/>
      <c r="DW357" s="273"/>
      <c r="DX357" s="273"/>
      <c r="DY357" s="273"/>
      <c r="DZ357" s="273"/>
      <c r="EA357" s="273"/>
      <c r="EB357" s="273"/>
      <c r="EC357" s="273"/>
      <c r="ED357" s="273"/>
      <c r="EE357" s="273"/>
      <c r="EF357" s="273"/>
      <c r="EG357" s="273"/>
      <c r="EH357" s="273"/>
      <c r="EI357" s="273"/>
      <c r="EJ357" s="273"/>
      <c r="EK357" s="273"/>
      <c r="EL357" s="273"/>
      <c r="EM357" s="273"/>
      <c r="EN357" s="273"/>
      <c r="EO357" s="273"/>
      <c r="EP357" s="273"/>
      <c r="EQ357" s="273"/>
      <c r="ER357" s="273"/>
      <c r="ES357" s="273"/>
      <c r="ET357" s="273"/>
      <c r="EU357" s="273"/>
      <c r="EV357" s="273"/>
      <c r="EW357" s="273"/>
      <c r="EX357" s="273"/>
      <c r="EY357" s="273"/>
      <c r="EZ357" s="273"/>
      <c r="FA357" s="273"/>
      <c r="FB357" s="273"/>
      <c r="FC357" s="273"/>
      <c r="FD357" s="273"/>
      <c r="FE357" s="273"/>
      <c r="FF357" s="273"/>
      <c r="FG357" s="273"/>
      <c r="FH357" s="273"/>
      <c r="FI357" s="273"/>
      <c r="FJ357" s="273"/>
      <c r="FK357" s="273"/>
      <c r="FL357" s="273"/>
      <c r="FM357" s="273"/>
      <c r="FN357" s="273"/>
      <c r="FO357" s="273"/>
      <c r="FP357" s="273"/>
      <c r="FQ357" s="273"/>
      <c r="FR357" s="273"/>
      <c r="FS357" s="273"/>
      <c r="FT357" s="273"/>
      <c r="FU357" s="273"/>
      <c r="FV357" s="273"/>
      <c r="FW357" s="273"/>
      <c r="FX357" s="273"/>
      <c r="FY357" s="273"/>
      <c r="FZ357" s="273"/>
      <c r="GA357" s="273"/>
      <c r="GB357" s="273"/>
      <c r="GC357" s="273"/>
      <c r="GD357" s="273"/>
      <c r="GE357" s="273"/>
      <c r="GF357" s="273"/>
      <c r="GG357" s="273"/>
      <c r="GH357" s="273"/>
      <c r="GI357" s="273"/>
      <c r="GJ357" s="273"/>
      <c r="GK357" s="273"/>
      <c r="GL357" s="273"/>
      <c r="GM357" s="273"/>
      <c r="GN357" s="273"/>
      <c r="GO357" s="273"/>
      <c r="GP357" s="273"/>
      <c r="GQ357" s="273"/>
      <c r="GR357" s="273"/>
      <c r="GS357" s="273"/>
      <c r="GT357" s="273"/>
      <c r="GU357" s="273"/>
      <c r="GV357" s="273"/>
      <c r="GW357" s="273"/>
      <c r="GX357" s="273"/>
    </row>
    <row r="358" spans="1:206">
      <c r="A358" s="277"/>
      <c r="C358" s="279"/>
      <c r="D358" s="279"/>
      <c r="E358" s="279"/>
      <c r="F358" s="279"/>
      <c r="G358" s="279"/>
      <c r="H358" s="279"/>
      <c r="I358" s="279"/>
      <c r="J358" s="279"/>
      <c r="K358" s="279"/>
      <c r="L358" s="279"/>
      <c r="M358" s="279"/>
      <c r="N358" s="279"/>
      <c r="O358" s="279"/>
      <c r="P358" s="279"/>
      <c r="Q358" s="279"/>
      <c r="R358" s="279"/>
      <c r="S358" s="279"/>
      <c r="T358" s="279"/>
      <c r="U358" s="279"/>
      <c r="V358" s="279"/>
      <c r="W358" s="279"/>
      <c r="X358" s="279"/>
      <c r="Y358" s="279"/>
      <c r="Z358" s="279"/>
      <c r="AA358" s="279"/>
      <c r="AB358" s="279"/>
      <c r="AC358" s="279"/>
      <c r="AD358" s="279"/>
      <c r="AE358" s="279"/>
      <c r="AF358" s="279"/>
      <c r="AG358" s="279"/>
    </row>
    <row r="359" spans="1:206" s="85" customFormat="1">
      <c r="A359" s="276"/>
      <c r="B359" s="149" t="s">
        <v>111</v>
      </c>
      <c r="C359" s="278">
        <f>Wind!U228</f>
        <v>0</v>
      </c>
      <c r="D359" s="278">
        <f>Wind!V228</f>
        <v>0</v>
      </c>
      <c r="E359" s="278">
        <f>Wind!W228</f>
        <v>0</v>
      </c>
      <c r="F359" s="278">
        <f>Wind!X228</f>
        <v>0</v>
      </c>
      <c r="G359" s="278">
        <f>Wind!Y228</f>
        <v>0</v>
      </c>
      <c r="H359" s="278">
        <f>Wind!Z228</f>
        <v>-15.123032519999999</v>
      </c>
      <c r="I359" s="278">
        <f>Wind!AA228</f>
        <v>-28.557118629999998</v>
      </c>
      <c r="J359" s="278">
        <f>Wind!AB228</f>
        <v>31.721563280000002</v>
      </c>
      <c r="K359" s="278"/>
      <c r="L359" s="278">
        <f>Wind!CB228</f>
        <v>0</v>
      </c>
      <c r="M359" s="278">
        <f>Wind!CC228</f>
        <v>0</v>
      </c>
      <c r="N359" s="278">
        <f>Wind!CD228</f>
        <v>0</v>
      </c>
      <c r="O359" s="278">
        <f>Wind!CE228</f>
        <v>0</v>
      </c>
      <c r="P359" s="278">
        <f>Wind!CF228</f>
        <v>0</v>
      </c>
      <c r="Q359" s="278">
        <f>Wind!CG228</f>
        <v>0</v>
      </c>
      <c r="R359" s="278">
        <f>Wind!CH228</f>
        <v>0</v>
      </c>
      <c r="S359" s="278">
        <f>Wind!CI228</f>
        <v>0</v>
      </c>
      <c r="T359" s="278">
        <f>Wind!CJ228</f>
        <v>0</v>
      </c>
      <c r="U359" s="278">
        <f>Wind!CK228</f>
        <v>0</v>
      </c>
      <c r="V359" s="278">
        <f>Wind!CL228</f>
        <v>-4.5194110000000003E-2</v>
      </c>
      <c r="W359" s="278">
        <f>Wind!CM228</f>
        <v>-15.123032519999999</v>
      </c>
      <c r="X359" s="278">
        <f>Wind!CN228</f>
        <v>-1.2212080300000001</v>
      </c>
      <c r="Y359" s="278">
        <f>Wind!CO228</f>
        <v>67.757399680000006</v>
      </c>
      <c r="Z359" s="278">
        <f>Wind!CP228</f>
        <v>66.588088130000003</v>
      </c>
      <c r="AA359" s="278">
        <f>Wind!CQ228</f>
        <v>-28.557118629999998</v>
      </c>
      <c r="AB359" s="278">
        <f>Wind!CR228</f>
        <v>6.28861501</v>
      </c>
      <c r="AC359" s="278">
        <f>Wind!CS228</f>
        <v>16.389153839999999</v>
      </c>
      <c r="AD359" s="278">
        <f>Wind!CT228</f>
        <v>11.176971999999999</v>
      </c>
      <c r="AE359" s="278">
        <f>Wind!CU228</f>
        <v>31.721563280000002</v>
      </c>
      <c r="AF359" s="278">
        <f>Wind!CV228</f>
        <v>-11.12039002</v>
      </c>
      <c r="AG359" s="278">
        <f>Wind!CW228</f>
        <v>5.3538728300000002</v>
      </c>
    </row>
    <row r="360" spans="1:206" s="273" customFormat="1">
      <c r="A360" s="274"/>
      <c r="B360" s="67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  <c r="AP360" s="66"/>
      <c r="AQ360" s="66"/>
      <c r="AR360" s="66"/>
      <c r="AS360" s="66"/>
      <c r="AT360" s="66"/>
      <c r="AU360" s="66"/>
      <c r="AV360" s="66"/>
      <c r="AW360" s="66"/>
      <c r="AX360" s="66"/>
      <c r="AY360" s="66"/>
      <c r="AZ360" s="66"/>
      <c r="BA360" s="66"/>
      <c r="BB360" s="66"/>
      <c r="BC360" s="66"/>
      <c r="BD360" s="66"/>
      <c r="BE360" s="66"/>
      <c r="BF360" s="66"/>
      <c r="BG360" s="66"/>
      <c r="BH360" s="66"/>
      <c r="BI360" s="66"/>
      <c r="BJ360" s="66"/>
      <c r="BK360" s="66"/>
      <c r="BL360" s="66"/>
      <c r="BM360" s="66"/>
      <c r="BN360" s="66"/>
      <c r="BO360" s="66"/>
      <c r="BP360" s="66"/>
      <c r="BQ360" s="66"/>
      <c r="BR360" s="66"/>
      <c r="BS360" s="66"/>
      <c r="BT360" s="66"/>
      <c r="BU360" s="66"/>
      <c r="BV360" s="66"/>
      <c r="BW360" s="66"/>
      <c r="BX360" s="66"/>
      <c r="BY360" s="66"/>
      <c r="BZ360" s="66"/>
      <c r="CA360" s="66"/>
      <c r="CB360" s="66"/>
      <c r="CC360" s="66"/>
      <c r="CD360" s="66"/>
      <c r="CE360" s="66"/>
      <c r="CF360" s="66"/>
      <c r="CG360" s="66"/>
      <c r="CH360" s="66"/>
      <c r="CI360" s="66"/>
      <c r="CJ360" s="66"/>
      <c r="CK360" s="66"/>
      <c r="CL360" s="66"/>
      <c r="CM360" s="66"/>
      <c r="CN360" s="66"/>
      <c r="CO360" s="66"/>
      <c r="CP360" s="66"/>
      <c r="CQ360" s="66"/>
      <c r="CR360" s="66"/>
      <c r="CS360" s="66"/>
      <c r="CT360" s="66"/>
      <c r="CU360" s="66"/>
      <c r="CV360" s="66"/>
      <c r="CW360" s="66"/>
      <c r="CX360" s="66"/>
      <c r="CY360" s="66"/>
      <c r="CZ360" s="66"/>
      <c r="DA360" s="66"/>
      <c r="DB360" s="66"/>
      <c r="DC360" s="66"/>
      <c r="DD360" s="66"/>
      <c r="DE360" s="66"/>
      <c r="DF360" s="66"/>
      <c r="DG360" s="66"/>
      <c r="DH360" s="66"/>
      <c r="DI360" s="66"/>
      <c r="DJ360" s="66"/>
      <c r="DK360" s="66"/>
      <c r="DL360" s="66"/>
      <c r="DM360" s="66"/>
      <c r="DN360" s="66"/>
      <c r="DO360" s="66"/>
      <c r="DP360" s="66"/>
      <c r="DQ360" s="66"/>
      <c r="DR360" s="66"/>
      <c r="DS360" s="66"/>
      <c r="DT360" s="66"/>
      <c r="DU360" s="66"/>
      <c r="DV360" s="66"/>
      <c r="DW360" s="66"/>
      <c r="DX360" s="66"/>
      <c r="DY360" s="66"/>
      <c r="DZ360" s="66"/>
      <c r="EA360" s="66"/>
      <c r="EB360" s="66"/>
      <c r="EC360" s="66"/>
      <c r="ED360" s="66"/>
      <c r="EE360" s="66"/>
      <c r="EF360" s="66"/>
      <c r="EG360" s="66"/>
      <c r="EH360" s="66"/>
      <c r="EI360" s="66"/>
      <c r="EJ360" s="66"/>
      <c r="EK360" s="66"/>
      <c r="EL360" s="66"/>
      <c r="EM360" s="66"/>
      <c r="EN360" s="66"/>
      <c r="EO360" s="66"/>
      <c r="EP360" s="66"/>
      <c r="EQ360" s="66"/>
      <c r="ER360" s="66"/>
      <c r="ES360" s="66"/>
      <c r="ET360" s="66"/>
      <c r="EU360" s="66"/>
      <c r="EV360" s="66"/>
      <c r="EW360" s="66"/>
      <c r="EX360" s="66"/>
      <c r="EY360" s="66"/>
      <c r="EZ360" s="66"/>
      <c r="FA360" s="66"/>
      <c r="FB360" s="66"/>
      <c r="FC360" s="66"/>
      <c r="FD360" s="66"/>
      <c r="FE360" s="66"/>
      <c r="FF360" s="66"/>
      <c r="FG360" s="66"/>
      <c r="FH360" s="66"/>
      <c r="FI360" s="66"/>
      <c r="FJ360" s="66"/>
      <c r="FK360" s="66"/>
      <c r="FL360" s="66"/>
      <c r="FM360" s="66"/>
      <c r="FN360" s="66"/>
      <c r="FO360" s="66"/>
      <c r="FP360" s="66"/>
      <c r="FQ360" s="66"/>
      <c r="FR360" s="66"/>
      <c r="FS360" s="66"/>
      <c r="FT360" s="66"/>
      <c r="FU360" s="66"/>
      <c r="FV360" s="66"/>
      <c r="FW360" s="66"/>
      <c r="FX360" s="66"/>
      <c r="FY360" s="66"/>
      <c r="FZ360" s="66"/>
      <c r="GA360" s="66"/>
      <c r="GB360" s="66"/>
      <c r="GC360" s="66"/>
      <c r="GD360" s="66"/>
      <c r="GE360" s="66"/>
      <c r="GF360" s="66"/>
      <c r="GG360" s="66"/>
      <c r="GH360" s="66"/>
      <c r="GI360" s="66"/>
      <c r="GJ360" s="66"/>
      <c r="GK360" s="66"/>
      <c r="GL360" s="66"/>
      <c r="GM360" s="66"/>
      <c r="GN360" s="66"/>
      <c r="GO360" s="66"/>
      <c r="GP360" s="66"/>
      <c r="GQ360" s="66"/>
      <c r="GR360" s="66"/>
      <c r="GS360" s="66"/>
      <c r="GT360" s="66"/>
      <c r="GU360" s="66"/>
      <c r="GV360" s="66"/>
      <c r="GW360" s="66"/>
      <c r="GX360" s="66"/>
    </row>
    <row r="361" spans="1:206">
      <c r="A361" s="277"/>
      <c r="B361" s="67" t="s">
        <v>658</v>
      </c>
      <c r="C361" s="66">
        <f t="shared" ref="C361:I361" si="186">C285+C323+C356+C359</f>
        <v>-108.11850000000004</v>
      </c>
      <c r="D361" s="66">
        <f t="shared" si="186"/>
        <v>153.24651541000003</v>
      </c>
      <c r="E361" s="66">
        <f t="shared" si="186"/>
        <v>621.22262632000002</v>
      </c>
      <c r="F361" s="66">
        <f t="shared" si="186"/>
        <v>233.67912921000016</v>
      </c>
      <c r="G361" s="66">
        <f t="shared" si="186"/>
        <v>-179.63997581000035</v>
      </c>
      <c r="H361" s="66">
        <f t="shared" si="186"/>
        <v>439.43698127999977</v>
      </c>
      <c r="I361" s="66">
        <f t="shared" si="186"/>
        <v>1436.5011631300004</v>
      </c>
      <c r="J361" s="66">
        <f>J285+J323+J356+J359</f>
        <v>453.08941873999919</v>
      </c>
      <c r="L361" s="66">
        <f t="shared" ref="L361:R361" si="187">L285+L323+L356+L359</f>
        <v>-173.55672404000003</v>
      </c>
      <c r="M361" s="66">
        <f t="shared" si="187"/>
        <v>-92.312099999999987</v>
      </c>
      <c r="N361" s="66">
        <f t="shared" si="187"/>
        <v>-86.51454394000001</v>
      </c>
      <c r="O361" s="66">
        <f t="shared" si="187"/>
        <v>233.67912921000027</v>
      </c>
      <c r="P361" s="66">
        <f t="shared" si="187"/>
        <v>-189.13571559000002</v>
      </c>
      <c r="Q361" s="66">
        <f t="shared" si="187"/>
        <v>1284.9872969699998</v>
      </c>
      <c r="R361" s="66">
        <f t="shared" si="187"/>
        <v>206.34915371000034</v>
      </c>
      <c r="S361" s="66">
        <f t="shared" ref="S361:AB361" si="188">S285+S323+S356+S359</f>
        <v>-179.63997581000035</v>
      </c>
      <c r="T361" s="66">
        <f t="shared" si="188"/>
        <v>687.50198097000009</v>
      </c>
      <c r="U361" s="66">
        <f t="shared" si="188"/>
        <v>92.094128219999789</v>
      </c>
      <c r="V361" s="66">
        <f t="shared" si="188"/>
        <v>-178.2655604699994</v>
      </c>
      <c r="W361" s="66">
        <f t="shared" si="188"/>
        <v>439.43698128000023</v>
      </c>
      <c r="X361" s="66">
        <f t="shared" si="188"/>
        <v>-128.31271559000004</v>
      </c>
      <c r="Y361" s="66">
        <f t="shared" si="188"/>
        <v>738.08075152999993</v>
      </c>
      <c r="Z361" s="66">
        <f t="shared" si="188"/>
        <v>2342.0121803899997</v>
      </c>
      <c r="AA361" s="66">
        <f t="shared" si="188"/>
        <v>1436.5011631299999</v>
      </c>
      <c r="AB361" s="66">
        <f t="shared" si="188"/>
        <v>1092.1350012400001</v>
      </c>
      <c r="AC361" s="66">
        <f>AC285+AC323+AC356+AC359</f>
        <v>1540.4226299100005</v>
      </c>
      <c r="AD361" s="66">
        <f>AD285+AD323+AD356+AD359</f>
        <v>417.57970231000104</v>
      </c>
      <c r="AE361" s="66">
        <f>AE285+AE323+AE356+AE359</f>
        <v>453.08941873999919</v>
      </c>
      <c r="AF361" s="66">
        <f t="shared" ref="AF361" si="189">AF285+AF323+AF356+AF359</f>
        <v>-414.74387706000044</v>
      </c>
      <c r="AG361" s="66">
        <f t="shared" ref="AG361" si="190">AG285+AG323+AG356+AG359</f>
        <v>-1268.0190073000008</v>
      </c>
    </row>
    <row r="362" spans="1:206" s="85" customFormat="1">
      <c r="A362" s="276"/>
      <c r="B362" s="275" t="s">
        <v>657</v>
      </c>
      <c r="C362" s="273">
        <f>Model!C224-C361</f>
        <v>0</v>
      </c>
      <c r="D362" s="273">
        <f>Model!D224-D361</f>
        <v>-7.5221867900000348</v>
      </c>
      <c r="E362" s="273">
        <f>Model!E224-E361</f>
        <v>-15.421953799999983</v>
      </c>
      <c r="F362" s="273">
        <f>Model!F224-F361</f>
        <v>46.078865869999959</v>
      </c>
      <c r="G362" s="273">
        <f>Model!G224-G361</f>
        <v>-26.109678209999402</v>
      </c>
      <c r="H362" s="273">
        <f>Model!H224-H361</f>
        <v>699.01944013000002</v>
      </c>
      <c r="I362" s="273">
        <f>Model!I224-I361</f>
        <v>0</v>
      </c>
      <c r="J362" s="273">
        <f>Model!J224-J361</f>
        <v>0</v>
      </c>
      <c r="K362" s="273"/>
      <c r="L362" s="273"/>
      <c r="M362" s="273"/>
      <c r="N362" s="273"/>
      <c r="O362" s="273"/>
      <c r="P362" s="273"/>
      <c r="Q362" s="273"/>
      <c r="R362" s="273"/>
      <c r="S362" s="273"/>
      <c r="T362" s="273"/>
      <c r="U362" s="273"/>
      <c r="V362" s="273"/>
      <c r="W362" s="273"/>
      <c r="X362" s="273"/>
      <c r="Y362" s="273"/>
      <c r="Z362" s="273"/>
      <c r="AA362" s="273"/>
      <c r="AB362" s="273"/>
      <c r="AC362" s="273"/>
      <c r="AD362" s="273"/>
      <c r="AE362" s="273"/>
      <c r="AF362" s="273"/>
      <c r="AG362" s="273"/>
      <c r="AH362" s="273"/>
      <c r="AI362" s="273"/>
      <c r="AJ362" s="273"/>
      <c r="AK362" s="273"/>
      <c r="AL362" s="273"/>
      <c r="AM362" s="273"/>
      <c r="AN362" s="273"/>
      <c r="AO362" s="273"/>
      <c r="AP362" s="273"/>
      <c r="AQ362" s="273"/>
      <c r="AR362" s="273"/>
      <c r="AS362" s="273"/>
      <c r="AT362" s="273"/>
      <c r="AU362" s="273"/>
      <c r="AV362" s="273"/>
      <c r="AW362" s="273"/>
      <c r="AX362" s="273"/>
      <c r="AY362" s="273"/>
      <c r="AZ362" s="273"/>
      <c r="BA362" s="273"/>
      <c r="BB362" s="273"/>
      <c r="BC362" s="273"/>
      <c r="BD362" s="273"/>
      <c r="BE362" s="273"/>
      <c r="BF362" s="273"/>
      <c r="BG362" s="273"/>
      <c r="BH362" s="273"/>
      <c r="BI362" s="273"/>
      <c r="BJ362" s="273"/>
      <c r="BK362" s="273"/>
      <c r="BL362" s="273"/>
      <c r="BM362" s="273"/>
      <c r="BN362" s="273"/>
      <c r="BO362" s="273"/>
      <c r="BP362" s="273"/>
      <c r="BQ362" s="273"/>
      <c r="BR362" s="273"/>
      <c r="BS362" s="273"/>
      <c r="BT362" s="273"/>
      <c r="BU362" s="273"/>
      <c r="BV362" s="273"/>
      <c r="BW362" s="273"/>
      <c r="BX362" s="273"/>
      <c r="BY362" s="273"/>
      <c r="BZ362" s="273"/>
      <c r="CA362" s="273"/>
      <c r="CB362" s="273"/>
      <c r="CC362" s="273"/>
      <c r="CD362" s="273"/>
      <c r="CE362" s="273"/>
      <c r="CF362" s="273"/>
      <c r="CG362" s="273"/>
      <c r="CH362" s="273"/>
      <c r="CI362" s="273"/>
      <c r="CJ362" s="273"/>
      <c r="CK362" s="273"/>
      <c r="CL362" s="273"/>
      <c r="CM362" s="273"/>
      <c r="CN362" s="273"/>
      <c r="CO362" s="273"/>
      <c r="CP362" s="273"/>
      <c r="CQ362" s="273"/>
      <c r="CR362" s="273"/>
      <c r="CS362" s="273"/>
      <c r="CT362" s="273"/>
      <c r="CU362" s="273"/>
      <c r="CV362" s="273"/>
      <c r="CW362" s="273"/>
      <c r="CX362" s="273"/>
      <c r="CY362" s="273"/>
      <c r="CZ362" s="273"/>
      <c r="DA362" s="273"/>
      <c r="DB362" s="273"/>
      <c r="DC362" s="273"/>
      <c r="DD362" s="273"/>
      <c r="DE362" s="273"/>
      <c r="DF362" s="273"/>
      <c r="DG362" s="273"/>
      <c r="DH362" s="273"/>
      <c r="DI362" s="273"/>
      <c r="DJ362" s="273"/>
      <c r="DK362" s="273"/>
      <c r="DL362" s="273"/>
      <c r="DM362" s="273"/>
      <c r="DN362" s="273"/>
      <c r="DO362" s="273"/>
      <c r="DP362" s="273"/>
      <c r="DQ362" s="273"/>
      <c r="DR362" s="273"/>
      <c r="DS362" s="273"/>
      <c r="DT362" s="273"/>
      <c r="DU362" s="273"/>
      <c r="DV362" s="273"/>
      <c r="DW362" s="273"/>
      <c r="DX362" s="273"/>
      <c r="DY362" s="273"/>
      <c r="DZ362" s="273"/>
      <c r="EA362" s="273"/>
      <c r="EB362" s="273"/>
      <c r="EC362" s="273"/>
      <c r="ED362" s="273"/>
      <c r="EE362" s="273"/>
      <c r="EF362" s="273"/>
      <c r="EG362" s="273"/>
      <c r="EH362" s="273"/>
      <c r="EI362" s="273"/>
      <c r="EJ362" s="273"/>
      <c r="EK362" s="273"/>
      <c r="EL362" s="273"/>
      <c r="EM362" s="273"/>
      <c r="EN362" s="273"/>
      <c r="EO362" s="273"/>
      <c r="EP362" s="273"/>
      <c r="EQ362" s="273"/>
      <c r="ER362" s="273"/>
      <c r="ES362" s="273"/>
      <c r="ET362" s="273"/>
      <c r="EU362" s="273"/>
      <c r="EV362" s="273"/>
      <c r="EW362" s="273"/>
      <c r="EX362" s="273"/>
      <c r="EY362" s="273"/>
      <c r="EZ362" s="273"/>
      <c r="FA362" s="273"/>
      <c r="FB362" s="273"/>
      <c r="FC362" s="273"/>
      <c r="FD362" s="273"/>
      <c r="FE362" s="273"/>
      <c r="FF362" s="273"/>
      <c r="FG362" s="273"/>
      <c r="FH362" s="273"/>
      <c r="FI362" s="273"/>
      <c r="FJ362" s="273"/>
      <c r="FK362" s="273"/>
      <c r="FL362" s="273"/>
      <c r="FM362" s="273"/>
      <c r="FN362" s="273"/>
      <c r="FO362" s="273"/>
      <c r="FP362" s="273"/>
      <c r="FQ362" s="273"/>
      <c r="FR362" s="273"/>
      <c r="FS362" s="273"/>
      <c r="FT362" s="273"/>
      <c r="FU362" s="273"/>
      <c r="FV362" s="273"/>
      <c r="FW362" s="273"/>
      <c r="FX362" s="273"/>
      <c r="FY362" s="273"/>
      <c r="FZ362" s="273"/>
      <c r="GA362" s="273"/>
      <c r="GB362" s="273"/>
      <c r="GC362" s="273"/>
      <c r="GD362" s="273"/>
      <c r="GE362" s="273"/>
      <c r="GF362" s="273"/>
      <c r="GG362" s="273"/>
      <c r="GH362" s="273"/>
      <c r="GI362" s="273"/>
      <c r="GJ362" s="273"/>
      <c r="GK362" s="273"/>
      <c r="GL362" s="273"/>
      <c r="GM362" s="273"/>
      <c r="GN362" s="273"/>
      <c r="GO362" s="273"/>
      <c r="GP362" s="273"/>
      <c r="GQ362" s="273"/>
      <c r="GR362" s="273"/>
      <c r="GS362" s="273"/>
      <c r="GT362" s="273"/>
      <c r="GU362" s="273"/>
      <c r="GV362" s="273"/>
      <c r="GW362" s="273"/>
      <c r="GX362" s="273"/>
    </row>
    <row r="365" spans="1:206" s="273" customFormat="1">
      <c r="A365" s="274"/>
      <c r="B365" s="67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  <c r="AP365" s="66"/>
      <c r="AQ365" s="66"/>
      <c r="AR365" s="66"/>
      <c r="AS365" s="66"/>
      <c r="AT365" s="66"/>
      <c r="AU365" s="66"/>
      <c r="AV365" s="66"/>
      <c r="AW365" s="66"/>
      <c r="AX365" s="66"/>
      <c r="AY365" s="66"/>
      <c r="AZ365" s="66"/>
      <c r="BA365" s="66"/>
      <c r="BB365" s="66"/>
      <c r="BC365" s="66"/>
      <c r="BD365" s="66"/>
      <c r="BE365" s="66"/>
      <c r="BF365" s="66"/>
      <c r="BG365" s="66"/>
      <c r="BH365" s="66"/>
      <c r="BI365" s="66"/>
      <c r="BJ365" s="66"/>
      <c r="BK365" s="66"/>
      <c r="BL365" s="66"/>
      <c r="BM365" s="66"/>
      <c r="BN365" s="66"/>
      <c r="BO365" s="66"/>
      <c r="BP365" s="66"/>
      <c r="BQ365" s="66"/>
      <c r="BR365" s="66"/>
      <c r="BS365" s="66"/>
      <c r="BT365" s="66"/>
      <c r="BU365" s="66"/>
      <c r="BV365" s="66"/>
      <c r="BW365" s="66"/>
      <c r="BX365" s="66"/>
      <c r="BY365" s="66"/>
      <c r="BZ365" s="66"/>
      <c r="CA365" s="66"/>
      <c r="CB365" s="66"/>
      <c r="CC365" s="66"/>
      <c r="CD365" s="66"/>
      <c r="CE365" s="66"/>
      <c r="CF365" s="66"/>
      <c r="CG365" s="66"/>
      <c r="CH365" s="66"/>
      <c r="CI365" s="66"/>
      <c r="CJ365" s="66"/>
      <c r="CK365" s="66"/>
      <c r="CL365" s="66"/>
      <c r="CM365" s="66"/>
      <c r="CN365" s="66"/>
      <c r="CO365" s="66"/>
      <c r="CP365" s="66"/>
      <c r="CQ365" s="66"/>
      <c r="CR365" s="66"/>
      <c r="CS365" s="66"/>
      <c r="CT365" s="66"/>
      <c r="CU365" s="66"/>
      <c r="CV365" s="66"/>
      <c r="CW365" s="66"/>
      <c r="CX365" s="66"/>
      <c r="CY365" s="66"/>
      <c r="CZ365" s="66"/>
      <c r="DA365" s="66"/>
      <c r="DB365" s="66"/>
      <c r="DC365" s="66"/>
      <c r="DD365" s="66"/>
      <c r="DE365" s="66"/>
      <c r="DF365" s="66"/>
      <c r="DG365" s="66"/>
      <c r="DH365" s="66"/>
      <c r="DI365" s="66"/>
      <c r="DJ365" s="66"/>
      <c r="DK365" s="66"/>
      <c r="DL365" s="66"/>
      <c r="DM365" s="66"/>
      <c r="DN365" s="66"/>
      <c r="DO365" s="66"/>
      <c r="DP365" s="66"/>
      <c r="DQ365" s="66"/>
      <c r="DR365" s="66"/>
      <c r="DS365" s="66"/>
      <c r="DT365" s="66"/>
      <c r="DU365" s="66"/>
      <c r="DV365" s="66"/>
      <c r="DW365" s="66"/>
      <c r="DX365" s="66"/>
      <c r="DY365" s="66"/>
      <c r="DZ365" s="66"/>
      <c r="EA365" s="66"/>
      <c r="EB365" s="66"/>
      <c r="EC365" s="66"/>
      <c r="ED365" s="66"/>
      <c r="EE365" s="66"/>
      <c r="EF365" s="66"/>
      <c r="EG365" s="66"/>
      <c r="EH365" s="66"/>
      <c r="EI365" s="66"/>
      <c r="EJ365" s="66"/>
      <c r="EK365" s="66"/>
      <c r="EL365" s="66"/>
      <c r="EM365" s="66"/>
      <c r="EN365" s="66"/>
      <c r="EO365" s="66"/>
      <c r="EP365" s="66"/>
      <c r="EQ365" s="66"/>
      <c r="ER365" s="66"/>
      <c r="ES365" s="66"/>
      <c r="ET365" s="66"/>
      <c r="EU365" s="66"/>
      <c r="EV365" s="66"/>
      <c r="EW365" s="66"/>
      <c r="EX365" s="66"/>
      <c r="EY365" s="66"/>
      <c r="EZ365" s="66"/>
      <c r="FA365" s="66"/>
      <c r="FB365" s="66"/>
      <c r="FC365" s="66"/>
      <c r="FD365" s="66"/>
      <c r="FE365" s="66"/>
      <c r="FF365" s="66"/>
      <c r="FG365" s="66"/>
      <c r="FH365" s="66"/>
      <c r="FI365" s="66"/>
      <c r="FJ365" s="66"/>
      <c r="FK365" s="66"/>
      <c r="FL365" s="66"/>
      <c r="FM365" s="66"/>
      <c r="FN365" s="66"/>
      <c r="FO365" s="66"/>
      <c r="FP365" s="66"/>
      <c r="FQ365" s="66"/>
      <c r="FR365" s="66"/>
      <c r="FS365" s="66"/>
      <c r="FT365" s="66"/>
      <c r="FU365" s="66"/>
      <c r="FV365" s="66"/>
      <c r="FW365" s="66"/>
      <c r="FX365" s="66"/>
      <c r="FY365" s="66"/>
      <c r="FZ365" s="66"/>
      <c r="GA365" s="66"/>
      <c r="GB365" s="66"/>
      <c r="GC365" s="66"/>
      <c r="GD365" s="66"/>
      <c r="GE365" s="66"/>
      <c r="GF365" s="66"/>
      <c r="GG365" s="66"/>
      <c r="GH365" s="66"/>
      <c r="GI365" s="66"/>
      <c r="GJ365" s="66"/>
      <c r="GK365" s="66"/>
      <c r="GL365" s="66"/>
      <c r="GM365" s="66"/>
      <c r="GN365" s="66"/>
      <c r="GO365" s="66"/>
      <c r="GP365" s="66"/>
      <c r="GQ365" s="66"/>
      <c r="GR365" s="66"/>
      <c r="GS365" s="66"/>
      <c r="GT365" s="66"/>
      <c r="GU365" s="66"/>
      <c r="GV365" s="66"/>
      <c r="GW365" s="66"/>
      <c r="GX365" s="66"/>
    </row>
    <row r="369" spans="2:2">
      <c r="B369" s="67" t="s">
        <v>0</v>
      </c>
    </row>
  </sheetData>
  <phoneticPr fontId="327" type="noConversion"/>
  <dataValidations count="1">
    <dataValidation allowBlank="1" sqref="B45 A1 B40:B41" xr:uid="{00000000-0002-0000-0500-000000000000}"/>
  </dataValidations>
  <hyperlinks>
    <hyperlink ref="A1" location="'Cover Sheet'!A1" display="Back to Cover Sheet" xr:uid="{00000000-0004-0000-0500-000000000000}"/>
  </hyperlinks>
  <pageMargins left="0.75" right="0.75" top="1" bottom="1" header="0.5" footer="0.5"/>
  <pageSetup paperSize="9" orientation="portrait" r:id="rId1"/>
  <headerFooter alignWithMargins="0"/>
  <customProperties>
    <customPr name="Qube.Worksheet.Visibility" r:id="rId2"/>
  </customProperties>
  <drawing r:id="rId3"/>
  <legacy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tabColor theme="9"/>
  </sheetPr>
  <dimension ref="A1:DG500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9" defaultRowHeight="14.25" outlineLevelCol="1"/>
  <cols>
    <col min="1" max="1" width="36" style="156" customWidth="1"/>
    <col min="2" max="2" width="9.5" style="156" customWidth="1"/>
    <col min="3" max="12" width="9.5" style="156" hidden="1" customWidth="1" outlineLevel="1"/>
    <col min="13" max="13" width="9.75" style="156" hidden="1" customWidth="1" outlineLevel="1"/>
    <col min="14" max="14" width="10.25" style="156" hidden="1" customWidth="1" outlineLevel="1"/>
    <col min="15" max="20" width="9.5" style="156" hidden="1" customWidth="1" outlineLevel="1"/>
    <col min="21" max="21" width="9.5" style="156" customWidth="1" collapsed="1"/>
    <col min="22" max="23" width="9.5" style="156" customWidth="1"/>
    <col min="24" max="29" width="10" style="156" customWidth="1"/>
    <col min="30" max="31" width="9.5" style="156" customWidth="1"/>
    <col min="32" max="32" width="9.5" style="156" bestFit="1" customWidth="1"/>
    <col min="33" max="37" width="9.5" style="156" hidden="1" customWidth="1" outlineLevel="1"/>
    <col min="38" max="41" width="9.75" style="156" hidden="1" customWidth="1" outlineLevel="1"/>
    <col min="42" max="43" width="8.5" style="156" hidden="1" customWidth="1" outlineLevel="1"/>
    <col min="44" max="44" width="9.5" style="156" hidden="1" customWidth="1" outlineLevel="1"/>
    <col min="45" max="54" width="10.75" style="157" hidden="1" customWidth="1" outlineLevel="1"/>
    <col min="55" max="79" width="9" style="156" hidden="1" customWidth="1" outlineLevel="1"/>
    <col min="80" max="80" width="9" style="156" collapsed="1"/>
    <col min="81" max="81" width="9.25" style="156" bestFit="1" customWidth="1"/>
    <col min="82" max="84" width="9.25" style="156" customWidth="1"/>
    <col min="85" max="85" width="10.75" style="156" customWidth="1"/>
    <col min="86" max="97" width="10.5" style="156" customWidth="1"/>
    <col min="98" max="98" width="11.375" style="156" customWidth="1"/>
    <col min="99" max="99" width="10" style="156" bestFit="1" customWidth="1"/>
    <col min="100" max="100" width="10" style="156" customWidth="1"/>
    <col min="101" max="102" width="10.625" style="156" customWidth="1"/>
    <col min="103" max="103" width="9" style="156"/>
    <col min="104" max="104" width="10" style="156" bestFit="1" customWidth="1"/>
    <col min="105" max="16384" width="9" style="156"/>
  </cols>
  <sheetData>
    <row r="1" spans="1:111">
      <c r="A1" s="164" t="s">
        <v>502</v>
      </c>
      <c r="B1" s="992" t="s">
        <v>1183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993" t="s">
        <v>1183</v>
      </c>
      <c r="AG1" s="405"/>
      <c r="AH1" s="405"/>
      <c r="AI1" s="405"/>
      <c r="AJ1" s="405"/>
      <c r="AK1" s="405"/>
      <c r="AL1" s="405"/>
      <c r="AM1" s="405"/>
      <c r="AN1" s="405"/>
      <c r="AO1" s="405"/>
      <c r="AP1" s="405"/>
      <c r="AQ1" s="405"/>
      <c r="AR1" s="405"/>
      <c r="AS1" s="405"/>
      <c r="AT1" s="405"/>
      <c r="AU1" s="405"/>
      <c r="AV1" s="405"/>
      <c r="AW1" s="405"/>
      <c r="AX1" s="405"/>
      <c r="AY1" s="404"/>
      <c r="AZ1" s="404"/>
      <c r="BA1" s="404"/>
      <c r="BB1" s="404"/>
    </row>
    <row r="2" spans="1:111">
      <c r="A2" s="164" t="s">
        <v>501</v>
      </c>
      <c r="B2" s="403" t="s">
        <v>1108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405" t="s">
        <v>1108</v>
      </c>
      <c r="AG2" s="405"/>
      <c r="AH2" s="405"/>
      <c r="AI2" s="405"/>
      <c r="AJ2" s="405"/>
      <c r="AK2" s="405"/>
      <c r="AL2" s="405"/>
      <c r="AM2" s="405"/>
      <c r="AN2" s="405"/>
      <c r="AO2" s="405"/>
      <c r="AP2" s="405"/>
      <c r="AQ2" s="405"/>
      <c r="AR2" s="405"/>
      <c r="AS2" s="405"/>
      <c r="AT2" s="405"/>
      <c r="AU2" s="405"/>
      <c r="AV2" s="405"/>
      <c r="AW2" s="405"/>
      <c r="AX2" s="405"/>
      <c r="AY2" s="404"/>
      <c r="AZ2" s="404"/>
      <c r="BA2" s="404"/>
      <c r="BB2" s="404"/>
    </row>
    <row r="3" spans="1:111" ht="12.75">
      <c r="A3" s="994" t="s">
        <v>258</v>
      </c>
      <c r="B3" s="995">
        <v>36160</v>
      </c>
      <c r="C3" s="995">
        <v>36525</v>
      </c>
      <c r="D3" s="995">
        <v>36891</v>
      </c>
      <c r="E3" s="995">
        <v>37256</v>
      </c>
      <c r="F3" s="995">
        <v>37621</v>
      </c>
      <c r="G3" s="995">
        <v>37986</v>
      </c>
      <c r="H3" s="995">
        <v>38352</v>
      </c>
      <c r="I3" s="995">
        <v>38717</v>
      </c>
      <c r="J3" s="995">
        <v>39082</v>
      </c>
      <c r="K3" s="995">
        <v>39447</v>
      </c>
      <c r="L3" s="995">
        <v>39813</v>
      </c>
      <c r="M3" s="995">
        <v>40178</v>
      </c>
      <c r="N3" s="995">
        <v>40543</v>
      </c>
      <c r="O3" s="995">
        <v>40908</v>
      </c>
      <c r="P3" s="996">
        <v>41274</v>
      </c>
      <c r="Q3" s="996">
        <v>41639</v>
      </c>
      <c r="R3" s="996">
        <v>42004</v>
      </c>
      <c r="S3" s="996">
        <v>42369</v>
      </c>
      <c r="T3" s="996">
        <v>42735</v>
      </c>
      <c r="U3" s="996">
        <v>43100</v>
      </c>
      <c r="V3" s="996">
        <v>43465</v>
      </c>
      <c r="W3" s="996">
        <v>43830</v>
      </c>
      <c r="X3" s="996">
        <v>44196</v>
      </c>
      <c r="Y3" s="996">
        <v>44561</v>
      </c>
      <c r="Z3" s="996">
        <v>44926</v>
      </c>
      <c r="AA3" s="996">
        <v>45291</v>
      </c>
      <c r="AB3" s="996">
        <v>45657</v>
      </c>
      <c r="AC3" s="996"/>
      <c r="AD3" s="995"/>
      <c r="AE3" s="995"/>
      <c r="AF3" s="997">
        <v>39538</v>
      </c>
      <c r="AG3" s="997">
        <v>39629</v>
      </c>
      <c r="AH3" s="997">
        <v>39721</v>
      </c>
      <c r="AI3" s="997">
        <v>39813</v>
      </c>
      <c r="AJ3" s="997">
        <v>39903</v>
      </c>
      <c r="AK3" s="997">
        <v>39994</v>
      </c>
      <c r="AL3" s="997">
        <v>40086</v>
      </c>
      <c r="AM3" s="997">
        <v>40178</v>
      </c>
      <c r="AN3" s="997">
        <v>40268</v>
      </c>
      <c r="AO3" s="997">
        <v>40359</v>
      </c>
      <c r="AP3" s="997">
        <v>40451</v>
      </c>
      <c r="AQ3" s="997">
        <v>40543</v>
      </c>
      <c r="AR3" s="997">
        <v>40633</v>
      </c>
      <c r="AS3" s="997">
        <v>40724</v>
      </c>
      <c r="AT3" s="997">
        <v>40816</v>
      </c>
      <c r="AU3" s="997">
        <v>40908</v>
      </c>
      <c r="AV3" s="997">
        <v>40999</v>
      </c>
      <c r="AW3" s="997">
        <v>41090</v>
      </c>
      <c r="AX3" s="997">
        <v>41182</v>
      </c>
      <c r="AY3" s="997">
        <v>41274</v>
      </c>
      <c r="AZ3" s="997">
        <v>41364</v>
      </c>
      <c r="BA3" s="997">
        <v>41455</v>
      </c>
      <c r="BB3" s="997">
        <v>41547</v>
      </c>
      <c r="BC3" s="997">
        <v>41639</v>
      </c>
      <c r="BD3" s="997">
        <v>41729</v>
      </c>
      <c r="BE3" s="997">
        <v>41820</v>
      </c>
      <c r="BF3" s="997">
        <v>41912</v>
      </c>
      <c r="BG3" s="997">
        <v>42004</v>
      </c>
      <c r="BH3" s="997">
        <v>42094</v>
      </c>
      <c r="BI3" s="997">
        <v>42185</v>
      </c>
      <c r="BJ3" s="997">
        <v>42277</v>
      </c>
      <c r="BK3" s="997">
        <v>42369</v>
      </c>
      <c r="BL3" s="997">
        <v>42460</v>
      </c>
      <c r="BM3" s="997">
        <v>42551</v>
      </c>
      <c r="BN3" s="997">
        <v>42643</v>
      </c>
      <c r="BO3" s="997">
        <v>42735</v>
      </c>
      <c r="BP3" s="997">
        <v>42825</v>
      </c>
      <c r="BQ3" s="997">
        <v>42916</v>
      </c>
      <c r="BR3" s="997">
        <v>43008</v>
      </c>
      <c r="BS3" s="997">
        <v>43100</v>
      </c>
      <c r="BT3" s="997">
        <v>43190</v>
      </c>
      <c r="BU3" s="997">
        <v>43281</v>
      </c>
      <c r="BV3" s="997">
        <v>43373</v>
      </c>
      <c r="BW3" s="997">
        <v>43465</v>
      </c>
      <c r="BX3" s="997">
        <v>43555</v>
      </c>
      <c r="BY3" s="997">
        <v>43646</v>
      </c>
      <c r="BZ3" s="997">
        <v>43738</v>
      </c>
      <c r="CA3" s="997">
        <v>43830</v>
      </c>
      <c r="CB3" s="997">
        <v>43921</v>
      </c>
      <c r="CC3" s="997">
        <v>44012</v>
      </c>
      <c r="CD3" s="997">
        <v>44104</v>
      </c>
      <c r="CE3" s="997">
        <v>44196</v>
      </c>
      <c r="CF3" s="997">
        <v>44286</v>
      </c>
      <c r="CG3" s="997">
        <v>44377</v>
      </c>
      <c r="CH3" s="997">
        <v>44469</v>
      </c>
      <c r="CI3" s="997">
        <v>44561</v>
      </c>
      <c r="CJ3" s="997">
        <v>44651</v>
      </c>
      <c r="CK3" s="997">
        <v>44742</v>
      </c>
      <c r="CL3" s="997">
        <v>44834</v>
      </c>
      <c r="CM3" s="997">
        <v>44926</v>
      </c>
      <c r="CN3" s="997">
        <v>45016</v>
      </c>
      <c r="CO3" s="997">
        <v>45107</v>
      </c>
      <c r="CP3" s="997">
        <v>45199</v>
      </c>
      <c r="CQ3" s="997">
        <v>45291</v>
      </c>
      <c r="CR3" s="997">
        <v>45382</v>
      </c>
      <c r="CS3" s="996">
        <v>45473</v>
      </c>
      <c r="CT3" s="996">
        <v>45565</v>
      </c>
      <c r="CU3" s="996">
        <v>45657</v>
      </c>
      <c r="CV3" s="996">
        <v>45747</v>
      </c>
      <c r="CW3" s="996">
        <v>45838</v>
      </c>
      <c r="CX3" s="996">
        <v>45930</v>
      </c>
      <c r="CZ3" s="996">
        <v>45930</v>
      </c>
      <c r="DG3" s="156">
        <v>45657</v>
      </c>
    </row>
    <row r="4" spans="1:111" ht="13.5" thickBot="1">
      <c r="A4" s="163" t="s">
        <v>257</v>
      </c>
      <c r="B4" s="162" t="s">
        <v>256</v>
      </c>
      <c r="C4" s="162" t="s">
        <v>256</v>
      </c>
      <c r="D4" s="162" t="s">
        <v>256</v>
      </c>
      <c r="E4" s="162" t="s">
        <v>256</v>
      </c>
      <c r="F4" s="162" t="s">
        <v>256</v>
      </c>
      <c r="G4" s="162" t="s">
        <v>256</v>
      </c>
      <c r="H4" s="162" t="s">
        <v>256</v>
      </c>
      <c r="I4" s="162" t="s">
        <v>256</v>
      </c>
      <c r="J4" s="162" t="s">
        <v>256</v>
      </c>
      <c r="K4" s="162" t="s">
        <v>256</v>
      </c>
      <c r="L4" s="162" t="s">
        <v>256</v>
      </c>
      <c r="M4" s="162" t="s">
        <v>256</v>
      </c>
      <c r="N4" s="162" t="s">
        <v>256</v>
      </c>
      <c r="O4" s="162" t="s">
        <v>256</v>
      </c>
      <c r="P4" s="171" t="s">
        <v>256</v>
      </c>
      <c r="Q4" s="171" t="s">
        <v>256</v>
      </c>
      <c r="R4" s="417" t="s">
        <v>256</v>
      </c>
      <c r="S4" s="417" t="s">
        <v>256</v>
      </c>
      <c r="T4" s="417" t="s">
        <v>256</v>
      </c>
      <c r="U4" s="417" t="s">
        <v>256</v>
      </c>
      <c r="V4" s="417" t="s">
        <v>256</v>
      </c>
      <c r="W4" s="417" t="s">
        <v>256</v>
      </c>
      <c r="X4" s="625" t="s">
        <v>256</v>
      </c>
      <c r="Y4" s="625" t="s">
        <v>256</v>
      </c>
      <c r="Z4" s="625" t="s">
        <v>256</v>
      </c>
      <c r="AA4" s="625" t="s">
        <v>256</v>
      </c>
      <c r="AB4" s="625" t="s">
        <v>256</v>
      </c>
      <c r="AC4" s="625"/>
      <c r="AD4" s="172"/>
      <c r="AE4" s="172"/>
      <c r="AF4" s="406" t="s">
        <v>256</v>
      </c>
      <c r="AG4" s="406" t="s">
        <v>256</v>
      </c>
      <c r="AH4" s="406" t="s">
        <v>256</v>
      </c>
      <c r="AI4" s="406" t="s">
        <v>256</v>
      </c>
      <c r="AJ4" s="406" t="s">
        <v>256</v>
      </c>
      <c r="AK4" s="406" t="s">
        <v>256</v>
      </c>
      <c r="AL4" s="406" t="s">
        <v>256</v>
      </c>
      <c r="AM4" s="406" t="s">
        <v>256</v>
      </c>
      <c r="AN4" s="406" t="s">
        <v>256</v>
      </c>
      <c r="AO4" s="406" t="s">
        <v>256</v>
      </c>
      <c r="AP4" s="406" t="s">
        <v>256</v>
      </c>
      <c r="AQ4" s="406" t="s">
        <v>256</v>
      </c>
      <c r="AR4" s="406" t="s">
        <v>256</v>
      </c>
      <c r="AS4" s="406" t="s">
        <v>256</v>
      </c>
      <c r="AT4" s="406" t="s">
        <v>256</v>
      </c>
      <c r="AU4" s="406" t="s">
        <v>256</v>
      </c>
      <c r="AV4" s="406" t="s">
        <v>256</v>
      </c>
      <c r="AW4" s="406" t="s">
        <v>256</v>
      </c>
      <c r="AX4" s="406" t="s">
        <v>256</v>
      </c>
      <c r="AY4" s="406" t="s">
        <v>256</v>
      </c>
      <c r="AZ4" s="406" t="s">
        <v>256</v>
      </c>
      <c r="BA4" s="406" t="s">
        <v>256</v>
      </c>
      <c r="BB4" s="406" t="s">
        <v>256</v>
      </c>
      <c r="BC4" s="406" t="s">
        <v>256</v>
      </c>
      <c r="BD4" s="406" t="s">
        <v>256</v>
      </c>
      <c r="BE4" s="406" t="s">
        <v>256</v>
      </c>
      <c r="BF4" s="406" t="s">
        <v>256</v>
      </c>
      <c r="BG4" s="406" t="s">
        <v>256</v>
      </c>
      <c r="BH4" s="406" t="s">
        <v>256</v>
      </c>
      <c r="BI4" s="406" t="s">
        <v>256</v>
      </c>
      <c r="BJ4" s="406" t="s">
        <v>256</v>
      </c>
      <c r="BK4" s="406" t="s">
        <v>256</v>
      </c>
      <c r="BL4" s="406" t="s">
        <v>256</v>
      </c>
      <c r="BM4" s="406" t="s">
        <v>256</v>
      </c>
      <c r="BN4" s="406" t="s">
        <v>256</v>
      </c>
      <c r="BO4" s="406" t="s">
        <v>256</v>
      </c>
      <c r="BP4" s="406" t="s">
        <v>256</v>
      </c>
      <c r="BQ4" s="406" t="s">
        <v>256</v>
      </c>
      <c r="BR4" s="406" t="s">
        <v>256</v>
      </c>
      <c r="BS4" s="406" t="s">
        <v>256</v>
      </c>
      <c r="BT4" s="406" t="s">
        <v>256</v>
      </c>
      <c r="BU4" s="406" t="s">
        <v>256</v>
      </c>
      <c r="BV4" s="406" t="s">
        <v>256</v>
      </c>
      <c r="BW4" s="406" t="s">
        <v>256</v>
      </c>
      <c r="BX4" s="406" t="s">
        <v>256</v>
      </c>
      <c r="BY4" s="406" t="s">
        <v>256</v>
      </c>
      <c r="BZ4" s="406" t="s">
        <v>256</v>
      </c>
      <c r="CA4" s="406" t="s">
        <v>256</v>
      </c>
      <c r="CB4" s="406" t="s">
        <v>256</v>
      </c>
      <c r="CC4" s="406" t="s">
        <v>256</v>
      </c>
      <c r="CD4" s="406" t="s">
        <v>256</v>
      </c>
      <c r="CE4" s="406" t="s">
        <v>256</v>
      </c>
      <c r="CF4" s="406" t="s">
        <v>256</v>
      </c>
      <c r="CG4" s="406" t="s">
        <v>256</v>
      </c>
      <c r="CH4" s="406" t="s">
        <v>256</v>
      </c>
      <c r="CI4" s="406" t="s">
        <v>256</v>
      </c>
      <c r="CJ4" s="406" t="s">
        <v>256</v>
      </c>
      <c r="CK4" s="406" t="s">
        <v>256</v>
      </c>
      <c r="CL4" s="406" t="s">
        <v>256</v>
      </c>
      <c r="CM4" s="405" t="s">
        <v>256</v>
      </c>
      <c r="CN4" s="405" t="s">
        <v>256</v>
      </c>
      <c r="CO4" s="405" t="s">
        <v>256</v>
      </c>
      <c r="CP4" s="405" t="s">
        <v>256</v>
      </c>
      <c r="CQ4" s="405" t="s">
        <v>256</v>
      </c>
      <c r="CR4" s="405" t="s">
        <v>256</v>
      </c>
      <c r="CS4" s="162" t="s">
        <v>256</v>
      </c>
      <c r="CT4" s="162" t="s">
        <v>256</v>
      </c>
      <c r="CU4" s="162" t="s">
        <v>256</v>
      </c>
      <c r="CV4" s="173" t="s">
        <v>256</v>
      </c>
      <c r="CW4" s="162" t="s">
        <v>256</v>
      </c>
      <c r="CX4" s="173" t="s">
        <v>256</v>
      </c>
      <c r="CZ4" s="162" t="s">
        <v>256</v>
      </c>
      <c r="DG4" s="156" t="s">
        <v>256</v>
      </c>
    </row>
    <row r="5" spans="1:111">
      <c r="P5" s="157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U5"/>
      <c r="BV5"/>
    </row>
    <row r="6" spans="1:111" ht="12.75">
      <c r="A6" s="998" t="s">
        <v>500</v>
      </c>
      <c r="B6" s="998"/>
      <c r="C6" s="998"/>
      <c r="D6" s="998"/>
      <c r="E6" s="998"/>
      <c r="F6" s="998"/>
      <c r="G6" s="998"/>
      <c r="H6" s="998"/>
      <c r="I6" s="998"/>
      <c r="J6" s="998"/>
      <c r="K6" s="998"/>
      <c r="L6" s="998"/>
      <c r="M6" s="998"/>
      <c r="N6" s="998"/>
      <c r="O6" s="998"/>
      <c r="P6" s="999"/>
      <c r="Q6" s="998"/>
      <c r="R6" s="998"/>
      <c r="S6" s="998"/>
      <c r="T6" s="998"/>
      <c r="U6" s="998"/>
      <c r="V6" s="998"/>
      <c r="W6" s="998"/>
      <c r="X6" s="998"/>
      <c r="Y6" s="998"/>
      <c r="Z6" s="998"/>
      <c r="AA6" s="998"/>
      <c r="AB6" s="998"/>
      <c r="AC6" s="998"/>
      <c r="AD6" s="998"/>
      <c r="AE6" s="998"/>
      <c r="AF6" s="1000"/>
      <c r="AG6" s="1000"/>
      <c r="AH6" s="1000"/>
      <c r="AI6" s="1000"/>
      <c r="AJ6" s="1000"/>
      <c r="AK6" s="1000"/>
      <c r="AL6" s="1000"/>
      <c r="AM6" s="1000"/>
      <c r="AN6" s="1000"/>
      <c r="AO6" s="1000"/>
      <c r="AP6" s="1000"/>
      <c r="AQ6" s="1000"/>
      <c r="AR6" s="1000"/>
      <c r="AS6" s="1000"/>
      <c r="AT6" s="1000"/>
      <c r="AU6" s="1000"/>
      <c r="AV6" s="1000"/>
      <c r="AW6" s="1000"/>
      <c r="AX6" s="1000"/>
      <c r="AY6" s="1000"/>
      <c r="AZ6" s="1000"/>
      <c r="BA6" s="1000"/>
      <c r="BB6" s="1000"/>
      <c r="BC6" s="1000"/>
      <c r="BD6" s="1000"/>
      <c r="BE6" s="1000"/>
      <c r="BF6" s="1000"/>
      <c r="BG6" s="1000"/>
      <c r="BH6" s="1000"/>
      <c r="BI6" s="1000"/>
      <c r="BJ6" s="1000"/>
      <c r="BK6" s="1000"/>
      <c r="BL6" s="1000"/>
      <c r="BM6" s="1000"/>
      <c r="BN6" s="1000"/>
      <c r="BO6" s="1000"/>
      <c r="BP6" s="1000"/>
      <c r="BQ6" s="1000"/>
      <c r="BR6" s="1000"/>
      <c r="BS6" s="1000"/>
      <c r="BT6" s="1000"/>
      <c r="BU6" s="1000"/>
      <c r="BV6" s="1000"/>
      <c r="BW6" s="1000"/>
      <c r="BX6" s="1000"/>
      <c r="BY6" s="1000"/>
      <c r="BZ6" s="1000"/>
      <c r="CA6" s="1000"/>
      <c r="CB6" s="1000"/>
      <c r="CC6" s="1000"/>
      <c r="CD6" s="1000"/>
      <c r="CE6" s="1000"/>
      <c r="CF6" s="1000"/>
      <c r="CG6" s="1000"/>
      <c r="CH6" s="1000"/>
      <c r="CI6" s="1000"/>
      <c r="CJ6" s="1000"/>
      <c r="CK6" s="1000"/>
      <c r="CL6" s="1000"/>
      <c r="CM6" s="1000"/>
      <c r="CN6" s="1000"/>
      <c r="CO6" s="1000"/>
      <c r="CP6" s="1000"/>
      <c r="CQ6" s="1000"/>
      <c r="CR6" s="1000"/>
      <c r="CS6" s="1001"/>
      <c r="CT6" s="1001"/>
      <c r="CU6" s="1001"/>
      <c r="CV6" s="1001"/>
      <c r="CW6" s="1001"/>
      <c r="CX6" s="1001"/>
      <c r="CZ6" s="1001"/>
    </row>
    <row r="7" spans="1:111" ht="12.75">
      <c r="A7" s="167" t="s">
        <v>499</v>
      </c>
      <c r="B7" s="655"/>
      <c r="C7" s="655"/>
      <c r="D7" s="655"/>
      <c r="E7" s="655"/>
      <c r="F7" s="655"/>
      <c r="G7" s="655"/>
      <c r="H7" s="655"/>
      <c r="I7" s="655"/>
      <c r="J7" s="655"/>
      <c r="K7" s="655"/>
      <c r="L7" s="655"/>
      <c r="M7" s="655"/>
      <c r="N7" s="655"/>
      <c r="O7" s="655"/>
      <c r="P7" s="655"/>
      <c r="Q7" s="655"/>
      <c r="R7" s="655"/>
      <c r="S7" s="655"/>
      <c r="T7" s="655"/>
      <c r="U7" s="655">
        <v>2843.8076000000001</v>
      </c>
      <c r="V7" s="655">
        <v>3037.53599962</v>
      </c>
      <c r="W7" s="655">
        <v>4208.7284792700002</v>
      </c>
      <c r="X7" s="655">
        <v>4958.50261873</v>
      </c>
      <c r="Y7" s="655">
        <v>6977.8224744099998</v>
      </c>
      <c r="Z7" s="655">
        <v>8505.3897304999991</v>
      </c>
      <c r="AA7" s="655">
        <v>11262.79408329</v>
      </c>
      <c r="AB7" s="655">
        <v>15838.851828270001</v>
      </c>
      <c r="AC7" s="655"/>
      <c r="AD7" s="158"/>
      <c r="AE7" s="158"/>
      <c r="AF7" s="655"/>
      <c r="AG7" s="655"/>
      <c r="AH7" s="655"/>
      <c r="AI7" s="655"/>
      <c r="AJ7" s="655"/>
      <c r="AK7" s="655"/>
      <c r="AL7" s="655"/>
      <c r="AM7" s="655"/>
      <c r="AN7" s="655"/>
      <c r="AO7" s="655"/>
      <c r="AP7" s="655"/>
      <c r="AQ7" s="655"/>
      <c r="AR7" s="655"/>
      <c r="AS7" s="655"/>
      <c r="AT7" s="655"/>
      <c r="AU7" s="655"/>
      <c r="AV7" s="655"/>
      <c r="AW7" s="655"/>
      <c r="AX7" s="655"/>
      <c r="AY7" s="655"/>
      <c r="AZ7" s="655"/>
      <c r="BA7" s="655"/>
      <c r="BB7" s="655"/>
      <c r="BC7" s="655"/>
      <c r="BD7" s="655"/>
      <c r="BE7" s="655"/>
      <c r="BF7" s="655"/>
      <c r="BG7" s="655"/>
      <c r="BH7" s="655"/>
      <c r="BI7" s="655"/>
      <c r="BJ7" s="655"/>
      <c r="BK7" s="655"/>
      <c r="BL7" s="655"/>
      <c r="BM7" s="655"/>
      <c r="BN7" s="655"/>
      <c r="BO7" s="655"/>
      <c r="BP7" s="655"/>
      <c r="BQ7" s="655"/>
      <c r="BR7" s="655"/>
      <c r="BS7" s="655"/>
      <c r="BT7" s="655"/>
      <c r="BU7" s="655"/>
      <c r="BV7" s="655"/>
      <c r="BW7" s="655"/>
      <c r="BX7" s="655"/>
      <c r="BY7" s="655"/>
      <c r="BZ7" s="655"/>
      <c r="CA7" s="655"/>
      <c r="CB7" s="655">
        <v>933.21618977999992</v>
      </c>
      <c r="CC7" s="655">
        <v>2469.4627</v>
      </c>
      <c r="CD7" s="655">
        <v>4043.5969274300001</v>
      </c>
      <c r="CE7" s="655">
        <v>4958.50261873</v>
      </c>
      <c r="CF7" s="655">
        <v>1711.2617271900001</v>
      </c>
      <c r="CG7" s="655">
        <v>3682.2617543400002</v>
      </c>
      <c r="CH7" s="655">
        <v>5560.2124574199997</v>
      </c>
      <c r="CI7" s="655">
        <v>6977.8224744099998</v>
      </c>
      <c r="CJ7" s="655">
        <v>2006.5428683299999</v>
      </c>
      <c r="CK7" s="655">
        <v>4291.2739970599996</v>
      </c>
      <c r="CL7" s="655">
        <v>6644.3478153799997</v>
      </c>
      <c r="CM7" s="655">
        <v>8505.3897304999991</v>
      </c>
      <c r="CN7" s="655">
        <v>2490.8660470100003</v>
      </c>
      <c r="CO7" s="655">
        <v>5460.1849288999992</v>
      </c>
      <c r="CP7" s="655">
        <v>8640.9123699200009</v>
      </c>
      <c r="CQ7" s="655">
        <v>11262.79408329</v>
      </c>
      <c r="CR7" s="655">
        <v>3482.1677627899999</v>
      </c>
      <c r="CS7" s="655">
        <v>7873.2878521000002</v>
      </c>
      <c r="CT7" s="655">
        <v>12558.281502260001</v>
      </c>
      <c r="CU7" s="655">
        <v>15838.851828270001</v>
      </c>
      <c r="CV7" s="655">
        <v>4848.0717046300006</v>
      </c>
      <c r="CW7" s="655">
        <v>10736.627858450001</v>
      </c>
      <c r="CX7" s="655">
        <v>16843.967895350001</v>
      </c>
      <c r="CZ7" s="655" t="e">
        <v>#NAME?</v>
      </c>
      <c r="DB7" s="156" t="s">
        <v>499</v>
      </c>
      <c r="DG7" s="156">
        <v>15838.85</v>
      </c>
    </row>
    <row r="8" spans="1:111" ht="12.75">
      <c r="A8" s="165" t="s">
        <v>498</v>
      </c>
      <c r="B8" s="656"/>
      <c r="C8" s="656"/>
      <c r="D8" s="656"/>
      <c r="E8" s="656"/>
      <c r="F8" s="656"/>
      <c r="G8" s="656"/>
      <c r="H8" s="656"/>
      <c r="I8" s="656"/>
      <c r="J8" s="656"/>
      <c r="K8" s="656"/>
      <c r="L8" s="656"/>
      <c r="M8" s="656"/>
      <c r="N8" s="656"/>
      <c r="O8" s="656"/>
      <c r="P8" s="656"/>
      <c r="Q8" s="656"/>
      <c r="R8" s="656"/>
      <c r="S8" s="656"/>
      <c r="T8" s="656"/>
      <c r="U8" s="656">
        <v>2843.8076000000001</v>
      </c>
      <c r="V8" s="656">
        <v>3037.53599962</v>
      </c>
      <c r="W8" s="656">
        <v>4208.7284792700002</v>
      </c>
      <c r="X8" s="656">
        <v>4958.50261873</v>
      </c>
      <c r="Y8" s="656">
        <v>6977.8224744099998</v>
      </c>
      <c r="Z8" s="656">
        <v>8505.3897304999991</v>
      </c>
      <c r="AA8" s="656">
        <v>11262.79408329</v>
      </c>
      <c r="AB8" s="656">
        <v>15838.851828270001</v>
      </c>
      <c r="AC8" s="656"/>
      <c r="AD8" s="158"/>
      <c r="AE8" s="158"/>
      <c r="AF8" s="656"/>
      <c r="AG8" s="656"/>
      <c r="AH8" s="656"/>
      <c r="AI8" s="656"/>
      <c r="AJ8" s="656"/>
      <c r="AK8" s="656"/>
      <c r="AL8" s="656"/>
      <c r="AM8" s="656"/>
      <c r="AN8" s="656"/>
      <c r="AO8" s="656"/>
      <c r="AP8" s="656"/>
      <c r="AQ8" s="656"/>
      <c r="AR8" s="656"/>
      <c r="AS8" s="656"/>
      <c r="AT8" s="656"/>
      <c r="AU8" s="656"/>
      <c r="AV8" s="656"/>
      <c r="AW8" s="656"/>
      <c r="AX8" s="656"/>
      <c r="AY8" s="656"/>
      <c r="AZ8" s="656"/>
      <c r="BA8" s="656"/>
      <c r="BB8" s="656"/>
      <c r="BC8" s="656"/>
      <c r="BD8" s="656"/>
      <c r="BE8" s="656"/>
      <c r="BF8" s="656"/>
      <c r="BG8" s="656"/>
      <c r="BH8" s="656"/>
      <c r="BI8" s="656"/>
      <c r="BJ8" s="656"/>
      <c r="BK8" s="656"/>
      <c r="BL8" s="656"/>
      <c r="BM8" s="656"/>
      <c r="BN8" s="656"/>
      <c r="BO8" s="656"/>
      <c r="BP8" s="656"/>
      <c r="BQ8" s="656"/>
      <c r="BR8" s="656"/>
      <c r="BS8" s="656"/>
      <c r="BT8" s="656"/>
      <c r="BU8" s="656"/>
      <c r="BV8" s="656"/>
      <c r="BW8" s="656"/>
      <c r="BX8" s="656"/>
      <c r="BY8" s="656"/>
      <c r="BZ8" s="656"/>
      <c r="CA8" s="656"/>
      <c r="CB8" s="656">
        <v>933.21618977999992</v>
      </c>
      <c r="CC8" s="656">
        <v>2469.4627</v>
      </c>
      <c r="CD8" s="656">
        <v>4043.5969274300001</v>
      </c>
      <c r="CE8" s="656">
        <v>4958.50261873</v>
      </c>
      <c r="CF8" s="656">
        <v>1711.2617271900001</v>
      </c>
      <c r="CG8" s="656">
        <v>3682.2617543400002</v>
      </c>
      <c r="CH8" s="655">
        <v>5560.2124574199997</v>
      </c>
      <c r="CI8" s="655">
        <v>6977.8224744099998</v>
      </c>
      <c r="CJ8" s="655">
        <v>2006.5428683299999</v>
      </c>
      <c r="CK8" s="655">
        <v>4291.2739970599996</v>
      </c>
      <c r="CL8" s="655">
        <v>6644.3478153799997</v>
      </c>
      <c r="CM8" s="655">
        <v>8505.3897304999991</v>
      </c>
      <c r="CN8" s="655">
        <v>2490.8660470100003</v>
      </c>
      <c r="CO8" s="655">
        <v>5460.1849288999992</v>
      </c>
      <c r="CP8" s="655">
        <v>8640.9123699200009</v>
      </c>
      <c r="CQ8" s="655">
        <v>11262.79408329</v>
      </c>
      <c r="CR8" s="655">
        <v>3482.1677627899999</v>
      </c>
      <c r="CS8" s="656">
        <v>7873.2878521000002</v>
      </c>
      <c r="CT8" s="656">
        <v>12558.281502260001</v>
      </c>
      <c r="CU8" s="656">
        <v>15838.851828270001</v>
      </c>
      <c r="CV8" s="656">
        <v>4848.0717046300006</v>
      </c>
      <c r="CW8" s="656">
        <v>10736.627858450001</v>
      </c>
      <c r="CX8" s="656">
        <v>16843.967895350001</v>
      </c>
      <c r="CZ8" s="656" t="e">
        <v>#NAME?</v>
      </c>
      <c r="DB8" s="156" t="s">
        <v>498</v>
      </c>
      <c r="DG8" s="156">
        <v>15838.85</v>
      </c>
    </row>
    <row r="9" spans="1:111" ht="12.75">
      <c r="A9" s="165" t="s">
        <v>497</v>
      </c>
      <c r="B9" s="656"/>
      <c r="C9" s="656"/>
      <c r="D9" s="656"/>
      <c r="E9" s="656"/>
      <c r="F9" s="656"/>
      <c r="G9" s="656"/>
      <c r="H9" s="656"/>
      <c r="I9" s="656"/>
      <c r="J9" s="656"/>
      <c r="K9" s="656"/>
      <c r="L9" s="656"/>
      <c r="M9" s="656"/>
      <c r="N9" s="656"/>
      <c r="O9" s="656"/>
      <c r="P9" s="656"/>
      <c r="Q9" s="656"/>
      <c r="R9" s="656"/>
      <c r="S9" s="656"/>
      <c r="T9" s="656"/>
      <c r="U9" s="656"/>
      <c r="V9" s="656"/>
      <c r="W9" s="656"/>
      <c r="X9" s="656"/>
      <c r="Y9" s="656"/>
      <c r="Z9" s="656"/>
      <c r="AA9" s="656"/>
      <c r="AB9" s="656">
        <v>0</v>
      </c>
      <c r="AC9" s="656"/>
      <c r="AD9" s="158"/>
      <c r="AE9" s="158"/>
      <c r="AF9" s="656"/>
      <c r="AG9" s="656"/>
      <c r="AH9" s="656"/>
      <c r="AI9" s="656"/>
      <c r="AJ9" s="656"/>
      <c r="AK9" s="656"/>
      <c r="AL9" s="656"/>
      <c r="AM9" s="656"/>
      <c r="AN9" s="656"/>
      <c r="AO9" s="656"/>
      <c r="AP9" s="656"/>
      <c r="AQ9" s="656"/>
      <c r="AR9" s="656"/>
      <c r="AS9" s="656"/>
      <c r="AT9" s="656"/>
      <c r="AU9" s="656"/>
      <c r="AV9" s="656"/>
      <c r="AW9" s="656"/>
      <c r="AX9" s="656"/>
      <c r="AY9" s="656"/>
      <c r="AZ9" s="656"/>
      <c r="BA9" s="656"/>
      <c r="BB9" s="656"/>
      <c r="BC9" s="656"/>
      <c r="BD9" s="656"/>
      <c r="BE9" s="656"/>
      <c r="BF9" s="656"/>
      <c r="BG9" s="656"/>
      <c r="BH9" s="656"/>
      <c r="BI9" s="656"/>
      <c r="BJ9" s="656"/>
      <c r="BK9" s="656"/>
      <c r="BL9" s="656"/>
      <c r="BM9" s="656"/>
      <c r="BN9" s="656"/>
      <c r="BO9" s="656"/>
      <c r="BP9" s="656"/>
      <c r="BQ9" s="656"/>
      <c r="BR9" s="656"/>
      <c r="BS9" s="656"/>
      <c r="BT9" s="656"/>
      <c r="BU9" s="656"/>
      <c r="BV9" s="656"/>
      <c r="BW9" s="656"/>
      <c r="BX9" s="656"/>
      <c r="BY9" s="656"/>
      <c r="BZ9" s="656"/>
      <c r="CA9" s="656"/>
      <c r="CB9" s="656"/>
      <c r="CC9" s="656"/>
      <c r="CD9" s="656"/>
      <c r="CE9" s="656"/>
      <c r="CF9" s="656"/>
      <c r="CG9" s="656"/>
      <c r="CH9" s="656"/>
      <c r="CI9" s="656"/>
      <c r="CJ9" s="656"/>
      <c r="CK9" s="656"/>
      <c r="CL9" s="656"/>
      <c r="CM9" s="656"/>
      <c r="CN9" s="656"/>
      <c r="CO9" s="656"/>
      <c r="CP9" s="656"/>
      <c r="CQ9" s="656"/>
      <c r="CR9" s="656"/>
      <c r="CS9" s="656">
        <v>0</v>
      </c>
      <c r="CT9" s="656">
        <v>0</v>
      </c>
      <c r="CU9" s="656">
        <v>0</v>
      </c>
      <c r="CV9" s="656">
        <v>0</v>
      </c>
      <c r="CW9" s="656">
        <v>0</v>
      </c>
      <c r="CX9" s="656">
        <v>0</v>
      </c>
      <c r="CZ9" s="656" t="e">
        <v>#NAME?</v>
      </c>
      <c r="DB9" s="156" t="s">
        <v>497</v>
      </c>
      <c r="DG9" s="156">
        <v>11881.18</v>
      </c>
    </row>
    <row r="10" spans="1:111" ht="12.75">
      <c r="A10" s="165" t="s">
        <v>496</v>
      </c>
      <c r="B10" s="656"/>
      <c r="C10" s="656"/>
      <c r="D10" s="656"/>
      <c r="E10" s="656"/>
      <c r="F10" s="656"/>
      <c r="G10" s="656"/>
      <c r="H10" s="656"/>
      <c r="I10" s="656"/>
      <c r="J10" s="656"/>
      <c r="K10" s="656"/>
      <c r="L10" s="656"/>
      <c r="M10" s="656"/>
      <c r="N10" s="656"/>
      <c r="O10" s="656"/>
      <c r="P10" s="656"/>
      <c r="Q10" s="656"/>
      <c r="R10" s="656"/>
      <c r="S10" s="656"/>
      <c r="T10" s="656"/>
      <c r="U10" s="656"/>
      <c r="V10" s="656"/>
      <c r="W10" s="656"/>
      <c r="X10" s="656"/>
      <c r="Y10" s="656"/>
      <c r="Z10" s="656"/>
      <c r="AA10" s="656"/>
      <c r="AB10" s="656">
        <v>0</v>
      </c>
      <c r="AC10" s="656"/>
      <c r="AD10" s="158"/>
      <c r="AE10" s="158"/>
      <c r="AF10" s="656"/>
      <c r="AG10" s="656"/>
      <c r="AH10" s="656"/>
      <c r="AI10" s="656"/>
      <c r="AJ10" s="656"/>
      <c r="AK10" s="656"/>
      <c r="AL10" s="656"/>
      <c r="AM10" s="656"/>
      <c r="AN10" s="656"/>
      <c r="AO10" s="656"/>
      <c r="AP10" s="656"/>
      <c r="AQ10" s="656"/>
      <c r="AR10" s="656"/>
      <c r="AS10" s="656"/>
      <c r="AT10" s="656"/>
      <c r="AU10" s="656"/>
      <c r="AV10" s="656"/>
      <c r="AW10" s="656"/>
      <c r="AX10" s="656"/>
      <c r="AY10" s="656"/>
      <c r="AZ10" s="656"/>
      <c r="BA10" s="656"/>
      <c r="BB10" s="656"/>
      <c r="BC10" s="656"/>
      <c r="BD10" s="656"/>
      <c r="BE10" s="656"/>
      <c r="BF10" s="656"/>
      <c r="BG10" s="656"/>
      <c r="BH10" s="656"/>
      <c r="BI10" s="656"/>
      <c r="BJ10" s="656"/>
      <c r="BK10" s="656"/>
      <c r="BL10" s="656"/>
      <c r="BM10" s="656"/>
      <c r="BN10" s="656"/>
      <c r="BO10" s="656"/>
      <c r="BP10" s="656"/>
      <c r="BQ10" s="656"/>
      <c r="BR10" s="656"/>
      <c r="BS10" s="656"/>
      <c r="BT10" s="656"/>
      <c r="BU10" s="656"/>
      <c r="BV10" s="656"/>
      <c r="BW10" s="656"/>
      <c r="BX10" s="656"/>
      <c r="BY10" s="656"/>
      <c r="BZ10" s="656"/>
      <c r="CA10" s="656"/>
      <c r="CB10" s="656"/>
      <c r="CC10" s="656"/>
      <c r="CD10" s="656"/>
      <c r="CE10" s="656"/>
      <c r="CF10" s="656"/>
      <c r="CG10" s="656"/>
      <c r="CH10" s="656"/>
      <c r="CI10" s="656"/>
      <c r="CJ10" s="656"/>
      <c r="CK10" s="656"/>
      <c r="CL10" s="656"/>
      <c r="CM10" s="656"/>
      <c r="CN10" s="656"/>
      <c r="CO10" s="656"/>
      <c r="CP10" s="656"/>
      <c r="CQ10" s="656"/>
      <c r="CR10" s="656"/>
      <c r="CS10" s="656">
        <v>0</v>
      </c>
      <c r="CT10" s="656">
        <v>0</v>
      </c>
      <c r="CU10" s="656">
        <v>0</v>
      </c>
      <c r="CV10" s="656">
        <v>0</v>
      </c>
      <c r="CW10" s="656">
        <v>0</v>
      </c>
      <c r="CX10" s="656">
        <v>0</v>
      </c>
      <c r="CZ10" s="656" t="e">
        <v>#NAME?</v>
      </c>
      <c r="DB10" s="156" t="s">
        <v>496</v>
      </c>
      <c r="DG10" s="156">
        <v>8741.56</v>
      </c>
    </row>
    <row r="11" spans="1:111" ht="12.75">
      <c r="A11" s="165" t="s">
        <v>495</v>
      </c>
      <c r="B11" s="656"/>
      <c r="C11" s="656"/>
      <c r="D11" s="656"/>
      <c r="E11" s="656"/>
      <c r="F11" s="656"/>
      <c r="G11" s="656"/>
      <c r="H11" s="656"/>
      <c r="I11" s="656"/>
      <c r="J11" s="656"/>
      <c r="K11" s="656"/>
      <c r="L11" s="656"/>
      <c r="M11" s="656"/>
      <c r="N11" s="656"/>
      <c r="O11" s="656"/>
      <c r="P11" s="656"/>
      <c r="Q11" s="656"/>
      <c r="R11" s="656"/>
      <c r="S11" s="656"/>
      <c r="T11" s="656"/>
      <c r="U11" s="656"/>
      <c r="V11" s="656"/>
      <c r="W11" s="656"/>
      <c r="X11" s="656"/>
      <c r="Y11" s="656"/>
      <c r="Z11" s="656"/>
      <c r="AA11" s="656"/>
      <c r="AB11" s="656">
        <v>0</v>
      </c>
      <c r="AC11" s="656"/>
      <c r="AD11" s="158"/>
      <c r="AE11" s="158"/>
      <c r="AF11" s="656"/>
      <c r="AG11" s="656"/>
      <c r="AH11" s="656"/>
      <c r="AI11" s="656"/>
      <c r="AJ11" s="656"/>
      <c r="AK11" s="656"/>
      <c r="AL11" s="656"/>
      <c r="AM11" s="656"/>
      <c r="AN11" s="656"/>
      <c r="AO11" s="656"/>
      <c r="AP11" s="656"/>
      <c r="AQ11" s="656"/>
      <c r="AR11" s="656"/>
      <c r="AS11" s="656"/>
      <c r="AT11" s="656"/>
      <c r="AU11" s="656"/>
      <c r="AV11" s="656"/>
      <c r="AW11" s="656"/>
      <c r="AX11" s="656"/>
      <c r="AY11" s="656"/>
      <c r="AZ11" s="656"/>
      <c r="BA11" s="656"/>
      <c r="BB11" s="656"/>
      <c r="BC11" s="656"/>
      <c r="BD11" s="656"/>
      <c r="BE11" s="656"/>
      <c r="BF11" s="656"/>
      <c r="BG11" s="656"/>
      <c r="BH11" s="656"/>
      <c r="BI11" s="656"/>
      <c r="BJ11" s="656"/>
      <c r="BK11" s="656"/>
      <c r="BL11" s="656"/>
      <c r="BM11" s="656"/>
      <c r="BN11" s="656"/>
      <c r="BO11" s="656"/>
      <c r="BP11" s="656"/>
      <c r="BQ11" s="656"/>
      <c r="BR11" s="656"/>
      <c r="BS11" s="656"/>
      <c r="BT11" s="656"/>
      <c r="BU11" s="656"/>
      <c r="BV11" s="656"/>
      <c r="BW11" s="656"/>
      <c r="BX11" s="656"/>
      <c r="BY11" s="656"/>
      <c r="BZ11" s="656"/>
      <c r="CA11" s="656"/>
      <c r="CB11" s="656"/>
      <c r="CC11" s="656"/>
      <c r="CD11" s="656"/>
      <c r="CE11" s="656"/>
      <c r="CF11" s="656"/>
      <c r="CG11" s="656"/>
      <c r="CH11" s="656"/>
      <c r="CI11" s="656"/>
      <c r="CJ11" s="656"/>
      <c r="CK11" s="656"/>
      <c r="CL11" s="656"/>
      <c r="CM11" s="656"/>
      <c r="CN11" s="656"/>
      <c r="CO11" s="656"/>
      <c r="CP11" s="656"/>
      <c r="CQ11" s="656"/>
      <c r="CR11" s="656"/>
      <c r="CS11" s="656">
        <v>0</v>
      </c>
      <c r="CT11" s="656">
        <v>0</v>
      </c>
      <c r="CU11" s="656">
        <v>0</v>
      </c>
      <c r="CV11" s="656">
        <v>0</v>
      </c>
      <c r="CW11" s="656">
        <v>0</v>
      </c>
      <c r="CX11" s="656">
        <v>0</v>
      </c>
      <c r="CZ11" s="656" t="e">
        <v>#NAME?</v>
      </c>
      <c r="DB11" s="156" t="s">
        <v>495</v>
      </c>
      <c r="DG11" s="156">
        <v>159.79</v>
      </c>
    </row>
    <row r="12" spans="1:111" ht="12.75">
      <c r="A12" s="167" t="s">
        <v>494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5"/>
      <c r="N12" s="655"/>
      <c r="O12" s="655"/>
      <c r="P12" s="655"/>
      <c r="Q12" s="655"/>
      <c r="R12" s="655"/>
      <c r="S12" s="655"/>
      <c r="T12" s="655"/>
      <c r="U12" s="655">
        <v>2473.9674</v>
      </c>
      <c r="V12" s="655">
        <v>2801.2564992800003</v>
      </c>
      <c r="W12" s="655">
        <v>3491.47161056</v>
      </c>
      <c r="X12" s="655">
        <v>3941.4428901000001</v>
      </c>
      <c r="Y12" s="655">
        <v>5610.5923049599996</v>
      </c>
      <c r="Z12" s="655">
        <v>6788.0540123199999</v>
      </c>
      <c r="AA12" s="655">
        <v>8915.2991227999992</v>
      </c>
      <c r="AB12" s="655">
        <v>11881.1808083</v>
      </c>
      <c r="AC12" s="655"/>
      <c r="AD12" s="488"/>
      <c r="AE12" s="158"/>
      <c r="AF12" s="655"/>
      <c r="AG12" s="655"/>
      <c r="AH12" s="655"/>
      <c r="AI12" s="655"/>
      <c r="AJ12" s="655"/>
      <c r="AK12" s="655"/>
      <c r="AL12" s="655"/>
      <c r="AM12" s="655"/>
      <c r="AN12" s="655"/>
      <c r="AO12" s="655"/>
      <c r="AP12" s="655"/>
      <c r="AQ12" s="655"/>
      <c r="AR12" s="655"/>
      <c r="AS12" s="655"/>
      <c r="AT12" s="655"/>
      <c r="AU12" s="655"/>
      <c r="AV12" s="655"/>
      <c r="AW12" s="655"/>
      <c r="AX12" s="655"/>
      <c r="AY12" s="655"/>
      <c r="AZ12" s="655"/>
      <c r="BA12" s="655"/>
      <c r="BB12" s="655"/>
      <c r="BC12" s="655"/>
      <c r="BD12" s="655"/>
      <c r="BE12" s="655"/>
      <c r="BF12" s="655"/>
      <c r="BG12" s="655"/>
      <c r="BH12" s="655"/>
      <c r="BI12" s="655"/>
      <c r="BJ12" s="655"/>
      <c r="BK12" s="655"/>
      <c r="BL12" s="655"/>
      <c r="BM12" s="655"/>
      <c r="BN12" s="655"/>
      <c r="BO12" s="655"/>
      <c r="BP12" s="655"/>
      <c r="BQ12" s="655"/>
      <c r="BR12" s="655"/>
      <c r="BS12" s="655"/>
      <c r="BT12" s="655"/>
      <c r="BU12" s="655"/>
      <c r="BV12" s="655"/>
      <c r="BW12" s="655"/>
      <c r="BX12" s="655"/>
      <c r="BY12" s="655"/>
      <c r="BZ12" s="655"/>
      <c r="CA12" s="655"/>
      <c r="CB12" s="655">
        <v>724.41023876999998</v>
      </c>
      <c r="CC12" s="655">
        <v>1896.1170999999999</v>
      </c>
      <c r="CD12" s="655">
        <v>3148.9987706900001</v>
      </c>
      <c r="CE12" s="655">
        <v>3941.4428901000001</v>
      </c>
      <c r="CF12" s="655">
        <v>1279.67542824</v>
      </c>
      <c r="CG12" s="655">
        <v>2842.1438443000002</v>
      </c>
      <c r="CH12" s="655">
        <v>4336.0962807100004</v>
      </c>
      <c r="CI12" s="655">
        <v>5610.5923049599996</v>
      </c>
      <c r="CJ12" s="655">
        <v>1585.0188793599998</v>
      </c>
      <c r="CK12" s="655">
        <v>3383.0743988499999</v>
      </c>
      <c r="CL12" s="655">
        <v>5295.5144589600004</v>
      </c>
      <c r="CM12" s="655">
        <v>6788.0540123199999</v>
      </c>
      <c r="CN12" s="655">
        <v>1909.3671612799999</v>
      </c>
      <c r="CO12" s="655">
        <v>4214.43733204</v>
      </c>
      <c r="CP12" s="655">
        <v>6760.41125655</v>
      </c>
      <c r="CQ12" s="655">
        <v>8915.2991227999992</v>
      </c>
      <c r="CR12" s="655">
        <v>2694.9067106399998</v>
      </c>
      <c r="CS12" s="655">
        <v>5791.0365760699997</v>
      </c>
      <c r="CT12" s="655">
        <v>9310.8569463200001</v>
      </c>
      <c r="CU12" s="655">
        <v>11881.1808083</v>
      </c>
      <c r="CV12" s="655">
        <v>3665.3953987099999</v>
      </c>
      <c r="CW12" s="655">
        <v>7909.4026038500006</v>
      </c>
      <c r="CX12" s="655">
        <v>12414.34576106</v>
      </c>
      <c r="CZ12" s="655" t="e">
        <v>#NAME?</v>
      </c>
      <c r="DB12" s="156" t="s">
        <v>494</v>
      </c>
      <c r="DG12" s="156">
        <v>2681.08</v>
      </c>
    </row>
    <row r="13" spans="1:111" ht="12.75">
      <c r="A13" s="165" t="s">
        <v>493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656"/>
      <c r="O13" s="656"/>
      <c r="P13" s="656"/>
      <c r="Q13" s="656"/>
      <c r="R13" s="656"/>
      <c r="S13" s="656"/>
      <c r="T13" s="656"/>
      <c r="U13" s="656">
        <v>1480.9947999999999</v>
      </c>
      <c r="V13" s="656">
        <v>1641.2420573099998</v>
      </c>
      <c r="W13" s="656">
        <v>2241.7192595500001</v>
      </c>
      <c r="X13" s="656">
        <v>2647.8475059899997</v>
      </c>
      <c r="Y13" s="656">
        <v>3881.56479257</v>
      </c>
      <c r="Z13" s="656">
        <v>4905.4613287299999</v>
      </c>
      <c r="AA13" s="656">
        <v>6411.6537601099999</v>
      </c>
      <c r="AB13" s="656">
        <v>8741.5610026499999</v>
      </c>
      <c r="AC13" s="656"/>
      <c r="AD13" s="158"/>
      <c r="AE13" s="158"/>
      <c r="AF13" s="656"/>
      <c r="AG13" s="656"/>
      <c r="AH13" s="656"/>
      <c r="AI13" s="656"/>
      <c r="AJ13" s="656"/>
      <c r="AK13" s="656"/>
      <c r="AL13" s="656"/>
      <c r="AM13" s="656"/>
      <c r="AN13" s="656"/>
      <c r="AO13" s="656"/>
      <c r="AP13" s="656"/>
      <c r="AQ13" s="656"/>
      <c r="AR13" s="656"/>
      <c r="AS13" s="656"/>
      <c r="AT13" s="656"/>
      <c r="AU13" s="656"/>
      <c r="AV13" s="656"/>
      <c r="AW13" s="656"/>
      <c r="AX13" s="656"/>
      <c r="AY13" s="656"/>
      <c r="AZ13" s="656"/>
      <c r="BA13" s="656"/>
      <c r="BB13" s="656"/>
      <c r="BC13" s="656"/>
      <c r="BD13" s="656"/>
      <c r="BE13" s="656"/>
      <c r="BF13" s="656"/>
      <c r="BG13" s="656"/>
      <c r="BH13" s="656"/>
      <c r="BI13" s="656"/>
      <c r="BJ13" s="656"/>
      <c r="BK13" s="656"/>
      <c r="BL13" s="656"/>
      <c r="BM13" s="656"/>
      <c r="BN13" s="656"/>
      <c r="BO13" s="656"/>
      <c r="BP13" s="656"/>
      <c r="BQ13" s="656"/>
      <c r="BR13" s="656"/>
      <c r="BS13" s="656"/>
      <c r="BT13" s="656"/>
      <c r="BU13" s="656"/>
      <c r="BV13" s="656"/>
      <c r="BW13" s="656"/>
      <c r="BX13" s="656"/>
      <c r="BY13" s="656"/>
      <c r="BZ13" s="656"/>
      <c r="CA13" s="656"/>
      <c r="CB13" s="656">
        <v>474.49274026999996</v>
      </c>
      <c r="CC13" s="656">
        <v>1322.65</v>
      </c>
      <c r="CD13" s="656">
        <v>2151.0041473000001</v>
      </c>
      <c r="CE13" s="656">
        <v>2647.8475059899997</v>
      </c>
      <c r="CF13" s="656">
        <v>863.46210910000002</v>
      </c>
      <c r="CG13" s="656">
        <v>1852.9146081700001</v>
      </c>
      <c r="CH13" s="656">
        <v>2864.0381742600002</v>
      </c>
      <c r="CI13" s="656">
        <v>3881.56479257</v>
      </c>
      <c r="CJ13" s="656">
        <v>1139.9789286800001</v>
      </c>
      <c r="CK13" s="656">
        <v>2459.742307</v>
      </c>
      <c r="CL13" s="656">
        <v>3870.3752746199998</v>
      </c>
      <c r="CM13" s="656">
        <v>4905.4613287299999</v>
      </c>
      <c r="CN13" s="656">
        <v>1406.6463015300001</v>
      </c>
      <c r="CO13" s="656">
        <v>3106.6108371999999</v>
      </c>
      <c r="CP13" s="656">
        <v>4967.0087160100002</v>
      </c>
      <c r="CQ13" s="656">
        <v>6411.6537601099999</v>
      </c>
      <c r="CR13" s="656">
        <v>1992.8200776600002</v>
      </c>
      <c r="CS13" s="656">
        <v>4361.7439749599998</v>
      </c>
      <c r="CT13" s="656">
        <v>6900.7663555099998</v>
      </c>
      <c r="CU13" s="656">
        <v>8741.5610026499999</v>
      </c>
      <c r="CV13" s="656">
        <v>2692.1916942500002</v>
      </c>
      <c r="CW13" s="656">
        <v>5889.4142337799994</v>
      </c>
      <c r="CX13" s="656">
        <v>9235.7493353999998</v>
      </c>
      <c r="CZ13" s="656" t="e">
        <v>#NAME?</v>
      </c>
      <c r="DB13" s="156" t="s">
        <v>493</v>
      </c>
      <c r="DG13" s="156">
        <v>425.65</v>
      </c>
    </row>
    <row r="14" spans="1:111" ht="12.75">
      <c r="A14" s="165" t="s">
        <v>492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6"/>
      <c r="N14" s="656"/>
      <c r="O14" s="656"/>
      <c r="P14" s="656"/>
      <c r="Q14" s="656"/>
      <c r="R14" s="656"/>
      <c r="S14" s="656"/>
      <c r="T14" s="656"/>
      <c r="U14" s="656"/>
      <c r="V14" s="656"/>
      <c r="W14" s="656"/>
      <c r="X14" s="656"/>
      <c r="Y14" s="656"/>
      <c r="Z14" s="656"/>
      <c r="AA14" s="656"/>
      <c r="AB14" s="656">
        <v>0</v>
      </c>
      <c r="AC14" s="656"/>
      <c r="AD14" s="158"/>
      <c r="AE14" s="158"/>
      <c r="AF14" s="656"/>
      <c r="AG14" s="656"/>
      <c r="AH14" s="656"/>
      <c r="AI14" s="656"/>
      <c r="AJ14" s="656"/>
      <c r="AK14" s="656"/>
      <c r="AL14" s="656"/>
      <c r="AM14" s="656"/>
      <c r="AN14" s="656"/>
      <c r="AO14" s="656"/>
      <c r="AP14" s="656"/>
      <c r="AQ14" s="656"/>
      <c r="AR14" s="656"/>
      <c r="AS14" s="656"/>
      <c r="AT14" s="656"/>
      <c r="AU14" s="656"/>
      <c r="AV14" s="656"/>
      <c r="AW14" s="656"/>
      <c r="AX14" s="656"/>
      <c r="AY14" s="656"/>
      <c r="AZ14" s="656"/>
      <c r="BA14" s="656"/>
      <c r="BB14" s="656"/>
      <c r="BC14" s="656"/>
      <c r="BD14" s="656"/>
      <c r="BE14" s="656"/>
      <c r="BF14" s="656"/>
      <c r="BG14" s="656"/>
      <c r="BH14" s="656"/>
      <c r="BI14" s="656"/>
      <c r="BJ14" s="656"/>
      <c r="BK14" s="656"/>
      <c r="BL14" s="656"/>
      <c r="BM14" s="656"/>
      <c r="BN14" s="656"/>
      <c r="BO14" s="656"/>
      <c r="BP14" s="656"/>
      <c r="BQ14" s="656"/>
      <c r="BR14" s="656"/>
      <c r="BS14" s="656"/>
      <c r="BT14" s="656"/>
      <c r="BU14" s="656"/>
      <c r="BV14" s="656"/>
      <c r="BW14" s="656"/>
      <c r="BX14" s="656"/>
      <c r="BY14" s="656"/>
      <c r="BZ14" s="656"/>
      <c r="CA14" s="656"/>
      <c r="CB14" s="656"/>
      <c r="CC14" s="656"/>
      <c r="CD14" s="656"/>
      <c r="CE14" s="656"/>
      <c r="CF14" s="656"/>
      <c r="CG14" s="656"/>
      <c r="CH14" s="656"/>
      <c r="CI14" s="656"/>
      <c r="CJ14" s="656"/>
      <c r="CK14" s="656"/>
      <c r="CL14" s="656"/>
      <c r="CM14" s="656"/>
      <c r="CN14" s="656"/>
      <c r="CO14" s="656"/>
      <c r="CP14" s="656"/>
      <c r="CQ14" s="656"/>
      <c r="CR14" s="656"/>
      <c r="CS14" s="656">
        <v>0</v>
      </c>
      <c r="CT14" s="656">
        <v>0</v>
      </c>
      <c r="CU14" s="656">
        <v>0</v>
      </c>
      <c r="CV14" s="656">
        <v>0</v>
      </c>
      <c r="CW14" s="656">
        <v>0</v>
      </c>
      <c r="CX14" s="656">
        <v>0</v>
      </c>
      <c r="CZ14" s="656" t="e">
        <v>#NAME?</v>
      </c>
      <c r="DB14" s="156" t="s">
        <v>492</v>
      </c>
      <c r="DG14" s="156">
        <v>62.67</v>
      </c>
    </row>
    <row r="15" spans="1:111" ht="12.75">
      <c r="A15" s="165" t="s">
        <v>491</v>
      </c>
      <c r="B15" s="656"/>
      <c r="C15" s="656"/>
      <c r="D15" s="656"/>
      <c r="E15" s="656"/>
      <c r="F15" s="656"/>
      <c r="G15" s="656"/>
      <c r="H15" s="656"/>
      <c r="I15" s="656"/>
      <c r="J15" s="656"/>
      <c r="K15" s="656"/>
      <c r="L15" s="656"/>
      <c r="M15" s="656"/>
      <c r="N15" s="656"/>
      <c r="O15" s="656"/>
      <c r="P15" s="656"/>
      <c r="Q15" s="656"/>
      <c r="R15" s="656"/>
      <c r="S15" s="656"/>
      <c r="T15" s="656"/>
      <c r="U15" s="656"/>
      <c r="V15" s="656"/>
      <c r="W15" s="656"/>
      <c r="X15" s="656"/>
      <c r="Y15" s="656"/>
      <c r="Z15" s="656"/>
      <c r="AA15" s="656"/>
      <c r="AB15" s="656">
        <v>0</v>
      </c>
      <c r="AC15" s="656"/>
      <c r="AD15" s="158"/>
      <c r="AE15" s="158"/>
      <c r="AF15" s="656"/>
      <c r="AG15" s="656"/>
      <c r="AH15" s="656"/>
      <c r="AI15" s="656"/>
      <c r="AJ15" s="656"/>
      <c r="AK15" s="656"/>
      <c r="AL15" s="656"/>
      <c r="AM15" s="656"/>
      <c r="AN15" s="656"/>
      <c r="AO15" s="656"/>
      <c r="AP15" s="656"/>
      <c r="AQ15" s="656"/>
      <c r="AR15" s="656"/>
      <c r="AS15" s="656"/>
      <c r="AT15" s="656"/>
      <c r="AU15" s="656"/>
      <c r="AV15" s="656"/>
      <c r="AW15" s="656"/>
      <c r="AX15" s="656"/>
      <c r="AY15" s="656"/>
      <c r="AZ15" s="656"/>
      <c r="BA15" s="656"/>
      <c r="BB15" s="656"/>
      <c r="BC15" s="656"/>
      <c r="BD15" s="656"/>
      <c r="BE15" s="656"/>
      <c r="BF15" s="656"/>
      <c r="BG15" s="656"/>
      <c r="BH15" s="656"/>
      <c r="BI15" s="656"/>
      <c r="BJ15" s="656"/>
      <c r="BK15" s="656"/>
      <c r="BL15" s="656"/>
      <c r="BM15" s="656"/>
      <c r="BN15" s="656"/>
      <c r="BO15" s="656"/>
      <c r="BP15" s="656"/>
      <c r="BQ15" s="656"/>
      <c r="BR15" s="656"/>
      <c r="BS15" s="656"/>
      <c r="BT15" s="656"/>
      <c r="BU15" s="656"/>
      <c r="BV15" s="656"/>
      <c r="BW15" s="656"/>
      <c r="BX15" s="656"/>
      <c r="BY15" s="656"/>
      <c r="BZ15" s="656"/>
      <c r="CA15" s="656"/>
      <c r="CB15" s="656"/>
      <c r="CC15" s="656"/>
      <c r="CD15" s="656"/>
      <c r="CE15" s="656"/>
      <c r="CF15" s="656"/>
      <c r="CG15" s="656"/>
      <c r="CH15" s="656"/>
      <c r="CI15" s="656"/>
      <c r="CJ15" s="656"/>
      <c r="CK15" s="656"/>
      <c r="CL15" s="656"/>
      <c r="CM15" s="656"/>
      <c r="CN15" s="656"/>
      <c r="CO15" s="656"/>
      <c r="CP15" s="656"/>
      <c r="CQ15" s="656"/>
      <c r="CR15" s="656"/>
      <c r="CS15" s="656">
        <v>0</v>
      </c>
      <c r="CT15" s="656">
        <v>0</v>
      </c>
      <c r="CU15" s="656">
        <v>0</v>
      </c>
      <c r="CV15" s="656">
        <v>0</v>
      </c>
      <c r="CW15" s="656">
        <v>0</v>
      </c>
      <c r="CX15" s="656">
        <v>0</v>
      </c>
      <c r="CZ15" s="656" t="e">
        <v>#NAME?</v>
      </c>
      <c r="DB15" s="156" t="s">
        <v>491</v>
      </c>
      <c r="DG15" s="156">
        <v>-190.54</v>
      </c>
    </row>
    <row r="16" spans="1:111" s="169" customFormat="1" ht="12.75">
      <c r="A16" s="170" t="s">
        <v>490</v>
      </c>
      <c r="B16" s="656"/>
      <c r="C16" s="656"/>
      <c r="D16" s="656"/>
      <c r="E16" s="656"/>
      <c r="F16" s="656"/>
      <c r="G16" s="656"/>
      <c r="H16" s="656"/>
      <c r="I16" s="656"/>
      <c r="J16" s="656"/>
      <c r="K16" s="656"/>
      <c r="L16" s="656"/>
      <c r="M16" s="656"/>
      <c r="N16" s="656"/>
      <c r="O16" s="656"/>
      <c r="P16" s="656"/>
      <c r="Q16" s="656"/>
      <c r="R16" s="656"/>
      <c r="S16" s="656"/>
      <c r="T16" s="656"/>
      <c r="U16" s="656"/>
      <c r="V16" s="656"/>
      <c r="W16" s="656"/>
      <c r="X16" s="656"/>
      <c r="Y16" s="656"/>
      <c r="Z16" s="656"/>
      <c r="AA16" s="656"/>
      <c r="AB16" s="656">
        <v>0</v>
      </c>
      <c r="AC16" s="656"/>
      <c r="AD16" s="158"/>
      <c r="AE16" s="158"/>
      <c r="AF16" s="656"/>
      <c r="AG16" s="656"/>
      <c r="AH16" s="656"/>
      <c r="AI16" s="656"/>
      <c r="AJ16" s="656"/>
      <c r="AK16" s="656"/>
      <c r="AL16" s="656"/>
      <c r="AM16" s="656"/>
      <c r="AN16" s="656"/>
      <c r="AO16" s="656"/>
      <c r="AP16" s="656"/>
      <c r="AQ16" s="656"/>
      <c r="AR16" s="656"/>
      <c r="AS16" s="656"/>
      <c r="AT16" s="656"/>
      <c r="AU16" s="656"/>
      <c r="AV16" s="656"/>
      <c r="AW16" s="656"/>
      <c r="AX16" s="656"/>
      <c r="AY16" s="656"/>
      <c r="AZ16" s="656"/>
      <c r="BA16" s="656"/>
      <c r="BB16" s="656"/>
      <c r="BC16" s="656"/>
      <c r="BD16" s="656"/>
      <c r="BE16" s="656"/>
      <c r="BF16" s="656"/>
      <c r="BG16" s="656"/>
      <c r="BH16" s="656"/>
      <c r="BI16" s="656"/>
      <c r="BJ16" s="656"/>
      <c r="BK16" s="656"/>
      <c r="BL16" s="656"/>
      <c r="BM16" s="656"/>
      <c r="BN16" s="656"/>
      <c r="BO16" s="656"/>
      <c r="BP16" s="656"/>
      <c r="BQ16" s="656"/>
      <c r="BR16" s="656"/>
      <c r="BS16" s="656"/>
      <c r="BT16" s="656"/>
      <c r="BU16" s="656"/>
      <c r="BV16" s="656"/>
      <c r="BW16" s="656"/>
      <c r="BX16" s="656"/>
      <c r="BY16" s="656"/>
      <c r="BZ16" s="656"/>
      <c r="CA16" s="656"/>
      <c r="CB16" s="656"/>
      <c r="CC16" s="656"/>
      <c r="CD16" s="656"/>
      <c r="CE16" s="656"/>
      <c r="CF16" s="656"/>
      <c r="CG16" s="656"/>
      <c r="CH16" s="656"/>
      <c r="CI16" s="656"/>
      <c r="CJ16" s="656"/>
      <c r="CK16" s="656"/>
      <c r="CL16" s="656"/>
      <c r="CM16" s="656"/>
      <c r="CN16" s="656"/>
      <c r="CO16" s="656"/>
      <c r="CP16" s="656"/>
      <c r="CQ16" s="656"/>
      <c r="CR16" s="656"/>
      <c r="CS16" s="656">
        <v>0</v>
      </c>
      <c r="CT16" s="656">
        <v>0</v>
      </c>
      <c r="CU16" s="656">
        <v>0</v>
      </c>
      <c r="CV16" s="656">
        <v>0</v>
      </c>
      <c r="CW16" s="656">
        <v>0</v>
      </c>
      <c r="CX16" s="656">
        <v>0</v>
      </c>
      <c r="CZ16" s="656" t="e">
        <v>#NAME?</v>
      </c>
      <c r="DB16" s="169" t="s">
        <v>490</v>
      </c>
    </row>
    <row r="17" spans="1:111" s="169" customFormat="1" ht="12.75">
      <c r="A17" s="170" t="s">
        <v>489</v>
      </c>
      <c r="B17" s="656"/>
      <c r="C17" s="656"/>
      <c r="D17" s="656"/>
      <c r="E17" s="656"/>
      <c r="F17" s="656"/>
      <c r="G17" s="656"/>
      <c r="H17" s="656"/>
      <c r="I17" s="656"/>
      <c r="J17" s="656"/>
      <c r="K17" s="656"/>
      <c r="L17" s="656"/>
      <c r="M17" s="656"/>
      <c r="N17" s="656"/>
      <c r="O17" s="656"/>
      <c r="P17" s="656"/>
      <c r="Q17" s="656"/>
      <c r="R17" s="656"/>
      <c r="S17" s="656"/>
      <c r="T17" s="656"/>
      <c r="U17" s="656"/>
      <c r="V17" s="656"/>
      <c r="W17" s="656"/>
      <c r="X17" s="656"/>
      <c r="Y17" s="656"/>
      <c r="Z17" s="656"/>
      <c r="AA17" s="656"/>
      <c r="AB17" s="656">
        <v>0</v>
      </c>
      <c r="AC17" s="656"/>
      <c r="AD17" s="158"/>
      <c r="AE17" s="158"/>
      <c r="AF17" s="656"/>
      <c r="AG17" s="656"/>
      <c r="AH17" s="656"/>
      <c r="AI17" s="656"/>
      <c r="AJ17" s="656"/>
      <c r="AK17" s="656"/>
      <c r="AL17" s="656"/>
      <c r="AM17" s="656"/>
      <c r="AN17" s="656"/>
      <c r="AO17" s="656"/>
      <c r="AP17" s="656"/>
      <c r="AQ17" s="656"/>
      <c r="AR17" s="656"/>
      <c r="AS17" s="656"/>
      <c r="AT17" s="656"/>
      <c r="AU17" s="656"/>
      <c r="AV17" s="656"/>
      <c r="AW17" s="656"/>
      <c r="AX17" s="656"/>
      <c r="AY17" s="656"/>
      <c r="AZ17" s="656"/>
      <c r="BA17" s="656"/>
      <c r="BB17" s="656"/>
      <c r="BC17" s="656"/>
      <c r="BD17" s="656"/>
      <c r="BE17" s="656"/>
      <c r="BF17" s="656"/>
      <c r="BG17" s="656"/>
      <c r="BH17" s="656"/>
      <c r="BI17" s="656"/>
      <c r="BJ17" s="656"/>
      <c r="BK17" s="656"/>
      <c r="BL17" s="656"/>
      <c r="BM17" s="656"/>
      <c r="BN17" s="656"/>
      <c r="BO17" s="656"/>
      <c r="BP17" s="656"/>
      <c r="BQ17" s="656"/>
      <c r="BR17" s="656"/>
      <c r="BS17" s="656"/>
      <c r="BT17" s="656"/>
      <c r="BU17" s="656"/>
      <c r="BV17" s="656"/>
      <c r="BW17" s="656"/>
      <c r="BX17" s="656"/>
      <c r="BY17" s="656"/>
      <c r="BZ17" s="656"/>
      <c r="CA17" s="656"/>
      <c r="CB17" s="656"/>
      <c r="CC17" s="656"/>
      <c r="CD17" s="656"/>
      <c r="CE17" s="656"/>
      <c r="CF17" s="656"/>
      <c r="CG17" s="656"/>
      <c r="CH17" s="656"/>
      <c r="CI17" s="656"/>
      <c r="CJ17" s="656"/>
      <c r="CK17" s="656"/>
      <c r="CL17" s="656"/>
      <c r="CM17" s="656"/>
      <c r="CN17" s="656"/>
      <c r="CO17" s="656"/>
      <c r="CP17" s="656"/>
      <c r="CQ17" s="656"/>
      <c r="CR17" s="656"/>
      <c r="CS17" s="656">
        <v>0</v>
      </c>
      <c r="CT17" s="656">
        <v>0</v>
      </c>
      <c r="CU17" s="656">
        <v>0</v>
      </c>
      <c r="CV17" s="656">
        <v>0</v>
      </c>
      <c r="CW17" s="656">
        <v>0</v>
      </c>
      <c r="CX17" s="656">
        <v>0</v>
      </c>
      <c r="CZ17" s="656" t="e">
        <v>#NAME?</v>
      </c>
      <c r="DB17" s="169" t="s">
        <v>489</v>
      </c>
      <c r="DG17" s="169">
        <v>-0.96</v>
      </c>
    </row>
    <row r="18" spans="1:111" s="169" customFormat="1" ht="12.75">
      <c r="A18" s="170" t="s">
        <v>488</v>
      </c>
      <c r="B18" s="656"/>
      <c r="C18" s="656"/>
      <c r="D18" s="656"/>
      <c r="E18" s="656"/>
      <c r="F18" s="656"/>
      <c r="G18" s="656"/>
      <c r="H18" s="656"/>
      <c r="I18" s="656"/>
      <c r="J18" s="656"/>
      <c r="K18" s="656"/>
      <c r="L18" s="656"/>
      <c r="M18" s="656"/>
      <c r="N18" s="656"/>
      <c r="O18" s="656"/>
      <c r="P18" s="656"/>
      <c r="Q18" s="656"/>
      <c r="R18" s="656"/>
      <c r="S18" s="656"/>
      <c r="T18" s="656"/>
      <c r="U18" s="656"/>
      <c r="V18" s="656"/>
      <c r="W18" s="656"/>
      <c r="X18" s="656"/>
      <c r="Y18" s="656"/>
      <c r="Z18" s="656"/>
      <c r="AA18" s="656"/>
      <c r="AB18" s="656">
        <v>0</v>
      </c>
      <c r="AC18" s="656"/>
      <c r="AD18" s="158"/>
      <c r="AE18" s="158"/>
      <c r="AF18" s="656"/>
      <c r="AG18" s="656"/>
      <c r="AH18" s="656"/>
      <c r="AI18" s="656"/>
      <c r="AJ18" s="656"/>
      <c r="AK18" s="656"/>
      <c r="AL18" s="656"/>
      <c r="AM18" s="656"/>
      <c r="AN18" s="656"/>
      <c r="AO18" s="656"/>
      <c r="AP18" s="656"/>
      <c r="AQ18" s="656"/>
      <c r="AR18" s="656"/>
      <c r="AS18" s="656"/>
      <c r="AT18" s="656"/>
      <c r="AU18" s="656"/>
      <c r="AV18" s="656"/>
      <c r="AW18" s="656"/>
      <c r="AX18" s="656"/>
      <c r="AY18" s="656"/>
      <c r="AZ18" s="656"/>
      <c r="BA18" s="656"/>
      <c r="BB18" s="656"/>
      <c r="BC18" s="656"/>
      <c r="BD18" s="656"/>
      <c r="BE18" s="656"/>
      <c r="BF18" s="656"/>
      <c r="BG18" s="656"/>
      <c r="BH18" s="656"/>
      <c r="BI18" s="656"/>
      <c r="BJ18" s="656"/>
      <c r="BK18" s="656"/>
      <c r="BL18" s="656"/>
      <c r="BM18" s="656"/>
      <c r="BN18" s="656"/>
      <c r="BO18" s="656"/>
      <c r="BP18" s="656"/>
      <c r="BQ18" s="656"/>
      <c r="BR18" s="656"/>
      <c r="BS18" s="656"/>
      <c r="BT18" s="656"/>
      <c r="BU18" s="656"/>
      <c r="BV18" s="656"/>
      <c r="BW18" s="656"/>
      <c r="BX18" s="656"/>
      <c r="BY18" s="656"/>
      <c r="BZ18" s="656"/>
      <c r="CA18" s="656"/>
      <c r="CB18" s="656"/>
      <c r="CC18" s="656"/>
      <c r="CD18" s="656"/>
      <c r="CE18" s="656"/>
      <c r="CF18" s="656"/>
      <c r="CG18" s="656"/>
      <c r="CH18" s="656"/>
      <c r="CI18" s="656"/>
      <c r="CJ18" s="656"/>
      <c r="CK18" s="656"/>
      <c r="CL18" s="656"/>
      <c r="CM18" s="656"/>
      <c r="CN18" s="656"/>
      <c r="CO18" s="656"/>
      <c r="CP18" s="656"/>
      <c r="CQ18" s="656"/>
      <c r="CR18" s="656"/>
      <c r="CS18" s="656">
        <v>0</v>
      </c>
      <c r="CT18" s="656">
        <v>0</v>
      </c>
      <c r="CU18" s="656">
        <v>0</v>
      </c>
      <c r="CV18" s="656">
        <v>0</v>
      </c>
      <c r="CW18" s="656">
        <v>0</v>
      </c>
      <c r="CX18" s="656">
        <v>0</v>
      </c>
      <c r="CZ18" s="656" t="e">
        <v>#NAME?</v>
      </c>
      <c r="DB18" s="169" t="s">
        <v>488</v>
      </c>
    </row>
    <row r="19" spans="1:111" s="169" customFormat="1" ht="12.75">
      <c r="A19" s="170" t="s">
        <v>487</v>
      </c>
      <c r="B19" s="656"/>
      <c r="C19" s="656"/>
      <c r="D19" s="656"/>
      <c r="E19" s="656"/>
      <c r="F19" s="656"/>
      <c r="G19" s="656"/>
      <c r="H19" s="656"/>
      <c r="I19" s="656"/>
      <c r="J19" s="656"/>
      <c r="K19" s="656"/>
      <c r="L19" s="656"/>
      <c r="M19" s="656"/>
      <c r="N19" s="656"/>
      <c r="O19" s="656"/>
      <c r="P19" s="656"/>
      <c r="Q19" s="656"/>
      <c r="R19" s="656"/>
      <c r="S19" s="656"/>
      <c r="T19" s="656"/>
      <c r="U19" s="656"/>
      <c r="V19" s="656"/>
      <c r="W19" s="656"/>
      <c r="X19" s="656"/>
      <c r="Y19" s="656"/>
      <c r="Z19" s="656"/>
      <c r="AA19" s="656"/>
      <c r="AB19" s="656">
        <v>0</v>
      </c>
      <c r="AC19" s="656"/>
      <c r="AD19" s="158"/>
      <c r="AE19" s="158"/>
      <c r="AF19" s="656"/>
      <c r="AG19" s="656"/>
      <c r="AH19" s="656"/>
      <c r="AI19" s="656"/>
      <c r="AJ19" s="656"/>
      <c r="AK19" s="656"/>
      <c r="AL19" s="656"/>
      <c r="AM19" s="656"/>
      <c r="AN19" s="656"/>
      <c r="AO19" s="656"/>
      <c r="AP19" s="656"/>
      <c r="AQ19" s="656"/>
      <c r="AR19" s="656"/>
      <c r="AS19" s="656"/>
      <c r="AT19" s="656"/>
      <c r="AU19" s="656"/>
      <c r="AV19" s="656"/>
      <c r="AW19" s="656"/>
      <c r="AX19" s="656"/>
      <c r="AY19" s="656"/>
      <c r="AZ19" s="656"/>
      <c r="BA19" s="656"/>
      <c r="BB19" s="656"/>
      <c r="BC19" s="656"/>
      <c r="BD19" s="656"/>
      <c r="BE19" s="656"/>
      <c r="BF19" s="656"/>
      <c r="BG19" s="656"/>
      <c r="BH19" s="656"/>
      <c r="BI19" s="656"/>
      <c r="BJ19" s="656"/>
      <c r="BK19" s="656"/>
      <c r="BL19" s="656"/>
      <c r="BM19" s="656"/>
      <c r="BN19" s="656"/>
      <c r="BO19" s="656"/>
      <c r="BP19" s="656"/>
      <c r="BQ19" s="656"/>
      <c r="BR19" s="656"/>
      <c r="BS19" s="656"/>
      <c r="BT19" s="656"/>
      <c r="BU19" s="656"/>
      <c r="BV19" s="656"/>
      <c r="BW19" s="656"/>
      <c r="BX19" s="656"/>
      <c r="BY19" s="656"/>
      <c r="BZ19" s="656"/>
      <c r="CA19" s="656"/>
      <c r="CB19" s="656"/>
      <c r="CC19" s="656"/>
      <c r="CD19" s="656"/>
      <c r="CE19" s="656"/>
      <c r="CF19" s="656"/>
      <c r="CG19" s="656"/>
      <c r="CH19" s="656"/>
      <c r="CI19" s="656"/>
      <c r="CJ19" s="656"/>
      <c r="CK19" s="656"/>
      <c r="CL19" s="656"/>
      <c r="CM19" s="656"/>
      <c r="CN19" s="656"/>
      <c r="CO19" s="656"/>
      <c r="CP19" s="656"/>
      <c r="CQ19" s="656"/>
      <c r="CR19" s="656"/>
      <c r="CS19" s="656">
        <v>0</v>
      </c>
      <c r="CT19" s="656">
        <v>0</v>
      </c>
      <c r="CU19" s="656">
        <v>0</v>
      </c>
      <c r="CV19" s="656">
        <v>0</v>
      </c>
      <c r="CW19" s="656">
        <v>0</v>
      </c>
      <c r="CX19" s="656">
        <v>0</v>
      </c>
      <c r="CZ19" s="656" t="e">
        <v>#NAME?</v>
      </c>
      <c r="DB19" s="169" t="s">
        <v>487</v>
      </c>
      <c r="DG19" s="169">
        <v>32.950000000000003</v>
      </c>
    </row>
    <row r="20" spans="1:111" s="169" customFormat="1" ht="12.75">
      <c r="A20" s="170" t="s">
        <v>486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56"/>
      <c r="AB20" s="656">
        <v>0</v>
      </c>
      <c r="AC20" s="656"/>
      <c r="AD20" s="158"/>
      <c r="AE20" s="158"/>
      <c r="AF20" s="656"/>
      <c r="AG20" s="656"/>
      <c r="AH20" s="656"/>
      <c r="AI20" s="656"/>
      <c r="AJ20" s="656"/>
      <c r="AK20" s="656"/>
      <c r="AL20" s="656"/>
      <c r="AM20" s="656"/>
      <c r="AN20" s="656"/>
      <c r="AO20" s="656"/>
      <c r="AP20" s="656"/>
      <c r="AQ20" s="656"/>
      <c r="AR20" s="656"/>
      <c r="AS20" s="656"/>
      <c r="AT20" s="656"/>
      <c r="AU20" s="656"/>
      <c r="AV20" s="656"/>
      <c r="AW20" s="656"/>
      <c r="AX20" s="656"/>
      <c r="AY20" s="656"/>
      <c r="AZ20" s="656"/>
      <c r="BA20" s="656"/>
      <c r="BB20" s="656"/>
      <c r="BC20" s="656"/>
      <c r="BD20" s="656"/>
      <c r="BE20" s="656"/>
      <c r="BF20" s="656"/>
      <c r="BG20" s="656"/>
      <c r="BH20" s="656"/>
      <c r="BI20" s="656"/>
      <c r="BJ20" s="656"/>
      <c r="BK20" s="656"/>
      <c r="BL20" s="656"/>
      <c r="BM20" s="656"/>
      <c r="BN20" s="656"/>
      <c r="BO20" s="656"/>
      <c r="BP20" s="656"/>
      <c r="BQ20" s="656"/>
      <c r="BR20" s="656"/>
      <c r="BS20" s="656"/>
      <c r="BT20" s="656"/>
      <c r="BU20" s="656"/>
      <c r="BV20" s="656"/>
      <c r="BW20" s="656"/>
      <c r="BX20" s="656"/>
      <c r="BY20" s="656"/>
      <c r="BZ20" s="656"/>
      <c r="CA20" s="656"/>
      <c r="CB20" s="656"/>
      <c r="CC20" s="656"/>
      <c r="CD20" s="656"/>
      <c r="CE20" s="656"/>
      <c r="CF20" s="656"/>
      <c r="CG20" s="656"/>
      <c r="CH20" s="656"/>
      <c r="CI20" s="656"/>
      <c r="CJ20" s="656"/>
      <c r="CK20" s="656"/>
      <c r="CL20" s="656"/>
      <c r="CM20" s="656"/>
      <c r="CN20" s="656"/>
      <c r="CO20" s="656"/>
      <c r="CP20" s="656"/>
      <c r="CQ20" s="656"/>
      <c r="CR20" s="656"/>
      <c r="CS20" s="656">
        <v>0</v>
      </c>
      <c r="CT20" s="656">
        <v>0</v>
      </c>
      <c r="CU20" s="656">
        <v>0</v>
      </c>
      <c r="CV20" s="656">
        <v>0</v>
      </c>
      <c r="CW20" s="656">
        <v>0</v>
      </c>
      <c r="CX20" s="656">
        <v>0</v>
      </c>
      <c r="CZ20" s="656" t="e">
        <v>#NAME?</v>
      </c>
      <c r="DB20" s="169" t="s">
        <v>486</v>
      </c>
      <c r="DG20" s="169">
        <v>95.32</v>
      </c>
    </row>
    <row r="21" spans="1:111" ht="12.75">
      <c r="A21" s="165" t="s">
        <v>485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>
        <v>45.944600000000001</v>
      </c>
      <c r="V21" s="656">
        <v>39.569061850000004</v>
      </c>
      <c r="W21" s="656">
        <v>44.306298130000002</v>
      </c>
      <c r="X21" s="656">
        <v>50.357577460000002</v>
      </c>
      <c r="Y21" s="656">
        <v>76.810518270000003</v>
      </c>
      <c r="Z21" s="656">
        <v>92.639167099999995</v>
      </c>
      <c r="AA21" s="656">
        <v>121.0108417</v>
      </c>
      <c r="AB21" s="656">
        <v>159.79274697</v>
      </c>
      <c r="AC21" s="656"/>
      <c r="AD21" s="158"/>
      <c r="AE21" s="158"/>
      <c r="AF21" s="656"/>
      <c r="AG21" s="656"/>
      <c r="AH21" s="656"/>
      <c r="AI21" s="656"/>
      <c r="AJ21" s="656"/>
      <c r="AK21" s="656"/>
      <c r="AL21" s="656"/>
      <c r="AM21" s="656"/>
      <c r="AN21" s="656"/>
      <c r="AO21" s="656"/>
      <c r="AP21" s="656"/>
      <c r="AQ21" s="656"/>
      <c r="AR21" s="656"/>
      <c r="AS21" s="656"/>
      <c r="AT21" s="656"/>
      <c r="AU21" s="656"/>
      <c r="AV21" s="656"/>
      <c r="AW21" s="656"/>
      <c r="AX21" s="656"/>
      <c r="AY21" s="656"/>
      <c r="AZ21" s="656"/>
      <c r="BA21" s="656"/>
      <c r="BB21" s="656"/>
      <c r="BC21" s="656"/>
      <c r="BD21" s="656"/>
      <c r="BE21" s="656"/>
      <c r="BF21" s="656"/>
      <c r="BG21" s="656"/>
      <c r="BH21" s="656"/>
      <c r="BI21" s="656"/>
      <c r="BJ21" s="656"/>
      <c r="BK21" s="656"/>
      <c r="BL21" s="656"/>
      <c r="BM21" s="656"/>
      <c r="BN21" s="656"/>
      <c r="BO21" s="656"/>
      <c r="BP21" s="656"/>
      <c r="BQ21" s="656"/>
      <c r="BR21" s="656"/>
      <c r="BS21" s="656"/>
      <c r="BT21" s="656"/>
      <c r="BU21" s="656"/>
      <c r="BV21" s="656"/>
      <c r="BW21" s="656"/>
      <c r="BX21" s="656"/>
      <c r="BY21" s="656"/>
      <c r="BZ21" s="656"/>
      <c r="CA21" s="656"/>
      <c r="CB21" s="656">
        <v>6.7925628600000003</v>
      </c>
      <c r="CC21" s="656">
        <v>23.738</v>
      </c>
      <c r="CD21" s="656">
        <v>39.601016619999996</v>
      </c>
      <c r="CE21" s="656">
        <v>50.357577460000002</v>
      </c>
      <c r="CF21" s="656">
        <v>18.12164478</v>
      </c>
      <c r="CG21" s="656">
        <v>41.581896969999995</v>
      </c>
      <c r="CH21" s="656">
        <v>60.121040299999997</v>
      </c>
      <c r="CI21" s="656">
        <v>76.810518270000003</v>
      </c>
      <c r="CJ21" s="656">
        <v>20.785871149999998</v>
      </c>
      <c r="CK21" s="656">
        <v>47.650708159999994</v>
      </c>
      <c r="CL21" s="656">
        <v>69.053892090000005</v>
      </c>
      <c r="CM21" s="656">
        <v>92.639167099999995</v>
      </c>
      <c r="CN21" s="656">
        <v>25.100383230000002</v>
      </c>
      <c r="CO21" s="656">
        <v>59.469350920000004</v>
      </c>
      <c r="CP21" s="656">
        <v>92.832681940000001</v>
      </c>
      <c r="CQ21" s="656">
        <v>121.0108417</v>
      </c>
      <c r="CR21" s="656">
        <v>36.832629600000004</v>
      </c>
      <c r="CS21" s="656">
        <v>84.274324879999995</v>
      </c>
      <c r="CT21" s="656">
        <v>123.70692592</v>
      </c>
      <c r="CU21" s="656">
        <v>159.79274697</v>
      </c>
      <c r="CV21" s="656">
        <v>46.761731420000004</v>
      </c>
      <c r="CW21" s="656">
        <v>109.32921087999999</v>
      </c>
      <c r="CX21" s="656">
        <v>172.32459703999999</v>
      </c>
      <c r="CZ21" s="656" t="e">
        <v>#NAME?</v>
      </c>
      <c r="DB21" s="156" t="s">
        <v>485</v>
      </c>
      <c r="DG21" s="156" t="e">
        <v>#VALUE!</v>
      </c>
    </row>
    <row r="22" spans="1:111" ht="12.75">
      <c r="A22" s="165" t="s">
        <v>484</v>
      </c>
      <c r="B22" s="656"/>
      <c r="C22" s="656"/>
      <c r="D22" s="656"/>
      <c r="E22" s="656"/>
      <c r="F22" s="656"/>
      <c r="G22" s="656"/>
      <c r="H22" s="656"/>
      <c r="I22" s="656"/>
      <c r="J22" s="656"/>
      <c r="K22" s="656"/>
      <c r="L22" s="656"/>
      <c r="M22" s="656"/>
      <c r="N22" s="656"/>
      <c r="O22" s="656"/>
      <c r="P22" s="656"/>
      <c r="Q22" s="656"/>
      <c r="R22" s="656"/>
      <c r="S22" s="656"/>
      <c r="T22" s="656"/>
      <c r="U22" s="656">
        <v>825.24980000000005</v>
      </c>
      <c r="V22" s="656">
        <v>969.45033685999999</v>
      </c>
      <c r="W22" s="656">
        <v>983.59316214</v>
      </c>
      <c r="X22" s="656">
        <v>1040.3472948200001</v>
      </c>
      <c r="Y22" s="656">
        <v>1368.3843670599999</v>
      </c>
      <c r="Z22" s="656">
        <v>1449.2760845799999</v>
      </c>
      <c r="AA22" s="656">
        <v>1955.6713750699998</v>
      </c>
      <c r="AB22" s="656">
        <v>2681.0797873299998</v>
      </c>
      <c r="AC22" s="656"/>
      <c r="AD22" s="158"/>
      <c r="AE22" s="158"/>
      <c r="AF22" s="656"/>
      <c r="AG22" s="656"/>
      <c r="AH22" s="656"/>
      <c r="AI22" s="656"/>
      <c r="AJ22" s="656"/>
      <c r="AK22" s="656"/>
      <c r="AL22" s="656"/>
      <c r="AM22" s="656"/>
      <c r="AN22" s="656"/>
      <c r="AO22" s="656"/>
      <c r="AP22" s="656"/>
      <c r="AQ22" s="656"/>
      <c r="AR22" s="656"/>
      <c r="AS22" s="656"/>
      <c r="AT22" s="656"/>
      <c r="AU22" s="656"/>
      <c r="AV22" s="656"/>
      <c r="AW22" s="656"/>
      <c r="AX22" s="656"/>
      <c r="AY22" s="656"/>
      <c r="AZ22" s="656"/>
      <c r="BA22" s="656"/>
      <c r="BB22" s="656"/>
      <c r="BC22" s="656"/>
      <c r="BD22" s="656"/>
      <c r="BE22" s="656"/>
      <c r="BF22" s="656"/>
      <c r="BG22" s="656"/>
      <c r="BH22" s="656"/>
      <c r="BI22" s="656"/>
      <c r="BJ22" s="656"/>
      <c r="BK22" s="656"/>
      <c r="BL22" s="656"/>
      <c r="BM22" s="656"/>
      <c r="BN22" s="656"/>
      <c r="BO22" s="656"/>
      <c r="BP22" s="656"/>
      <c r="BQ22" s="656"/>
      <c r="BR22" s="656"/>
      <c r="BS22" s="656"/>
      <c r="BT22" s="656"/>
      <c r="BU22" s="656"/>
      <c r="BV22" s="656"/>
      <c r="BW22" s="656"/>
      <c r="BX22" s="656"/>
      <c r="BY22" s="656"/>
      <c r="BZ22" s="656"/>
      <c r="CA22" s="656"/>
      <c r="CB22" s="656">
        <v>201.55927403000001</v>
      </c>
      <c r="CC22" s="656">
        <v>452.20800000000003</v>
      </c>
      <c r="CD22" s="656">
        <v>812.57818244000009</v>
      </c>
      <c r="CE22" s="656">
        <v>1040.3472948200001</v>
      </c>
      <c r="CF22" s="656">
        <v>336.21724452999996</v>
      </c>
      <c r="CG22" s="656">
        <v>798.65826103999996</v>
      </c>
      <c r="CH22" s="656">
        <v>1197.90143653</v>
      </c>
      <c r="CI22" s="656">
        <v>1368.3843670599999</v>
      </c>
      <c r="CJ22" s="656">
        <v>337.96501925999996</v>
      </c>
      <c r="CK22" s="656">
        <v>702.69818498000006</v>
      </c>
      <c r="CL22" s="656">
        <v>1085.6043498499998</v>
      </c>
      <c r="CM22" s="656">
        <v>1449.2760845799999</v>
      </c>
      <c r="CN22" s="656">
        <v>390.70786656999996</v>
      </c>
      <c r="CO22" s="656">
        <v>863.23476495</v>
      </c>
      <c r="CP22" s="656">
        <v>1420.90595061</v>
      </c>
      <c r="CQ22" s="656">
        <v>1955.6713750699998</v>
      </c>
      <c r="CR22" s="656">
        <v>595.94921475000001</v>
      </c>
      <c r="CS22" s="656">
        <v>1225.0040971800001</v>
      </c>
      <c r="CT22" s="656">
        <v>2061.92453045</v>
      </c>
      <c r="CU22" s="656">
        <v>2681.0797873299998</v>
      </c>
      <c r="CV22" s="656">
        <v>808.75510908000001</v>
      </c>
      <c r="CW22" s="656">
        <v>1681.5190578499999</v>
      </c>
      <c r="CX22" s="656">
        <v>2613.3446460500004</v>
      </c>
      <c r="CZ22" s="656" t="e">
        <v>#NAME?</v>
      </c>
      <c r="DB22" s="156" t="s">
        <v>484</v>
      </c>
      <c r="DG22" s="156" t="e">
        <v>#VALUE!</v>
      </c>
    </row>
    <row r="23" spans="1:111" ht="12.75">
      <c r="A23" s="165" t="s">
        <v>483</v>
      </c>
      <c r="B23" s="656"/>
      <c r="C23" s="656"/>
      <c r="D23" s="656"/>
      <c r="E23" s="656"/>
      <c r="F23" s="656"/>
      <c r="G23" s="656"/>
      <c r="H23" s="656"/>
      <c r="I23" s="656"/>
      <c r="J23" s="656"/>
      <c r="K23" s="656"/>
      <c r="L23" s="656"/>
      <c r="M23" s="656"/>
      <c r="N23" s="656"/>
      <c r="O23" s="656"/>
      <c r="P23" s="656"/>
      <c r="Q23" s="656"/>
      <c r="R23" s="656"/>
      <c r="S23" s="656"/>
      <c r="T23" s="656"/>
      <c r="U23" s="656">
        <v>89.272999999999996</v>
      </c>
      <c r="V23" s="656">
        <v>121.82015817</v>
      </c>
      <c r="W23" s="656">
        <v>201.22724106000001</v>
      </c>
      <c r="X23" s="656">
        <v>183.89642913</v>
      </c>
      <c r="Y23" s="656">
        <v>251.64259497999998</v>
      </c>
      <c r="Z23" s="656">
        <v>255.5249675</v>
      </c>
      <c r="AA23" s="656">
        <v>368.59438292000004</v>
      </c>
      <c r="AB23" s="656">
        <v>425.65377787</v>
      </c>
      <c r="AC23" s="656"/>
      <c r="AD23" s="158"/>
      <c r="AE23" s="158"/>
      <c r="AF23" s="656"/>
      <c r="AG23" s="656"/>
      <c r="AH23" s="656"/>
      <c r="AI23" s="656"/>
      <c r="AJ23" s="656"/>
      <c r="AK23" s="656"/>
      <c r="AL23" s="656"/>
      <c r="AM23" s="656"/>
      <c r="AN23" s="656"/>
      <c r="AO23" s="656"/>
      <c r="AP23" s="656"/>
      <c r="AQ23" s="656"/>
      <c r="AR23" s="656"/>
      <c r="AS23" s="656"/>
      <c r="AT23" s="656"/>
      <c r="AU23" s="656"/>
      <c r="AV23" s="656"/>
      <c r="AW23" s="656"/>
      <c r="AX23" s="656"/>
      <c r="AY23" s="656"/>
      <c r="AZ23" s="656"/>
      <c r="BA23" s="656"/>
      <c r="BB23" s="656"/>
      <c r="BC23" s="656"/>
      <c r="BD23" s="656"/>
      <c r="BE23" s="656"/>
      <c r="BF23" s="656"/>
      <c r="BG23" s="656"/>
      <c r="BH23" s="656"/>
      <c r="BI23" s="656"/>
      <c r="BJ23" s="656"/>
      <c r="BK23" s="656"/>
      <c r="BL23" s="656"/>
      <c r="BM23" s="656"/>
      <c r="BN23" s="656"/>
      <c r="BO23" s="656"/>
      <c r="BP23" s="656"/>
      <c r="BQ23" s="656"/>
      <c r="BR23" s="656"/>
      <c r="BS23" s="656"/>
      <c r="BT23" s="656"/>
      <c r="BU23" s="656"/>
      <c r="BV23" s="656"/>
      <c r="BW23" s="656"/>
      <c r="BX23" s="656"/>
      <c r="BY23" s="656"/>
      <c r="BZ23" s="656"/>
      <c r="CA23" s="656"/>
      <c r="CB23" s="656">
        <v>40.821116320000002</v>
      </c>
      <c r="CC23" s="656">
        <v>88.038600000000002</v>
      </c>
      <c r="CD23" s="656">
        <v>129.82104369999999</v>
      </c>
      <c r="CE23" s="656">
        <v>183.89642913</v>
      </c>
      <c r="CF23" s="656">
        <v>53.92636023</v>
      </c>
      <c r="CG23" s="656">
        <v>132.06117929000001</v>
      </c>
      <c r="CH23" s="656">
        <v>194.47793091</v>
      </c>
      <c r="CI23" s="656">
        <v>251.64259497999998</v>
      </c>
      <c r="CJ23" s="656">
        <v>69.872543250000007</v>
      </c>
      <c r="CK23" s="656">
        <v>130.88073217000002</v>
      </c>
      <c r="CL23" s="656">
        <v>198.78035668000001</v>
      </c>
      <c r="CM23" s="656">
        <v>255.5249675</v>
      </c>
      <c r="CN23" s="656">
        <v>80.887893009999999</v>
      </c>
      <c r="CO23" s="656">
        <v>163.73405468999999</v>
      </c>
      <c r="CP23" s="656">
        <v>258.33688395000001</v>
      </c>
      <c r="CQ23" s="656">
        <v>368.59438292000004</v>
      </c>
      <c r="CR23" s="656">
        <v>102.68225379</v>
      </c>
      <c r="CS23" s="656">
        <v>193.21898206999998</v>
      </c>
      <c r="CT23" s="656">
        <v>306.34523995000001</v>
      </c>
      <c r="CU23" s="656">
        <v>425.65377787</v>
      </c>
      <c r="CV23" s="656">
        <v>120.17388677</v>
      </c>
      <c r="CW23" s="656">
        <v>258.50813629999999</v>
      </c>
      <c r="CX23" s="656">
        <v>413.35958657999998</v>
      </c>
      <c r="CZ23" s="656" t="e">
        <v>#NAME?</v>
      </c>
      <c r="DB23" s="156" t="s">
        <v>483</v>
      </c>
      <c r="DG23" s="156" t="e">
        <v>#VALUE!</v>
      </c>
    </row>
    <row r="24" spans="1:111" ht="12.75">
      <c r="A24" s="165" t="s">
        <v>1078</v>
      </c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6"/>
      <c r="P24" s="656"/>
      <c r="Q24" s="656"/>
      <c r="R24" s="656"/>
      <c r="S24" s="656"/>
      <c r="T24" s="656"/>
      <c r="U24" s="656">
        <v>21.515799999999999</v>
      </c>
      <c r="V24" s="656">
        <v>21.808198989999998</v>
      </c>
      <c r="W24" s="656">
        <v>28.03032194</v>
      </c>
      <c r="X24" s="656">
        <v>35.542543389999999</v>
      </c>
      <c r="Y24" s="656">
        <v>42.798954960000003</v>
      </c>
      <c r="Z24" s="656">
        <v>43.754839830000002</v>
      </c>
      <c r="AA24" s="656">
        <v>54.390726600000001</v>
      </c>
      <c r="AB24" s="656">
        <v>62.671297899999999</v>
      </c>
      <c r="AC24" s="656"/>
      <c r="AD24" s="158"/>
      <c r="AE24" s="158"/>
      <c r="AF24" s="656"/>
      <c r="AG24" s="656"/>
      <c r="AH24" s="656"/>
      <c r="AI24" s="656"/>
      <c r="AJ24" s="656"/>
      <c r="AK24" s="656"/>
      <c r="AL24" s="656"/>
      <c r="AM24" s="656"/>
      <c r="AN24" s="656"/>
      <c r="AO24" s="656"/>
      <c r="AP24" s="656"/>
      <c r="AQ24" s="656"/>
      <c r="AR24" s="656"/>
      <c r="AS24" s="656"/>
      <c r="AT24" s="656"/>
      <c r="AU24" s="656"/>
      <c r="AV24" s="656"/>
      <c r="AW24" s="656"/>
      <c r="AX24" s="656"/>
      <c r="AY24" s="656"/>
      <c r="AZ24" s="656"/>
      <c r="BA24" s="656"/>
      <c r="BB24" s="656"/>
      <c r="BC24" s="656"/>
      <c r="BD24" s="656"/>
      <c r="BE24" s="656"/>
      <c r="BF24" s="656"/>
      <c r="BG24" s="656"/>
      <c r="BH24" s="656"/>
      <c r="BI24" s="656"/>
      <c r="BJ24" s="656"/>
      <c r="BK24" s="656"/>
      <c r="BL24" s="656"/>
      <c r="BM24" s="656"/>
      <c r="BN24" s="656"/>
      <c r="BO24" s="656"/>
      <c r="BP24" s="656"/>
      <c r="BQ24" s="656"/>
      <c r="BR24" s="656"/>
      <c r="BS24" s="656"/>
      <c r="BT24" s="656"/>
      <c r="BU24" s="656"/>
      <c r="BV24" s="656"/>
      <c r="BW24" s="656"/>
      <c r="BX24" s="656"/>
      <c r="BY24" s="656"/>
      <c r="BZ24" s="656"/>
      <c r="CA24" s="656"/>
      <c r="CB24" s="656">
        <v>4.6109479999999996</v>
      </c>
      <c r="CC24" s="656">
        <v>15.3116</v>
      </c>
      <c r="CD24" s="656">
        <v>26.943284120000001</v>
      </c>
      <c r="CE24" s="656">
        <v>35.542543389999999</v>
      </c>
      <c r="CF24" s="656">
        <v>9.7157084700000009</v>
      </c>
      <c r="CG24" s="656">
        <v>20.45437574</v>
      </c>
      <c r="CH24" s="656">
        <v>29.567240579999996</v>
      </c>
      <c r="CI24" s="656">
        <v>42.798954960000003</v>
      </c>
      <c r="CJ24" s="656">
        <v>9.0487774099999996</v>
      </c>
      <c r="CK24" s="656">
        <v>20.476132010000001</v>
      </c>
      <c r="CL24" s="656">
        <v>36.760987749999998</v>
      </c>
      <c r="CM24" s="656">
        <v>43.754839830000002</v>
      </c>
      <c r="CN24" s="656">
        <v>10.372748189999999</v>
      </c>
      <c r="CO24" s="656">
        <v>25.43321911</v>
      </c>
      <c r="CP24" s="656">
        <v>43.140802909999998</v>
      </c>
      <c r="CQ24" s="656">
        <v>54.390726600000001</v>
      </c>
      <c r="CR24" s="656">
        <v>11.06611135</v>
      </c>
      <c r="CS24" s="656">
        <v>29.619551340000001</v>
      </c>
      <c r="CT24" s="656">
        <v>50.036642869999994</v>
      </c>
      <c r="CU24" s="656">
        <v>62.671297899999999</v>
      </c>
      <c r="CV24" s="656">
        <v>16.76654306</v>
      </c>
      <c r="CW24" s="656">
        <v>32.92688605</v>
      </c>
      <c r="CX24" s="656">
        <v>51.704563200000003</v>
      </c>
      <c r="CZ24" s="656" t="e">
        <v>#NAME?</v>
      </c>
      <c r="DB24" s="156" t="s">
        <v>1061</v>
      </c>
      <c r="DG24" s="156" t="e">
        <v>#VALUE!</v>
      </c>
    </row>
    <row r="25" spans="1:111" ht="12.75">
      <c r="A25" s="165" t="s">
        <v>280</v>
      </c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6"/>
      <c r="P25" s="656"/>
      <c r="Q25" s="656"/>
      <c r="R25" s="656"/>
      <c r="S25" s="656"/>
      <c r="T25" s="656"/>
      <c r="U25" s="656">
        <v>10.454000000000001</v>
      </c>
      <c r="V25" s="656">
        <v>5.0820752200000001</v>
      </c>
      <c r="W25" s="656">
        <v>-13.965657160000001</v>
      </c>
      <c r="X25" s="656">
        <v>-15.930939990000001</v>
      </c>
      <c r="Y25" s="656">
        <v>-11.39395732</v>
      </c>
      <c r="Z25" s="656">
        <v>41.039483529999998</v>
      </c>
      <c r="AA25" s="656">
        <v>2.28561682</v>
      </c>
      <c r="AB25" s="656">
        <v>-190.5357315</v>
      </c>
      <c r="AC25" s="656"/>
      <c r="AD25" s="158"/>
      <c r="AE25" s="158"/>
      <c r="AF25" s="656"/>
      <c r="AG25" s="656"/>
      <c r="AH25" s="656"/>
      <c r="AI25" s="656"/>
      <c r="AJ25" s="656"/>
      <c r="AK25" s="656"/>
      <c r="AL25" s="656"/>
      <c r="AM25" s="656"/>
      <c r="AN25" s="656"/>
      <c r="AO25" s="656"/>
      <c r="AP25" s="656"/>
      <c r="AQ25" s="656"/>
      <c r="AR25" s="656"/>
      <c r="AS25" s="656"/>
      <c r="AT25" s="656"/>
      <c r="AU25" s="656"/>
      <c r="AV25" s="656"/>
      <c r="AW25" s="656"/>
      <c r="AX25" s="656"/>
      <c r="AY25" s="656"/>
      <c r="AZ25" s="656"/>
      <c r="BA25" s="656"/>
      <c r="BB25" s="656"/>
      <c r="BC25" s="656"/>
      <c r="BD25" s="656"/>
      <c r="BE25" s="656"/>
      <c r="BF25" s="656"/>
      <c r="BG25" s="656"/>
      <c r="BH25" s="656"/>
      <c r="BI25" s="656"/>
      <c r="BJ25" s="656"/>
      <c r="BK25" s="656"/>
      <c r="BL25" s="656"/>
      <c r="BM25" s="656"/>
      <c r="BN25" s="656"/>
      <c r="BO25" s="656"/>
      <c r="BP25" s="656"/>
      <c r="BQ25" s="656"/>
      <c r="BR25" s="656"/>
      <c r="BS25" s="656"/>
      <c r="BT25" s="656"/>
      <c r="BU25" s="656"/>
      <c r="BV25" s="656"/>
      <c r="BW25" s="656"/>
      <c r="BX25" s="656"/>
      <c r="BY25" s="656"/>
      <c r="BZ25" s="656"/>
      <c r="CA25" s="656"/>
      <c r="CB25" s="656">
        <v>-3.7269526499999999</v>
      </c>
      <c r="CC25" s="656">
        <v>-6.8220000000000001</v>
      </c>
      <c r="CD25" s="656">
        <v>-11.441569470000001</v>
      </c>
      <c r="CE25" s="656">
        <v>-15.930939990000001</v>
      </c>
      <c r="CF25" s="656">
        <v>-2.3103463500000001</v>
      </c>
      <c r="CG25" s="656">
        <v>-4.2964605499999999</v>
      </c>
      <c r="CH25" s="656">
        <v>-10.671515400000001</v>
      </c>
      <c r="CI25" s="656">
        <v>-11.39395732</v>
      </c>
      <c r="CJ25" s="656">
        <v>7.1531040399999997</v>
      </c>
      <c r="CK25" s="656">
        <v>20.767388030000003</v>
      </c>
      <c r="CL25" s="656">
        <v>34.65269335</v>
      </c>
      <c r="CM25" s="656">
        <v>41.039483529999998</v>
      </c>
      <c r="CN25" s="656">
        <v>-5.9037631100000008</v>
      </c>
      <c r="CO25" s="656">
        <v>-5.2930758400000002</v>
      </c>
      <c r="CP25" s="656">
        <v>-23.92270765</v>
      </c>
      <c r="CQ25" s="656">
        <v>2.28561682</v>
      </c>
      <c r="CR25" s="656">
        <v>-45.066576090000005</v>
      </c>
      <c r="CS25" s="656">
        <v>-104.44443715999999</v>
      </c>
      <c r="CT25" s="656">
        <v>-134.913701</v>
      </c>
      <c r="CU25" s="656">
        <v>-190.5357315</v>
      </c>
      <c r="CV25" s="656">
        <v>-18.06672721</v>
      </c>
      <c r="CW25" s="656">
        <v>-64.222622189999996</v>
      </c>
      <c r="CX25" s="656">
        <v>-73.690603260000003</v>
      </c>
      <c r="CZ25" s="656" t="e">
        <v>#NAME?</v>
      </c>
      <c r="DB25" s="156" t="s">
        <v>280</v>
      </c>
      <c r="DG25" s="156" t="e">
        <v>#VALUE!</v>
      </c>
    </row>
    <row r="26" spans="1:111" ht="12.75">
      <c r="A26" s="165" t="s">
        <v>482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>
        <v>0.53539999999999999</v>
      </c>
      <c r="V26" s="656">
        <v>2.2846108799999998</v>
      </c>
      <c r="W26" s="656">
        <v>-7.40603357</v>
      </c>
      <c r="X26" s="656"/>
      <c r="Y26" s="656">
        <v>0</v>
      </c>
      <c r="Z26" s="656"/>
      <c r="AA26" s="656"/>
      <c r="AB26" s="656">
        <v>0</v>
      </c>
      <c r="AC26" s="656"/>
      <c r="AD26" s="158"/>
      <c r="AE26" s="158"/>
      <c r="AF26" s="656"/>
      <c r="AG26" s="656"/>
      <c r="AH26" s="656"/>
      <c r="AI26" s="656"/>
      <c r="AJ26" s="656"/>
      <c r="AK26" s="656"/>
      <c r="AL26" s="656"/>
      <c r="AM26" s="656"/>
      <c r="AN26" s="656"/>
      <c r="AO26" s="656"/>
      <c r="AP26" s="656"/>
      <c r="AQ26" s="656"/>
      <c r="AR26" s="656"/>
      <c r="AS26" s="656"/>
      <c r="AT26" s="656"/>
      <c r="AU26" s="656"/>
      <c r="AV26" s="656"/>
      <c r="AW26" s="656"/>
      <c r="AX26" s="656"/>
      <c r="AY26" s="656"/>
      <c r="AZ26" s="656"/>
      <c r="BA26" s="656"/>
      <c r="BB26" s="656"/>
      <c r="BC26" s="656"/>
      <c r="BD26" s="656"/>
      <c r="BE26" s="656"/>
      <c r="BF26" s="656"/>
      <c r="BG26" s="656"/>
      <c r="BH26" s="656"/>
      <c r="BI26" s="656"/>
      <c r="BJ26" s="656"/>
      <c r="BK26" s="656"/>
      <c r="BL26" s="656"/>
      <c r="BM26" s="656"/>
      <c r="BN26" s="656"/>
      <c r="BO26" s="656"/>
      <c r="BP26" s="656"/>
      <c r="BQ26" s="656"/>
      <c r="BR26" s="656"/>
      <c r="BS26" s="656"/>
      <c r="BT26" s="656"/>
      <c r="BU26" s="656"/>
      <c r="BV26" s="656"/>
      <c r="BW26" s="656"/>
      <c r="BX26" s="656"/>
      <c r="BY26" s="656"/>
      <c r="BZ26" s="656"/>
      <c r="CA26" s="656"/>
      <c r="CB26" s="656"/>
      <c r="CC26" s="656"/>
      <c r="CD26" s="656"/>
      <c r="CE26" s="656"/>
      <c r="CF26" s="656"/>
      <c r="CG26" s="656"/>
      <c r="CH26" s="656"/>
      <c r="CI26" s="656"/>
      <c r="CJ26" s="656"/>
      <c r="CK26" s="656"/>
      <c r="CL26" s="656"/>
      <c r="CM26" s="656"/>
      <c r="CN26" s="656"/>
      <c r="CO26" s="656"/>
      <c r="CP26" s="656"/>
      <c r="CQ26" s="656"/>
      <c r="CR26" s="656"/>
      <c r="CS26" s="656">
        <v>0</v>
      </c>
      <c r="CT26" s="656">
        <v>0</v>
      </c>
      <c r="CU26" s="656">
        <v>0</v>
      </c>
      <c r="CV26" s="656">
        <v>0</v>
      </c>
      <c r="CW26" s="656">
        <v>0</v>
      </c>
      <c r="CX26" s="656">
        <v>0</v>
      </c>
      <c r="CZ26" s="656" t="e">
        <v>#NAME?</v>
      </c>
      <c r="DB26" s="156" t="s">
        <v>482</v>
      </c>
      <c r="DG26" s="156">
        <v>58.93</v>
      </c>
    </row>
    <row r="27" spans="1:111" ht="12.75">
      <c r="A27" s="165" t="s">
        <v>1079</v>
      </c>
      <c r="B27" s="656"/>
      <c r="C27" s="656"/>
      <c r="D27" s="656"/>
      <c r="E27" s="656"/>
      <c r="F27" s="656"/>
      <c r="G27" s="656"/>
      <c r="H27" s="656"/>
      <c r="I27" s="656"/>
      <c r="J27" s="656"/>
      <c r="K27" s="656"/>
      <c r="L27" s="656"/>
      <c r="M27" s="656"/>
      <c r="N27" s="656"/>
      <c r="O27" s="656"/>
      <c r="P27" s="656"/>
      <c r="Q27" s="656"/>
      <c r="R27" s="656"/>
      <c r="S27" s="656"/>
      <c r="T27" s="656"/>
      <c r="U27" s="656"/>
      <c r="V27" s="656"/>
      <c r="W27" s="656">
        <v>0.84504867000000006</v>
      </c>
      <c r="X27" s="656">
        <v>0.61752069999999992</v>
      </c>
      <c r="Y27" s="656">
        <v>-0.78503443999999989</v>
      </c>
      <c r="Z27" s="656">
        <v>-0.35814104999999996</v>
      </c>
      <c r="AA27" s="656">
        <v>-1.6924195800000001</v>
      </c>
      <c r="AB27" s="656">
        <v>-0.95792707999999993</v>
      </c>
      <c r="AC27" s="656"/>
      <c r="AD27" s="158"/>
      <c r="AE27" s="158"/>
      <c r="AF27" s="656"/>
      <c r="AG27" s="656"/>
      <c r="AH27" s="656"/>
      <c r="AI27" s="656"/>
      <c r="AJ27" s="656"/>
      <c r="AK27" s="656"/>
      <c r="AL27" s="656"/>
      <c r="AM27" s="656"/>
      <c r="AN27" s="656"/>
      <c r="AO27" s="656"/>
      <c r="AP27" s="656"/>
      <c r="AQ27" s="656"/>
      <c r="AR27" s="656"/>
      <c r="AS27" s="656"/>
      <c r="AT27" s="656"/>
      <c r="AU27" s="656"/>
      <c r="AV27" s="656"/>
      <c r="AW27" s="656"/>
      <c r="AX27" s="656"/>
      <c r="AY27" s="656"/>
      <c r="AZ27" s="656"/>
      <c r="BA27" s="656"/>
      <c r="BB27" s="656"/>
      <c r="BC27" s="656"/>
      <c r="BD27" s="656"/>
      <c r="BE27" s="656"/>
      <c r="BF27" s="656"/>
      <c r="BG27" s="656"/>
      <c r="BH27" s="656"/>
      <c r="BI27" s="656"/>
      <c r="BJ27" s="656"/>
      <c r="BK27" s="656"/>
      <c r="BL27" s="656"/>
      <c r="BM27" s="656"/>
      <c r="BN27" s="656"/>
      <c r="BO27" s="656"/>
      <c r="BP27" s="656"/>
      <c r="BQ27" s="656"/>
      <c r="BR27" s="656"/>
      <c r="BS27" s="656"/>
      <c r="BT27" s="656"/>
      <c r="BU27" s="656"/>
      <c r="BV27" s="656"/>
      <c r="BW27" s="656"/>
      <c r="BX27" s="656"/>
      <c r="BY27" s="656"/>
      <c r="BZ27" s="656"/>
      <c r="CA27" s="656"/>
      <c r="CB27" s="656">
        <v>0.13945005999999999</v>
      </c>
      <c r="CC27" s="656">
        <v>-0.9929</v>
      </c>
      <c r="CD27" s="656">
        <v>-0.49266598</v>
      </c>
      <c r="CE27" s="656">
        <v>0.61752069999999992</v>
      </c>
      <c r="CF27" s="656">
        <v>-0.54270748000000002</v>
      </c>
      <c r="CG27" s="656">
        <v>-0.76998363999999997</v>
      </c>
      <c r="CH27" s="656">
        <v>-0.66197353000000003</v>
      </c>
      <c r="CI27" s="656">
        <v>-0.78503443999999989</v>
      </c>
      <c r="CJ27" s="656">
        <v>-0.21463557</v>
      </c>
      <c r="CK27" s="656">
        <v>-0.85894649999999995</v>
      </c>
      <c r="CL27" s="656">
        <v>-0.28690462</v>
      </c>
      <c r="CM27" s="656">
        <v>-0.35814104999999996</v>
      </c>
      <c r="CN27" s="656">
        <v>-1.5557318600000001</v>
      </c>
      <c r="CO27" s="656">
        <v>-1.2481810099999999</v>
      </c>
      <c r="CP27" s="656">
        <v>-2.1089287799999998</v>
      </c>
      <c r="CQ27" s="656">
        <v>-1.6924195800000001</v>
      </c>
      <c r="CR27" s="656">
        <v>-0.62299958</v>
      </c>
      <c r="CS27" s="656">
        <v>-1.6200828</v>
      </c>
      <c r="CT27" s="656">
        <v>-2.9909526200000003</v>
      </c>
      <c r="CU27" s="656">
        <v>-0.95792707999999993</v>
      </c>
      <c r="CV27" s="656">
        <v>1.1868386599999998</v>
      </c>
      <c r="CW27" s="656">
        <v>-1.9277011799999999</v>
      </c>
      <c r="CX27" s="656">
        <v>-1.5536360500000002</v>
      </c>
      <c r="CZ27" s="656" t="e">
        <v>#NAME?</v>
      </c>
      <c r="DA27" s="656"/>
      <c r="DB27" s="657" t="s">
        <v>1062</v>
      </c>
      <c r="DG27" s="156">
        <v>4144.7700000000004</v>
      </c>
    </row>
    <row r="28" spans="1:111">
      <c r="A28" s="167" t="s">
        <v>481</v>
      </c>
      <c r="B28" s="658"/>
      <c r="C28" s="658"/>
      <c r="D28" s="658"/>
      <c r="E28" s="658"/>
      <c r="F28" s="658"/>
      <c r="G28" s="658"/>
      <c r="H28" s="658"/>
      <c r="I28" s="658"/>
      <c r="J28" s="658"/>
      <c r="K28" s="658"/>
      <c r="L28" s="658"/>
      <c r="M28" s="658"/>
      <c r="N28" s="658"/>
      <c r="O28" s="658"/>
      <c r="P28" s="658"/>
      <c r="Q28" s="658"/>
      <c r="R28" s="658"/>
      <c r="S28" s="658"/>
      <c r="T28" s="658"/>
      <c r="U28" s="658"/>
      <c r="V28" s="658"/>
      <c r="W28" s="658"/>
      <c r="X28" s="658"/>
      <c r="Y28" s="658"/>
      <c r="Z28" s="658"/>
      <c r="AA28" s="658"/>
      <c r="AB28" s="658"/>
      <c r="AC28" s="658"/>
      <c r="AD28" s="158"/>
      <c r="AE28" s="158"/>
      <c r="AF28" s="658"/>
      <c r="AG28" s="658"/>
      <c r="AH28" s="658"/>
      <c r="AI28" s="658"/>
      <c r="AJ28" s="658"/>
      <c r="AK28" s="658"/>
      <c r="AL28" s="658"/>
      <c r="AM28" s="658"/>
      <c r="AN28" s="658"/>
      <c r="AO28" s="658"/>
      <c r="AP28" s="658"/>
      <c r="AQ28" s="658"/>
      <c r="AR28" s="658"/>
      <c r="AS28" s="658"/>
      <c r="AT28" s="658"/>
      <c r="AU28" s="658"/>
      <c r="AV28" s="658"/>
      <c r="AW28" s="658"/>
      <c r="AX28" s="658"/>
      <c r="AY28" s="658"/>
      <c r="AZ28" s="658"/>
      <c r="BA28" s="658"/>
      <c r="BB28" s="658"/>
      <c r="BC28" s="658"/>
      <c r="BD28" s="658"/>
      <c r="BE28" s="658"/>
      <c r="BF28" s="658"/>
      <c r="BG28" s="658"/>
      <c r="BH28" s="658"/>
      <c r="BI28" s="658"/>
      <c r="BJ28" s="658"/>
      <c r="BK28" s="658"/>
      <c r="BL28" s="658"/>
      <c r="BM28" s="658"/>
      <c r="BN28" s="658"/>
      <c r="BO28" s="658"/>
      <c r="BP28" s="658"/>
      <c r="BQ28" s="658"/>
      <c r="BR28" s="658"/>
      <c r="BS28" s="658"/>
      <c r="BT28" s="658"/>
      <c r="BU28" s="658"/>
      <c r="BV28" s="658"/>
      <c r="BW28" s="658"/>
      <c r="BX28" s="658"/>
      <c r="BY28" s="658"/>
      <c r="BZ28" s="658"/>
      <c r="CA28" s="658"/>
      <c r="CB28" s="658"/>
      <c r="CC28" s="658"/>
      <c r="CD28" s="658"/>
      <c r="CE28" s="658"/>
      <c r="CF28" s="658"/>
      <c r="CG28" s="658"/>
      <c r="CH28" s="658"/>
      <c r="CI28" s="658"/>
      <c r="CJ28" s="658"/>
      <c r="CK28" s="658"/>
      <c r="CL28" s="658"/>
      <c r="CM28" s="658"/>
      <c r="CN28" s="658"/>
      <c r="CO28" s="658"/>
      <c r="CP28" s="658"/>
      <c r="CQ28" s="658"/>
      <c r="CR28" s="658"/>
      <c r="CS28" s="658"/>
      <c r="CT28" s="658"/>
      <c r="CU28" s="658"/>
      <c r="CV28" s="658"/>
      <c r="CW28" s="658"/>
      <c r="CX28" s="658"/>
      <c r="CZ28" s="658"/>
      <c r="DB28" s="156" t="s">
        <v>481</v>
      </c>
      <c r="DG28" s="156">
        <v>2.15</v>
      </c>
    </row>
    <row r="29" spans="1:111" ht="12.75">
      <c r="A29" s="165" t="s">
        <v>480</v>
      </c>
      <c r="B29" s="656"/>
      <c r="C29" s="656"/>
      <c r="D29" s="656"/>
      <c r="E29" s="656"/>
      <c r="F29" s="656"/>
      <c r="G29" s="656"/>
      <c r="H29" s="656"/>
      <c r="I29" s="656"/>
      <c r="J29" s="656"/>
      <c r="K29" s="656"/>
      <c r="L29" s="656"/>
      <c r="M29" s="656"/>
      <c r="N29" s="656"/>
      <c r="O29" s="656"/>
      <c r="P29" s="656"/>
      <c r="Q29" s="656"/>
      <c r="R29" s="656"/>
      <c r="S29" s="656"/>
      <c r="T29" s="656"/>
      <c r="U29" s="656"/>
      <c r="V29" s="656"/>
      <c r="W29" s="656"/>
      <c r="X29" s="656"/>
      <c r="Y29" s="656">
        <v>116.67008993</v>
      </c>
      <c r="Z29" s="656">
        <v>12.7878311</v>
      </c>
      <c r="AA29" s="656">
        <v>29.3724329</v>
      </c>
      <c r="AB29" s="656">
        <v>32.948581670000003</v>
      </c>
      <c r="AC29" s="656"/>
      <c r="AD29" s="158"/>
      <c r="AE29" s="158"/>
      <c r="AF29" s="656"/>
      <c r="AG29" s="656"/>
      <c r="AH29" s="656"/>
      <c r="AI29" s="656"/>
      <c r="AJ29" s="656"/>
      <c r="AK29" s="656"/>
      <c r="AL29" s="656"/>
      <c r="AM29" s="656"/>
      <c r="AN29" s="656"/>
      <c r="AO29" s="656"/>
      <c r="AP29" s="656"/>
      <c r="AQ29" s="656"/>
      <c r="AR29" s="656"/>
      <c r="AS29" s="656"/>
      <c r="AT29" s="656"/>
      <c r="AU29" s="656"/>
      <c r="AV29" s="656"/>
      <c r="AW29" s="656"/>
      <c r="AX29" s="656"/>
      <c r="AY29" s="656"/>
      <c r="AZ29" s="656"/>
      <c r="BA29" s="656"/>
      <c r="BB29" s="656"/>
      <c r="BC29" s="656"/>
      <c r="BD29" s="656"/>
      <c r="BE29" s="656"/>
      <c r="BF29" s="656"/>
      <c r="BG29" s="656"/>
      <c r="BH29" s="656"/>
      <c r="BI29" s="656"/>
      <c r="BJ29" s="656"/>
      <c r="BK29" s="656"/>
      <c r="BL29" s="656"/>
      <c r="BM29" s="656"/>
      <c r="BN29" s="656"/>
      <c r="BO29" s="656"/>
      <c r="BP29" s="656"/>
      <c r="BQ29" s="656"/>
      <c r="BR29" s="656"/>
      <c r="BS29" s="656"/>
      <c r="BT29" s="656"/>
      <c r="BU29" s="656"/>
      <c r="BV29" s="656"/>
      <c r="BW29" s="656"/>
      <c r="BX29" s="656"/>
      <c r="BY29" s="656"/>
      <c r="BZ29" s="656"/>
      <c r="CA29" s="656"/>
      <c r="CB29" s="656"/>
      <c r="CC29" s="656"/>
      <c r="CD29" s="656"/>
      <c r="CE29" s="656"/>
      <c r="CF29" s="656"/>
      <c r="CG29" s="656">
        <v>6.2103795100000001</v>
      </c>
      <c r="CH29" s="656">
        <v>18.405171070000002</v>
      </c>
      <c r="CI29" s="656">
        <v>116.67008993</v>
      </c>
      <c r="CJ29" s="656">
        <v>9.0390022499999993</v>
      </c>
      <c r="CK29" s="656">
        <v>32.879002479999997</v>
      </c>
      <c r="CL29" s="656">
        <v>44.929165900000001</v>
      </c>
      <c r="CM29" s="656">
        <v>12.7878311</v>
      </c>
      <c r="CN29" s="656">
        <v>31.60465378</v>
      </c>
      <c r="CO29" s="656">
        <v>72.317929159999991</v>
      </c>
      <c r="CP29" s="656">
        <v>62.836852110000002</v>
      </c>
      <c r="CQ29" s="656">
        <v>29.3724329</v>
      </c>
      <c r="CR29" s="656">
        <v>27.353914769999999</v>
      </c>
      <c r="CS29" s="656">
        <v>14.529543929999999</v>
      </c>
      <c r="CT29" s="656">
        <v>29.774980199999998</v>
      </c>
      <c r="CU29" s="656">
        <v>32.948581670000003</v>
      </c>
      <c r="CV29" s="656">
        <v>22.160317339999999</v>
      </c>
      <c r="CW29" s="656">
        <v>79.295974889999997</v>
      </c>
      <c r="CX29" s="656">
        <v>199.61290667</v>
      </c>
      <c r="CZ29" s="656" t="e">
        <v>#NAME?</v>
      </c>
      <c r="DB29" s="156" t="s">
        <v>480</v>
      </c>
      <c r="DG29" s="156">
        <v>39.61</v>
      </c>
    </row>
    <row r="30" spans="1:111" ht="12.75">
      <c r="A30" s="165" t="s">
        <v>479</v>
      </c>
      <c r="B30" s="656"/>
      <c r="C30" s="656"/>
      <c r="D30" s="656"/>
      <c r="E30" s="656"/>
      <c r="F30" s="656"/>
      <c r="G30" s="656"/>
      <c r="H30" s="656"/>
      <c r="I30" s="656"/>
      <c r="J30" s="656"/>
      <c r="K30" s="656"/>
      <c r="L30" s="656"/>
      <c r="M30" s="656"/>
      <c r="N30" s="656"/>
      <c r="O30" s="656"/>
      <c r="P30" s="656"/>
      <c r="Q30" s="656"/>
      <c r="R30" s="656"/>
      <c r="S30" s="656"/>
      <c r="T30" s="656"/>
      <c r="U30" s="656">
        <v>19.021000000000001</v>
      </c>
      <c r="V30" s="656">
        <v>13.060715949999999</v>
      </c>
      <c r="W30" s="656">
        <v>7.1893000999999996</v>
      </c>
      <c r="X30" s="656">
        <v>9.8371245799999993</v>
      </c>
      <c r="Y30" s="656">
        <v>22.52671557</v>
      </c>
      <c r="Z30" s="656">
        <v>70.018458499999994</v>
      </c>
      <c r="AA30" s="656">
        <v>141.56359981</v>
      </c>
      <c r="AB30" s="656">
        <v>95.315854420000008</v>
      </c>
      <c r="AC30" s="656"/>
      <c r="AD30" s="158"/>
      <c r="AE30" s="158"/>
      <c r="AF30" s="656"/>
      <c r="AG30" s="656"/>
      <c r="AH30" s="656"/>
      <c r="AI30" s="656"/>
      <c r="AJ30" s="656"/>
      <c r="AK30" s="656"/>
      <c r="AL30" s="656"/>
      <c r="AM30" s="656"/>
      <c r="AN30" s="656"/>
      <c r="AO30" s="656"/>
      <c r="AP30" s="656"/>
      <c r="AQ30" s="656"/>
      <c r="AR30" s="656"/>
      <c r="AS30" s="656"/>
      <c r="AT30" s="656"/>
      <c r="AU30" s="656"/>
      <c r="AV30" s="656"/>
      <c r="AW30" s="656"/>
      <c r="AX30" s="656"/>
      <c r="AY30" s="656"/>
      <c r="AZ30" s="656"/>
      <c r="BA30" s="656"/>
      <c r="BB30" s="656"/>
      <c r="BC30" s="656"/>
      <c r="BD30" s="656"/>
      <c r="BE30" s="656"/>
      <c r="BF30" s="656"/>
      <c r="BG30" s="656"/>
      <c r="BH30" s="656"/>
      <c r="BI30" s="656"/>
      <c r="BJ30" s="656"/>
      <c r="BK30" s="656"/>
      <c r="BL30" s="656"/>
      <c r="BM30" s="656"/>
      <c r="BN30" s="656"/>
      <c r="BO30" s="656"/>
      <c r="BP30" s="656"/>
      <c r="BQ30" s="656"/>
      <c r="BR30" s="656"/>
      <c r="BS30" s="656"/>
      <c r="BT30" s="656"/>
      <c r="BU30" s="656"/>
      <c r="BV30" s="656"/>
      <c r="BW30" s="656"/>
      <c r="BX30" s="656"/>
      <c r="BY30" s="656"/>
      <c r="BZ30" s="656"/>
      <c r="CA30" s="656"/>
      <c r="CB30" s="656">
        <v>1.09064915</v>
      </c>
      <c r="CC30" s="656">
        <v>3.9174000000000002</v>
      </c>
      <c r="CD30" s="656">
        <v>6.3418718299999997</v>
      </c>
      <c r="CE30" s="656">
        <v>9.8371245799999993</v>
      </c>
      <c r="CF30" s="656">
        <v>3.9421580199999999</v>
      </c>
      <c r="CG30" s="656">
        <v>9.5305684100000008</v>
      </c>
      <c r="CH30" s="656">
        <v>16.088007919999999</v>
      </c>
      <c r="CI30" s="656">
        <v>22.52671557</v>
      </c>
      <c r="CJ30" s="656">
        <v>4.6209256999999999</v>
      </c>
      <c r="CK30" s="656">
        <v>15.019116070000001</v>
      </c>
      <c r="CL30" s="656">
        <v>47.335365039999999</v>
      </c>
      <c r="CM30" s="656">
        <v>70.018458499999994</v>
      </c>
      <c r="CN30" s="656">
        <v>19.176182390000001</v>
      </c>
      <c r="CO30" s="656">
        <v>72.838272590000003</v>
      </c>
      <c r="CP30" s="656">
        <v>121.15671401</v>
      </c>
      <c r="CQ30" s="656">
        <v>141.56359981</v>
      </c>
      <c r="CR30" s="656">
        <v>8.6223378800000017</v>
      </c>
      <c r="CS30" s="656">
        <v>35.853332039999998</v>
      </c>
      <c r="CT30" s="656">
        <v>66.712738590000001</v>
      </c>
      <c r="CU30" s="656">
        <v>95.315854420000008</v>
      </c>
      <c r="CV30" s="656">
        <v>26.18870961</v>
      </c>
      <c r="CW30" s="656">
        <v>56.706210219999996</v>
      </c>
      <c r="CX30" s="656">
        <v>90.657264249999997</v>
      </c>
      <c r="CZ30" s="656" t="e">
        <v>#NAME?</v>
      </c>
      <c r="DB30" s="156" t="s">
        <v>479</v>
      </c>
      <c r="DG30" s="156">
        <v>4107.3100000000004</v>
      </c>
    </row>
    <row r="31" spans="1:111" ht="12.75">
      <c r="A31" s="165" t="s">
        <v>478</v>
      </c>
      <c r="B31" s="656"/>
      <c r="C31" s="656"/>
      <c r="D31" s="656"/>
      <c r="E31" s="656"/>
      <c r="F31" s="656"/>
      <c r="G31" s="656"/>
      <c r="H31" s="656"/>
      <c r="I31" s="656"/>
      <c r="J31" s="656"/>
      <c r="K31" s="656"/>
      <c r="L31" s="656"/>
      <c r="M31" s="656"/>
      <c r="N31" s="656"/>
      <c r="O31" s="656"/>
      <c r="P31" s="656"/>
      <c r="Q31" s="656"/>
      <c r="R31" s="656"/>
      <c r="S31" s="656"/>
      <c r="T31" s="656"/>
      <c r="U31" s="656"/>
      <c r="V31" s="656"/>
      <c r="W31" s="656"/>
      <c r="X31" s="656"/>
      <c r="Y31" s="656"/>
      <c r="Z31" s="656"/>
      <c r="AA31" s="656"/>
      <c r="AB31" s="656">
        <v>0</v>
      </c>
      <c r="AC31" s="656"/>
      <c r="AD31" s="158"/>
      <c r="AE31" s="158"/>
      <c r="AF31" s="656"/>
      <c r="AG31" s="656"/>
      <c r="AH31" s="656"/>
      <c r="AI31" s="656"/>
      <c r="AJ31" s="656"/>
      <c r="AK31" s="656"/>
      <c r="AL31" s="656"/>
      <c r="AM31" s="656"/>
      <c r="AN31" s="656"/>
      <c r="AO31" s="656"/>
      <c r="AP31" s="656"/>
      <c r="AQ31" s="656"/>
      <c r="AR31" s="656"/>
      <c r="AS31" s="656"/>
      <c r="AT31" s="656"/>
      <c r="AU31" s="656"/>
      <c r="AV31" s="656"/>
      <c r="AW31" s="656"/>
      <c r="AX31" s="656"/>
      <c r="AY31" s="656"/>
      <c r="AZ31" s="656"/>
      <c r="BA31" s="656"/>
      <c r="BB31" s="656"/>
      <c r="BC31" s="656"/>
      <c r="BD31" s="656"/>
      <c r="BE31" s="656"/>
      <c r="BF31" s="656"/>
      <c r="BG31" s="656"/>
      <c r="BH31" s="656"/>
      <c r="BI31" s="656"/>
      <c r="BJ31" s="656"/>
      <c r="BK31" s="656"/>
      <c r="BL31" s="656"/>
      <c r="BM31" s="656"/>
      <c r="BN31" s="656"/>
      <c r="BO31" s="656"/>
      <c r="BP31" s="656"/>
      <c r="BQ31" s="656"/>
      <c r="BR31" s="656"/>
      <c r="BS31" s="656"/>
      <c r="BT31" s="656"/>
      <c r="BU31" s="656"/>
      <c r="BV31" s="656"/>
      <c r="BW31" s="656"/>
      <c r="BX31" s="656"/>
      <c r="BY31" s="656"/>
      <c r="BZ31" s="656"/>
      <c r="CA31" s="656"/>
      <c r="CB31" s="656"/>
      <c r="CC31" s="656"/>
      <c r="CD31" s="656"/>
      <c r="CE31" s="656"/>
      <c r="CF31" s="656"/>
      <c r="CG31" s="656"/>
      <c r="CH31" s="656"/>
      <c r="CI31" s="656"/>
      <c r="CJ31" s="656"/>
      <c r="CK31" s="656"/>
      <c r="CL31" s="656"/>
      <c r="CM31" s="656"/>
      <c r="CN31" s="656"/>
      <c r="CO31" s="656"/>
      <c r="CP31" s="656"/>
      <c r="CQ31" s="656"/>
      <c r="CR31" s="656"/>
      <c r="CS31" s="656">
        <v>0</v>
      </c>
      <c r="CT31" s="656">
        <v>0</v>
      </c>
      <c r="CU31" s="656">
        <v>0</v>
      </c>
      <c r="CV31" s="656">
        <v>0</v>
      </c>
      <c r="CW31" s="656">
        <v>0</v>
      </c>
      <c r="CX31" s="656">
        <v>0</v>
      </c>
      <c r="CZ31" s="656" t="e">
        <v>#NAME?</v>
      </c>
      <c r="DB31" s="156" t="s">
        <v>478</v>
      </c>
      <c r="DG31" s="156">
        <v>780.88</v>
      </c>
    </row>
    <row r="32" spans="1:111" ht="12.75">
      <c r="A32" s="165" t="s">
        <v>477</v>
      </c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6"/>
      <c r="P32" s="656"/>
      <c r="Q32" s="656"/>
      <c r="R32" s="656"/>
      <c r="S32" s="656"/>
      <c r="T32" s="656"/>
      <c r="U32" s="656"/>
      <c r="V32" s="656"/>
      <c r="W32" s="656"/>
      <c r="X32" s="656"/>
      <c r="Y32" s="656"/>
      <c r="Z32" s="656"/>
      <c r="AA32" s="656"/>
      <c r="AB32" s="656">
        <v>0</v>
      </c>
      <c r="AC32" s="656"/>
      <c r="AD32" s="158"/>
      <c r="AE32" s="158"/>
      <c r="AF32" s="656"/>
      <c r="AG32" s="656"/>
      <c r="AH32" s="656"/>
      <c r="AI32" s="656"/>
      <c r="AJ32" s="656"/>
      <c r="AK32" s="656"/>
      <c r="AL32" s="656"/>
      <c r="AM32" s="656"/>
      <c r="AN32" s="656"/>
      <c r="AO32" s="656"/>
      <c r="AP32" s="656"/>
      <c r="AQ32" s="656"/>
      <c r="AR32" s="656"/>
      <c r="AS32" s="656"/>
      <c r="AT32" s="656"/>
      <c r="AU32" s="656"/>
      <c r="AV32" s="656"/>
      <c r="AW32" s="656"/>
      <c r="AX32" s="656"/>
      <c r="AY32" s="656"/>
      <c r="AZ32" s="656"/>
      <c r="BA32" s="656"/>
      <c r="BB32" s="656"/>
      <c r="BC32" s="656"/>
      <c r="BD32" s="656"/>
      <c r="BE32" s="656"/>
      <c r="BF32" s="656"/>
      <c r="BG32" s="656"/>
      <c r="BH32" s="656"/>
      <c r="BI32" s="656"/>
      <c r="BJ32" s="656"/>
      <c r="BK32" s="656"/>
      <c r="BL32" s="656"/>
      <c r="BM32" s="656"/>
      <c r="BN32" s="656"/>
      <c r="BO32" s="656"/>
      <c r="BP32" s="656"/>
      <c r="BQ32" s="656"/>
      <c r="BR32" s="656"/>
      <c r="BS32" s="656"/>
      <c r="BT32" s="656"/>
      <c r="BU32" s="656"/>
      <c r="BV32" s="656"/>
      <c r="BW32" s="656"/>
      <c r="BX32" s="656"/>
      <c r="BY32" s="656"/>
      <c r="BZ32" s="656"/>
      <c r="CA32" s="656"/>
      <c r="CB32" s="656"/>
      <c r="CC32" s="656"/>
      <c r="CD32" s="656"/>
      <c r="CE32" s="656"/>
      <c r="CF32" s="656"/>
      <c r="CG32" s="656"/>
      <c r="CH32" s="656"/>
      <c r="CI32" s="656"/>
      <c r="CJ32" s="656"/>
      <c r="CK32" s="656"/>
      <c r="CL32" s="656"/>
      <c r="CM32" s="656"/>
      <c r="CN32" s="656"/>
      <c r="CO32" s="656"/>
      <c r="CP32" s="656"/>
      <c r="CQ32" s="656"/>
      <c r="CR32" s="656"/>
      <c r="CS32" s="656">
        <v>0</v>
      </c>
      <c r="CT32" s="656">
        <v>0</v>
      </c>
      <c r="CU32" s="656">
        <v>0</v>
      </c>
      <c r="CV32" s="656">
        <v>0</v>
      </c>
      <c r="CW32" s="656">
        <v>0</v>
      </c>
      <c r="CX32" s="656">
        <v>0</v>
      </c>
      <c r="CZ32" s="656" t="e">
        <v>#NAME?</v>
      </c>
      <c r="DB32" s="156" t="s">
        <v>477</v>
      </c>
      <c r="DG32" s="156">
        <v>3326.43</v>
      </c>
    </row>
    <row r="33" spans="1:111" ht="12.75">
      <c r="A33" s="165" t="s">
        <v>476</v>
      </c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6"/>
      <c r="P33" s="656"/>
      <c r="Q33" s="656"/>
      <c r="R33" s="656"/>
      <c r="S33" s="656"/>
      <c r="T33" s="656"/>
      <c r="U33" s="656"/>
      <c r="V33" s="656"/>
      <c r="W33" s="656"/>
      <c r="X33" s="656"/>
      <c r="Y33" s="656"/>
      <c r="Z33" s="656"/>
      <c r="AA33" s="656"/>
      <c r="AB33" s="656">
        <v>0</v>
      </c>
      <c r="AC33" s="656"/>
      <c r="AD33" s="158"/>
      <c r="AE33" s="158"/>
      <c r="AF33" s="656"/>
      <c r="AG33" s="656"/>
      <c r="AH33" s="656"/>
      <c r="AI33" s="656"/>
      <c r="AJ33" s="656"/>
      <c r="AK33" s="656"/>
      <c r="AL33" s="656"/>
      <c r="AM33" s="656"/>
      <c r="AN33" s="656"/>
      <c r="AO33" s="656"/>
      <c r="AP33" s="656"/>
      <c r="AQ33" s="656"/>
      <c r="AR33" s="656"/>
      <c r="AS33" s="656"/>
      <c r="AT33" s="656"/>
      <c r="AU33" s="656"/>
      <c r="AV33" s="656"/>
      <c r="AW33" s="656"/>
      <c r="AX33" s="656"/>
      <c r="AY33" s="656"/>
      <c r="AZ33" s="656"/>
      <c r="BA33" s="656"/>
      <c r="BB33" s="656"/>
      <c r="BC33" s="656"/>
      <c r="BD33" s="656"/>
      <c r="BE33" s="656"/>
      <c r="BF33" s="656"/>
      <c r="BG33" s="656"/>
      <c r="BH33" s="656"/>
      <c r="BI33" s="656"/>
      <c r="BJ33" s="656"/>
      <c r="BK33" s="656"/>
      <c r="BL33" s="656"/>
      <c r="BM33" s="656"/>
      <c r="BN33" s="656"/>
      <c r="BO33" s="656"/>
      <c r="BP33" s="656"/>
      <c r="BQ33" s="656"/>
      <c r="BR33" s="656"/>
      <c r="BS33" s="656"/>
      <c r="BT33" s="656"/>
      <c r="BU33" s="656"/>
      <c r="BV33" s="656"/>
      <c r="BW33" s="656"/>
      <c r="BX33" s="656"/>
      <c r="BY33" s="656"/>
      <c r="BZ33" s="656"/>
      <c r="CA33" s="656"/>
      <c r="CB33" s="656"/>
      <c r="CC33" s="656"/>
      <c r="CD33" s="656"/>
      <c r="CE33" s="656"/>
      <c r="CF33" s="656"/>
      <c r="CG33" s="656"/>
      <c r="CH33" s="656"/>
      <c r="CI33" s="656"/>
      <c r="CJ33" s="656"/>
      <c r="CK33" s="656"/>
      <c r="CL33" s="656"/>
      <c r="CM33" s="656"/>
      <c r="CN33" s="656"/>
      <c r="CO33" s="656"/>
      <c r="CP33" s="656"/>
      <c r="CQ33" s="656"/>
      <c r="CR33" s="656"/>
      <c r="CS33" s="656">
        <v>0</v>
      </c>
      <c r="CT33" s="656">
        <v>0</v>
      </c>
      <c r="CU33" s="656">
        <v>0</v>
      </c>
      <c r="CV33" s="656">
        <v>0</v>
      </c>
      <c r="CW33" s="656">
        <v>0</v>
      </c>
      <c r="CX33" s="656">
        <v>0</v>
      </c>
      <c r="CZ33" s="656" t="e">
        <v>#NAME?</v>
      </c>
      <c r="DB33" s="156" t="s">
        <v>476</v>
      </c>
      <c r="DG33" s="156">
        <v>-0.28000000000000003</v>
      </c>
    </row>
    <row r="34" spans="1:111" ht="12.75">
      <c r="A34" s="165" t="s">
        <v>475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>
        <v>-1E-4</v>
      </c>
      <c r="V34" s="656"/>
      <c r="W34" s="656"/>
      <c r="X34" s="656"/>
      <c r="Y34" s="656"/>
      <c r="Z34" s="656"/>
      <c r="AA34" s="656"/>
      <c r="AB34" s="656">
        <v>0</v>
      </c>
      <c r="AC34" s="656"/>
      <c r="AD34" s="158"/>
      <c r="AE34" s="158"/>
      <c r="AF34" s="656"/>
      <c r="AG34" s="656"/>
      <c r="AH34" s="656"/>
      <c r="AI34" s="656"/>
      <c r="AJ34" s="656"/>
      <c r="AK34" s="656"/>
      <c r="AL34" s="656"/>
      <c r="AM34" s="656"/>
      <c r="AN34" s="656"/>
      <c r="AO34" s="656"/>
      <c r="AP34" s="656"/>
      <c r="AQ34" s="656"/>
      <c r="AR34" s="656"/>
      <c r="AS34" s="656"/>
      <c r="AT34" s="656"/>
      <c r="AU34" s="656"/>
      <c r="AV34" s="656"/>
      <c r="AW34" s="656"/>
      <c r="AX34" s="656"/>
      <c r="AY34" s="656"/>
      <c r="AZ34" s="656"/>
      <c r="BA34" s="656"/>
      <c r="BB34" s="656"/>
      <c r="BC34" s="656"/>
      <c r="BD34" s="656"/>
      <c r="BE34" s="656"/>
      <c r="BF34" s="656"/>
      <c r="BG34" s="656"/>
      <c r="BH34" s="656"/>
      <c r="BI34" s="656"/>
      <c r="BJ34" s="656"/>
      <c r="BK34" s="656"/>
      <c r="BL34" s="656"/>
      <c r="BM34" s="656"/>
      <c r="BN34" s="656"/>
      <c r="BO34" s="656"/>
      <c r="BP34" s="656"/>
      <c r="BQ34" s="656"/>
      <c r="BR34" s="656"/>
      <c r="BS34" s="656"/>
      <c r="BT34" s="656"/>
      <c r="BU34" s="656"/>
      <c r="BV34" s="656"/>
      <c r="BW34" s="656"/>
      <c r="BX34" s="656"/>
      <c r="BY34" s="656"/>
      <c r="BZ34" s="656"/>
      <c r="CA34" s="656"/>
      <c r="CB34" s="656"/>
      <c r="CC34" s="656"/>
      <c r="CD34" s="656"/>
      <c r="CE34" s="656"/>
      <c r="CF34" s="656"/>
      <c r="CG34" s="656"/>
      <c r="CH34" s="656"/>
      <c r="CI34" s="656"/>
      <c r="CJ34" s="656"/>
      <c r="CK34" s="656"/>
      <c r="CL34" s="656"/>
      <c r="CM34" s="656"/>
      <c r="CN34" s="656"/>
      <c r="CO34" s="656"/>
      <c r="CP34" s="656"/>
      <c r="CQ34" s="656"/>
      <c r="CR34" s="656"/>
      <c r="CS34" s="656">
        <v>0</v>
      </c>
      <c r="CT34" s="656">
        <v>0</v>
      </c>
      <c r="CU34" s="656">
        <v>0</v>
      </c>
      <c r="CV34" s="656">
        <v>0</v>
      </c>
      <c r="CW34" s="656">
        <v>0</v>
      </c>
      <c r="CX34" s="656">
        <v>0</v>
      </c>
      <c r="CZ34" s="656" t="e">
        <v>#NAME?</v>
      </c>
      <c r="DB34" s="156" t="s">
        <v>475</v>
      </c>
      <c r="DG34" s="156">
        <v>3326.71</v>
      </c>
    </row>
    <row r="35" spans="1:111" ht="12.75">
      <c r="A35" s="165" t="s">
        <v>1077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>
        <v>10.3</v>
      </c>
      <c r="V35" s="656">
        <v>25.5671</v>
      </c>
      <c r="W35" s="656">
        <v>16.186299999999999</v>
      </c>
      <c r="X35" s="656">
        <v>23.403700000000001</v>
      </c>
      <c r="Y35" s="656">
        <v>22.13032961</v>
      </c>
      <c r="Z35" s="656">
        <v>54.124659340000001</v>
      </c>
      <c r="AA35" s="656">
        <v>69.936746679999999</v>
      </c>
      <c r="AB35" s="656">
        <v>58.834579660000003</v>
      </c>
      <c r="AC35" s="656"/>
      <c r="AD35" s="158"/>
      <c r="AE35" s="158"/>
      <c r="AF35" s="656"/>
      <c r="AG35" s="656"/>
      <c r="AH35" s="656"/>
      <c r="AI35" s="656"/>
      <c r="AJ35" s="656"/>
      <c r="AK35" s="656"/>
      <c r="AL35" s="656"/>
      <c r="AM35" s="656"/>
      <c r="AN35" s="656"/>
      <c r="AO35" s="656"/>
      <c r="AP35" s="656"/>
      <c r="AQ35" s="656"/>
      <c r="AR35" s="656"/>
      <c r="AS35" s="656"/>
      <c r="AT35" s="656"/>
      <c r="AU35" s="656"/>
      <c r="AV35" s="656"/>
      <c r="AW35" s="656"/>
      <c r="AX35" s="656"/>
      <c r="AY35" s="656"/>
      <c r="AZ35" s="656"/>
      <c r="BA35" s="656"/>
      <c r="BB35" s="656"/>
      <c r="BC35" s="656"/>
      <c r="BD35" s="656"/>
      <c r="BE35" s="656"/>
      <c r="BF35" s="656"/>
      <c r="BG35" s="656"/>
      <c r="BH35" s="656"/>
      <c r="BI35" s="656"/>
      <c r="BJ35" s="656"/>
      <c r="BK35" s="656"/>
      <c r="BL35" s="656"/>
      <c r="BM35" s="656"/>
      <c r="BN35" s="656"/>
      <c r="BO35" s="656"/>
      <c r="BP35" s="656"/>
      <c r="BQ35" s="656"/>
      <c r="BR35" s="656"/>
      <c r="BS35" s="656"/>
      <c r="BT35" s="656"/>
      <c r="BU35" s="656"/>
      <c r="BV35" s="656"/>
      <c r="BW35" s="656"/>
      <c r="BX35" s="656"/>
      <c r="BY35" s="656"/>
      <c r="BZ35" s="656"/>
      <c r="CA35" s="656"/>
      <c r="CB35" s="656">
        <v>1.1299999999999999</v>
      </c>
      <c r="CC35" s="656">
        <v>6.93</v>
      </c>
      <c r="CD35" s="656">
        <v>16.239999999999998</v>
      </c>
      <c r="CE35" s="656">
        <v>23.4</v>
      </c>
      <c r="CF35" s="656">
        <v>3.4330098000000002</v>
      </c>
      <c r="CG35" s="656">
        <v>11.25573007</v>
      </c>
      <c r="CH35" s="656">
        <v>14.5530551</v>
      </c>
      <c r="CI35" s="656">
        <v>22.13032961</v>
      </c>
      <c r="CJ35" s="656">
        <v>4.4699807499999995</v>
      </c>
      <c r="CK35" s="656">
        <v>9.1197664499999984</v>
      </c>
      <c r="CL35" s="656">
        <v>55.985919879999997</v>
      </c>
      <c r="CM35" s="656">
        <v>54.124659340000001</v>
      </c>
      <c r="CN35" s="656">
        <v>8.6078136599999997</v>
      </c>
      <c r="CO35" s="656">
        <v>10.467810159999999</v>
      </c>
      <c r="CP35" s="656">
        <v>25.563701720000001</v>
      </c>
      <c r="CQ35" s="656">
        <v>69.936746679999999</v>
      </c>
      <c r="CR35" s="656">
        <v>11.483304520000001</v>
      </c>
      <c r="CS35" s="656">
        <v>17.146739900000004</v>
      </c>
      <c r="CT35" s="656">
        <v>24.0333392</v>
      </c>
      <c r="CU35" s="656">
        <v>58.834579660000003</v>
      </c>
      <c r="CV35" s="656">
        <v>7.4950335399999997</v>
      </c>
      <c r="CW35" s="656">
        <v>43.539441240000002</v>
      </c>
      <c r="CX35" s="656">
        <v>64.584968619999998</v>
      </c>
      <c r="CZ35" s="656" t="e">
        <v>#NAME?</v>
      </c>
      <c r="DB35" s="165" t="s">
        <v>1066</v>
      </c>
    </row>
    <row r="36" spans="1:111" ht="12.75">
      <c r="A36" s="167" t="s">
        <v>474</v>
      </c>
      <c r="B36" s="655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>
        <v>399.16430000000003</v>
      </c>
      <c r="V36" s="655">
        <v>274.90735451999996</v>
      </c>
      <c r="W36" s="655">
        <v>740.63245458000006</v>
      </c>
      <c r="X36" s="655">
        <v>1050.3005483700001</v>
      </c>
      <c r="Y36" s="655">
        <v>1528.5573045599999</v>
      </c>
      <c r="Z36" s="655">
        <v>1854.26666712</v>
      </c>
      <c r="AA36" s="655">
        <v>2588.36773988</v>
      </c>
      <c r="AB36" s="655">
        <v>4144.7700357200001</v>
      </c>
      <c r="AC36" s="655"/>
      <c r="AE36" s="158"/>
      <c r="AF36" s="655"/>
      <c r="AG36" s="655"/>
      <c r="AH36" s="655"/>
      <c r="AI36" s="655"/>
      <c r="AJ36" s="655"/>
      <c r="AK36" s="655"/>
      <c r="AL36" s="655"/>
      <c r="AM36" s="655"/>
      <c r="AN36" s="655"/>
      <c r="AO36" s="655"/>
      <c r="AP36" s="655"/>
      <c r="AQ36" s="655"/>
      <c r="AR36" s="655"/>
      <c r="AS36" s="655"/>
      <c r="AT36" s="655"/>
      <c r="AU36" s="655"/>
      <c r="AV36" s="655"/>
      <c r="AW36" s="655"/>
      <c r="AX36" s="655"/>
      <c r="AY36" s="655"/>
      <c r="AZ36" s="655"/>
      <c r="BA36" s="655"/>
      <c r="BB36" s="655"/>
      <c r="BC36" s="655"/>
      <c r="BD36" s="655"/>
      <c r="BE36" s="655"/>
      <c r="BF36" s="655"/>
      <c r="BG36" s="655"/>
      <c r="BH36" s="655"/>
      <c r="BI36" s="655"/>
      <c r="BJ36" s="655"/>
      <c r="BK36" s="655"/>
      <c r="BL36" s="655"/>
      <c r="BM36" s="655"/>
      <c r="BN36" s="655"/>
      <c r="BO36" s="655"/>
      <c r="BP36" s="655"/>
      <c r="BQ36" s="655"/>
      <c r="BR36" s="655"/>
      <c r="BS36" s="655"/>
      <c r="BT36" s="655"/>
      <c r="BU36" s="655"/>
      <c r="BV36" s="655"/>
      <c r="BW36" s="655"/>
      <c r="BX36" s="655"/>
      <c r="BY36" s="655"/>
      <c r="BZ36" s="655"/>
      <c r="CA36" s="655"/>
      <c r="CB36" s="655">
        <v>211.02208365000001</v>
      </c>
      <c r="CC36" s="655">
        <v>584.19100000000003</v>
      </c>
      <c r="CD36" s="655">
        <v>917.18037862000006</v>
      </c>
      <c r="CE36" s="655">
        <v>1050.3005483700001</v>
      </c>
      <c r="CF36" s="655">
        <v>438.96146676999996</v>
      </c>
      <c r="CG36" s="655">
        <v>867.11458802999994</v>
      </c>
      <c r="CH36" s="655">
        <v>1273.1624107999999</v>
      </c>
      <c r="CI36" s="655">
        <v>1528.5573045599999</v>
      </c>
      <c r="CJ36" s="655">
        <v>439.65389766999999</v>
      </c>
      <c r="CK36" s="655">
        <v>965.21748321000007</v>
      </c>
      <c r="CL36" s="655">
        <v>1497.0838072399999</v>
      </c>
      <c r="CM36" s="655">
        <v>1854.26666712</v>
      </c>
      <c r="CN36" s="655">
        <v>640.88753555999995</v>
      </c>
      <c r="CO36" s="655">
        <v>1401.37160877</v>
      </c>
      <c r="CP36" s="655">
        <v>2090.0583812099999</v>
      </c>
      <c r="CQ36" s="655">
        <v>2588.36773988</v>
      </c>
      <c r="CR36" s="655">
        <v>834.72060932000011</v>
      </c>
      <c r="CS36" s="655">
        <v>2149.7808918999999</v>
      </c>
      <c r="CT36" s="655">
        <v>3367.94561393</v>
      </c>
      <c r="CU36" s="655">
        <v>4144.7700357200001</v>
      </c>
      <c r="CV36" s="655">
        <v>1238.5203664100002</v>
      </c>
      <c r="CW36" s="655">
        <v>3006.7668809499996</v>
      </c>
      <c r="CX36" s="655">
        <v>4784.4772738299998</v>
      </c>
      <c r="CZ36" s="655" t="e">
        <v>#NAME?</v>
      </c>
      <c r="DB36" s="156" t="s">
        <v>474</v>
      </c>
    </row>
    <row r="37" spans="1:111" ht="12.75">
      <c r="A37" s="165" t="s">
        <v>473</v>
      </c>
      <c r="B37" s="656"/>
      <c r="C37" s="656"/>
      <c r="D37" s="656"/>
      <c r="E37" s="656"/>
      <c r="F37" s="656"/>
      <c r="G37" s="656"/>
      <c r="H37" s="656"/>
      <c r="I37" s="656"/>
      <c r="J37" s="656"/>
      <c r="K37" s="656"/>
      <c r="L37" s="656"/>
      <c r="M37" s="656"/>
      <c r="N37" s="656"/>
      <c r="O37" s="656"/>
      <c r="P37" s="656"/>
      <c r="Q37" s="656"/>
      <c r="R37" s="656"/>
      <c r="S37" s="656"/>
      <c r="T37" s="656"/>
      <c r="U37" s="656">
        <v>0.7278</v>
      </c>
      <c r="V37" s="656">
        <v>1.41045581</v>
      </c>
      <c r="W37" s="656">
        <v>1.79897818</v>
      </c>
      <c r="X37" s="656">
        <v>1.97485548</v>
      </c>
      <c r="Y37" s="656">
        <v>2.1570988600000001</v>
      </c>
      <c r="Z37" s="656">
        <v>2.3318254900000004</v>
      </c>
      <c r="AA37" s="656">
        <v>2.1691309400000001</v>
      </c>
      <c r="AB37" s="656">
        <v>2.15025055</v>
      </c>
      <c r="AC37" s="656"/>
      <c r="AD37" s="158"/>
      <c r="AE37" s="158"/>
      <c r="AF37" s="656"/>
      <c r="AG37" s="656"/>
      <c r="AH37" s="656"/>
      <c r="AI37" s="656"/>
      <c r="AJ37" s="656"/>
      <c r="AK37" s="656"/>
      <c r="AL37" s="656"/>
      <c r="AM37" s="656"/>
      <c r="AN37" s="656"/>
      <c r="AO37" s="656"/>
      <c r="AP37" s="656"/>
      <c r="AQ37" s="656"/>
      <c r="AR37" s="656"/>
      <c r="AS37" s="656"/>
      <c r="AT37" s="656"/>
      <c r="AU37" s="656"/>
      <c r="AV37" s="656"/>
      <c r="AW37" s="656"/>
      <c r="AX37" s="656"/>
      <c r="AY37" s="656"/>
      <c r="AZ37" s="656"/>
      <c r="BA37" s="656"/>
      <c r="BB37" s="656"/>
      <c r="BC37" s="656"/>
      <c r="BD37" s="656"/>
      <c r="BE37" s="656"/>
      <c r="BF37" s="656"/>
      <c r="BG37" s="656"/>
      <c r="BH37" s="656"/>
      <c r="BI37" s="656"/>
      <c r="BJ37" s="656"/>
      <c r="BK37" s="656"/>
      <c r="BL37" s="656"/>
      <c r="BM37" s="656"/>
      <c r="BN37" s="656"/>
      <c r="BO37" s="656"/>
      <c r="BP37" s="656"/>
      <c r="BQ37" s="656"/>
      <c r="BR37" s="656"/>
      <c r="BS37" s="656"/>
      <c r="BT37" s="656"/>
      <c r="BU37" s="656"/>
      <c r="BV37" s="656"/>
      <c r="BW37" s="656"/>
      <c r="BX37" s="656"/>
      <c r="BY37" s="656"/>
      <c r="BZ37" s="656"/>
      <c r="CA37" s="656"/>
      <c r="CB37" s="656">
        <v>9.1178549999999997E-2</v>
      </c>
      <c r="CC37" s="656">
        <v>0.63549999999999995</v>
      </c>
      <c r="CD37" s="656">
        <v>1.4577511200000002</v>
      </c>
      <c r="CE37" s="656">
        <v>1.97485548</v>
      </c>
      <c r="CF37" s="656">
        <v>0.51280652999999998</v>
      </c>
      <c r="CG37" s="656">
        <v>1.1791737900000001</v>
      </c>
      <c r="CH37" s="656">
        <v>1.72826093</v>
      </c>
      <c r="CI37" s="656">
        <v>2.1570988600000001</v>
      </c>
      <c r="CJ37" s="656">
        <v>0.41052686999999999</v>
      </c>
      <c r="CK37" s="656">
        <v>1.16757292</v>
      </c>
      <c r="CL37" s="656">
        <v>2.0073235299999999</v>
      </c>
      <c r="CM37" s="656">
        <v>2.3318254900000004</v>
      </c>
      <c r="CN37" s="656">
        <v>0.42915087000000002</v>
      </c>
      <c r="CO37" s="656">
        <v>1.2054724800000001</v>
      </c>
      <c r="CP37" s="656">
        <v>1.7073035300000001</v>
      </c>
      <c r="CQ37" s="656">
        <v>2.1691309400000001</v>
      </c>
      <c r="CR37" s="656">
        <v>0.43900358</v>
      </c>
      <c r="CS37" s="656">
        <v>0.93164347999999997</v>
      </c>
      <c r="CT37" s="656">
        <v>1.51370498</v>
      </c>
      <c r="CU37" s="656">
        <v>2.15025055</v>
      </c>
      <c r="CV37" s="656">
        <v>1.4393161399999999</v>
      </c>
      <c r="CW37" s="656">
        <v>4.3003498499999999</v>
      </c>
      <c r="CX37" s="656">
        <v>8.3696209699999997</v>
      </c>
      <c r="CZ37" s="656" t="e">
        <v>#NAME?</v>
      </c>
      <c r="DB37" s="156" t="s">
        <v>473</v>
      </c>
      <c r="DG37" s="156">
        <v>6.4</v>
      </c>
    </row>
    <row r="38" spans="1:111" ht="12.75">
      <c r="A38" s="165" t="s">
        <v>472</v>
      </c>
      <c r="B38" s="656"/>
      <c r="C38" s="656"/>
      <c r="D38" s="656"/>
      <c r="E38" s="656"/>
      <c r="F38" s="656"/>
      <c r="G38" s="656"/>
      <c r="H38" s="656"/>
      <c r="I38" s="656"/>
      <c r="J38" s="656"/>
      <c r="K38" s="656"/>
      <c r="L38" s="656"/>
      <c r="M38" s="656"/>
      <c r="N38" s="656"/>
      <c r="O38" s="656"/>
      <c r="P38" s="656"/>
      <c r="Q38" s="656"/>
      <c r="R38" s="656"/>
      <c r="S38" s="656"/>
      <c r="T38" s="656"/>
      <c r="U38" s="656">
        <v>10.0839</v>
      </c>
      <c r="V38" s="656">
        <v>2.9899178900000001</v>
      </c>
      <c r="W38" s="656">
        <v>5.9285022999999999</v>
      </c>
      <c r="X38" s="656">
        <v>22.725754260000002</v>
      </c>
      <c r="Y38" s="656">
        <v>17.197589010000002</v>
      </c>
      <c r="Z38" s="656">
        <v>20.588743179999998</v>
      </c>
      <c r="AA38" s="656">
        <v>11.26593523</v>
      </c>
      <c r="AB38" s="656">
        <v>39.607987569999999</v>
      </c>
      <c r="AC38" s="656"/>
      <c r="AD38" s="158"/>
      <c r="AE38" s="158"/>
      <c r="AF38" s="656"/>
      <c r="AG38" s="656"/>
      <c r="AH38" s="656"/>
      <c r="AI38" s="656"/>
      <c r="AJ38" s="656"/>
      <c r="AK38" s="656"/>
      <c r="AL38" s="656"/>
      <c r="AM38" s="656"/>
      <c r="AN38" s="656"/>
      <c r="AO38" s="656"/>
      <c r="AP38" s="656"/>
      <c r="AQ38" s="656"/>
      <c r="AR38" s="656"/>
      <c r="AS38" s="656"/>
      <c r="AT38" s="656"/>
      <c r="AU38" s="656"/>
      <c r="AV38" s="656"/>
      <c r="AW38" s="656"/>
      <c r="AX38" s="656"/>
      <c r="AY38" s="656"/>
      <c r="AZ38" s="656"/>
      <c r="BA38" s="656"/>
      <c r="BB38" s="656"/>
      <c r="BC38" s="656"/>
      <c r="BD38" s="656"/>
      <c r="BE38" s="656"/>
      <c r="BF38" s="656"/>
      <c r="BG38" s="656"/>
      <c r="BH38" s="656"/>
      <c r="BI38" s="656"/>
      <c r="BJ38" s="656"/>
      <c r="BK38" s="656"/>
      <c r="BL38" s="656"/>
      <c r="BM38" s="656"/>
      <c r="BN38" s="656"/>
      <c r="BO38" s="656"/>
      <c r="BP38" s="656"/>
      <c r="BQ38" s="656"/>
      <c r="BR38" s="656"/>
      <c r="BS38" s="656"/>
      <c r="BT38" s="656"/>
      <c r="BU38" s="656"/>
      <c r="BV38" s="656"/>
      <c r="BW38" s="656"/>
      <c r="BX38" s="656"/>
      <c r="BY38" s="656"/>
      <c r="BZ38" s="656"/>
      <c r="CA38" s="656"/>
      <c r="CB38" s="656">
        <v>12.992520369999999</v>
      </c>
      <c r="CC38" s="656">
        <v>19.886600000000001</v>
      </c>
      <c r="CD38" s="656">
        <v>20.922125229999999</v>
      </c>
      <c r="CE38" s="656">
        <v>22.725754260000002</v>
      </c>
      <c r="CF38" s="656">
        <v>1.1763711399999999</v>
      </c>
      <c r="CG38" s="656">
        <v>8.4275833900000006</v>
      </c>
      <c r="CH38" s="656">
        <v>11.61116634</v>
      </c>
      <c r="CI38" s="656">
        <v>17.197589010000002</v>
      </c>
      <c r="CJ38" s="656">
        <v>0.70651444999999991</v>
      </c>
      <c r="CK38" s="656">
        <v>5.3736754800000002</v>
      </c>
      <c r="CL38" s="656">
        <v>16.258208070000002</v>
      </c>
      <c r="CM38" s="656">
        <v>20.588743179999998</v>
      </c>
      <c r="CN38" s="656">
        <v>2.2665029999999999E-2</v>
      </c>
      <c r="CO38" s="656">
        <v>0.41130435999999998</v>
      </c>
      <c r="CP38" s="656">
        <v>9.6258042100000001</v>
      </c>
      <c r="CQ38" s="656">
        <v>11.26593523</v>
      </c>
      <c r="CR38" s="656">
        <v>5.4413695199999994</v>
      </c>
      <c r="CS38" s="656">
        <v>8.7711849499999985</v>
      </c>
      <c r="CT38" s="656">
        <v>15.485800019999999</v>
      </c>
      <c r="CU38" s="656">
        <v>39.607987569999999</v>
      </c>
      <c r="CV38" s="656">
        <v>6.7696148899999997</v>
      </c>
      <c r="CW38" s="656">
        <v>9.49775539</v>
      </c>
      <c r="CX38" s="656">
        <v>15.069508410000001</v>
      </c>
      <c r="CZ38" s="656" t="e">
        <v>#NAME?</v>
      </c>
      <c r="DB38" s="156" t="s">
        <v>472</v>
      </c>
      <c r="DG38" s="156">
        <v>6.4</v>
      </c>
    </row>
    <row r="39" spans="1:111" ht="12.75">
      <c r="A39" s="165" t="s">
        <v>471</v>
      </c>
      <c r="B39" s="656"/>
      <c r="C39" s="656"/>
      <c r="D39" s="656"/>
      <c r="E39" s="656"/>
      <c r="F39" s="656"/>
      <c r="G39" s="656"/>
      <c r="H39" s="656"/>
      <c r="I39" s="656"/>
      <c r="J39" s="656"/>
      <c r="K39" s="656"/>
      <c r="L39" s="656"/>
      <c r="M39" s="656"/>
      <c r="N39" s="656"/>
      <c r="O39" s="656"/>
      <c r="P39" s="656"/>
      <c r="Q39" s="656"/>
      <c r="R39" s="656"/>
      <c r="S39" s="656"/>
      <c r="T39" s="656"/>
      <c r="U39" s="656"/>
      <c r="V39" s="656"/>
      <c r="W39" s="656"/>
      <c r="X39" s="656"/>
      <c r="Y39" s="656"/>
      <c r="Z39" s="656"/>
      <c r="AA39" s="656"/>
      <c r="AB39" s="656">
        <v>0</v>
      </c>
      <c r="AC39" s="656"/>
      <c r="AD39" s="158"/>
      <c r="AE39" s="158"/>
      <c r="AF39" s="656"/>
      <c r="AG39" s="656"/>
      <c r="AH39" s="656"/>
      <c r="AI39" s="656"/>
      <c r="AJ39" s="656"/>
      <c r="AK39" s="656"/>
      <c r="AL39" s="656"/>
      <c r="AM39" s="656"/>
      <c r="AN39" s="656"/>
      <c r="AO39" s="656"/>
      <c r="AP39" s="656"/>
      <c r="AQ39" s="656"/>
      <c r="AR39" s="656"/>
      <c r="AS39" s="656"/>
      <c r="AT39" s="656"/>
      <c r="AU39" s="656"/>
      <c r="AV39" s="656"/>
      <c r="AW39" s="656"/>
      <c r="AX39" s="656"/>
      <c r="AY39" s="656"/>
      <c r="AZ39" s="656"/>
      <c r="BA39" s="656"/>
      <c r="BB39" s="656"/>
      <c r="BC39" s="656"/>
      <c r="BD39" s="656"/>
      <c r="BE39" s="656"/>
      <c r="BF39" s="656"/>
      <c r="BG39" s="656"/>
      <c r="BH39" s="656"/>
      <c r="BI39" s="656"/>
      <c r="BJ39" s="656"/>
      <c r="BK39" s="656"/>
      <c r="BL39" s="656"/>
      <c r="BM39" s="656"/>
      <c r="BN39" s="656"/>
      <c r="BO39" s="656"/>
      <c r="BP39" s="656"/>
      <c r="BQ39" s="656"/>
      <c r="BR39" s="656"/>
      <c r="BS39" s="656"/>
      <c r="BT39" s="656"/>
      <c r="BU39" s="656"/>
      <c r="BV39" s="656"/>
      <c r="BW39" s="656"/>
      <c r="BX39" s="656"/>
      <c r="BY39" s="656"/>
      <c r="BZ39" s="656"/>
      <c r="CA39" s="656"/>
      <c r="CB39" s="656"/>
      <c r="CC39" s="656"/>
      <c r="CD39" s="656"/>
      <c r="CE39" s="656"/>
      <c r="CF39" s="656"/>
      <c r="CG39" s="656"/>
      <c r="CH39" s="656"/>
      <c r="CI39" s="656"/>
      <c r="CJ39" s="656"/>
      <c r="CK39" s="656"/>
      <c r="CL39" s="656"/>
      <c r="CM39" s="656"/>
      <c r="CN39" s="656"/>
      <c r="CO39" s="656"/>
      <c r="CP39" s="656"/>
      <c r="CQ39" s="656"/>
      <c r="CR39" s="656"/>
      <c r="CS39" s="656">
        <v>0</v>
      </c>
      <c r="CT39" s="656">
        <v>0</v>
      </c>
      <c r="CU39" s="656">
        <v>0</v>
      </c>
      <c r="CV39" s="656">
        <v>0</v>
      </c>
      <c r="CW39" s="656">
        <v>0</v>
      </c>
      <c r="CX39" s="656">
        <v>0</v>
      </c>
      <c r="CZ39" s="656" t="e">
        <v>#NAME?</v>
      </c>
      <c r="DB39" s="156" t="s">
        <v>471</v>
      </c>
    </row>
    <row r="40" spans="1:111" ht="12.75">
      <c r="A40" s="165" t="s">
        <v>470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56"/>
      <c r="AB40" s="656">
        <v>0</v>
      </c>
      <c r="AC40" s="656"/>
      <c r="AD40" s="158"/>
      <c r="AE40" s="158"/>
      <c r="AF40" s="656"/>
      <c r="AG40" s="656"/>
      <c r="AH40" s="656"/>
      <c r="AI40" s="656"/>
      <c r="AJ40" s="656"/>
      <c r="AK40" s="656"/>
      <c r="AL40" s="656"/>
      <c r="AM40" s="656"/>
      <c r="AN40" s="656"/>
      <c r="AO40" s="656"/>
      <c r="AP40" s="656"/>
      <c r="AQ40" s="656"/>
      <c r="AR40" s="656"/>
      <c r="AS40" s="656"/>
      <c r="AT40" s="656"/>
      <c r="AU40" s="656"/>
      <c r="AV40" s="656"/>
      <c r="AW40" s="656"/>
      <c r="AX40" s="656"/>
      <c r="AY40" s="656"/>
      <c r="AZ40" s="656"/>
      <c r="BA40" s="656"/>
      <c r="BB40" s="656"/>
      <c r="BC40" s="656"/>
      <c r="BD40" s="656"/>
      <c r="BE40" s="656"/>
      <c r="BF40" s="656"/>
      <c r="BG40" s="656"/>
      <c r="BH40" s="656"/>
      <c r="BI40" s="656"/>
      <c r="BJ40" s="656"/>
      <c r="BK40" s="656"/>
      <c r="BL40" s="656"/>
      <c r="BM40" s="656"/>
      <c r="BN40" s="656"/>
      <c r="BO40" s="656"/>
      <c r="BP40" s="656"/>
      <c r="BQ40" s="656"/>
      <c r="BR40" s="656"/>
      <c r="BS40" s="656"/>
      <c r="BT40" s="656"/>
      <c r="BU40" s="656"/>
      <c r="BV40" s="656"/>
      <c r="BW40" s="656"/>
      <c r="BX40" s="656"/>
      <c r="BY40" s="656"/>
      <c r="BZ40" s="656"/>
      <c r="CA40" s="656"/>
      <c r="CB40" s="656"/>
      <c r="CC40" s="656"/>
      <c r="CD40" s="656"/>
      <c r="CE40" s="656"/>
      <c r="CF40" s="656"/>
      <c r="CG40" s="656"/>
      <c r="CH40" s="656"/>
      <c r="CI40" s="656"/>
      <c r="CJ40" s="656"/>
      <c r="CK40" s="656"/>
      <c r="CL40" s="656"/>
      <c r="CM40" s="656"/>
      <c r="CN40" s="656"/>
      <c r="CO40" s="656"/>
      <c r="CP40" s="656"/>
      <c r="CQ40" s="656"/>
      <c r="CR40" s="656"/>
      <c r="CS40" s="656">
        <v>0</v>
      </c>
      <c r="CT40" s="656">
        <v>0</v>
      </c>
      <c r="CU40" s="656">
        <v>0</v>
      </c>
      <c r="CV40" s="656">
        <v>0</v>
      </c>
      <c r="CW40" s="656">
        <v>0</v>
      </c>
      <c r="CX40" s="656">
        <v>0</v>
      </c>
      <c r="CZ40" s="656" t="e">
        <v>#NAME?</v>
      </c>
      <c r="DB40" s="156" t="s">
        <v>470</v>
      </c>
    </row>
    <row r="41" spans="1:111" ht="12.75">
      <c r="A41" s="165" t="s">
        <v>469</v>
      </c>
      <c r="B41" s="656"/>
      <c r="C41" s="656"/>
      <c r="D41" s="656"/>
      <c r="E41" s="656"/>
      <c r="F41" s="656"/>
      <c r="G41" s="656"/>
      <c r="H41" s="656"/>
      <c r="I41" s="656"/>
      <c r="J41" s="656"/>
      <c r="K41" s="656"/>
      <c r="L41" s="656"/>
      <c r="M41" s="656"/>
      <c r="N41" s="656"/>
      <c r="O41" s="656"/>
      <c r="P41" s="656"/>
      <c r="Q41" s="656"/>
      <c r="R41" s="656"/>
      <c r="S41" s="656"/>
      <c r="T41" s="656"/>
      <c r="U41" s="656"/>
      <c r="V41" s="656"/>
      <c r="W41" s="656"/>
      <c r="X41" s="656"/>
      <c r="Y41" s="656"/>
      <c r="Z41" s="656"/>
      <c r="AA41" s="656"/>
      <c r="AB41" s="656">
        <v>0</v>
      </c>
      <c r="AC41" s="656"/>
      <c r="AD41" s="158"/>
      <c r="AE41" s="158"/>
      <c r="AF41" s="656"/>
      <c r="AG41" s="656"/>
      <c r="AH41" s="656"/>
      <c r="AI41" s="656"/>
      <c r="AJ41" s="656"/>
      <c r="AK41" s="656"/>
      <c r="AL41" s="656"/>
      <c r="AM41" s="656"/>
      <c r="AN41" s="656"/>
      <c r="AO41" s="656"/>
      <c r="AP41" s="656"/>
      <c r="AQ41" s="656"/>
      <c r="AR41" s="656"/>
      <c r="AS41" s="656"/>
      <c r="AT41" s="656"/>
      <c r="AU41" s="656"/>
      <c r="AV41" s="656"/>
      <c r="AW41" s="656"/>
      <c r="AX41" s="656"/>
      <c r="AY41" s="656"/>
      <c r="AZ41" s="656"/>
      <c r="BA41" s="656"/>
      <c r="BB41" s="656"/>
      <c r="BC41" s="656"/>
      <c r="BD41" s="656"/>
      <c r="BE41" s="656"/>
      <c r="BF41" s="656"/>
      <c r="BG41" s="656"/>
      <c r="BH41" s="656"/>
      <c r="BI41" s="656"/>
      <c r="BJ41" s="656"/>
      <c r="BK41" s="656"/>
      <c r="BL41" s="656"/>
      <c r="BM41" s="656"/>
      <c r="BN41" s="656"/>
      <c r="BO41" s="656"/>
      <c r="BP41" s="656"/>
      <c r="BQ41" s="656"/>
      <c r="BR41" s="656"/>
      <c r="BS41" s="656"/>
      <c r="BT41" s="656"/>
      <c r="BU41" s="656"/>
      <c r="BV41" s="656"/>
      <c r="BW41" s="656"/>
      <c r="BX41" s="656"/>
      <c r="BY41" s="656"/>
      <c r="BZ41" s="656"/>
      <c r="CA41" s="656"/>
      <c r="CB41" s="656"/>
      <c r="CC41" s="656"/>
      <c r="CD41" s="656"/>
      <c r="CE41" s="656"/>
      <c r="CF41" s="656"/>
      <c r="CG41" s="656"/>
      <c r="CH41" s="656"/>
      <c r="CI41" s="656"/>
      <c r="CJ41" s="656"/>
      <c r="CK41" s="656"/>
      <c r="CL41" s="656"/>
      <c r="CM41" s="656"/>
      <c r="CN41" s="656"/>
      <c r="CO41" s="656"/>
      <c r="CP41" s="656"/>
      <c r="CQ41" s="656"/>
      <c r="CR41" s="656"/>
      <c r="CS41" s="656">
        <v>0</v>
      </c>
      <c r="CT41" s="656">
        <v>0</v>
      </c>
      <c r="CU41" s="656">
        <v>0</v>
      </c>
      <c r="CV41" s="656">
        <v>0</v>
      </c>
      <c r="CW41" s="656">
        <v>0</v>
      </c>
      <c r="CX41" s="656">
        <v>0</v>
      </c>
      <c r="CZ41" s="656" t="e">
        <v>#NAME?</v>
      </c>
      <c r="DB41" s="156" t="s">
        <v>469</v>
      </c>
    </row>
    <row r="42" spans="1:111" ht="12.75">
      <c r="A42" s="167" t="s">
        <v>468</v>
      </c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5"/>
      <c r="P42" s="655"/>
      <c r="Q42" s="655"/>
      <c r="R42" s="655"/>
      <c r="S42" s="655"/>
      <c r="T42" s="655"/>
      <c r="U42" s="655">
        <v>389.8082</v>
      </c>
      <c r="V42" s="655">
        <v>273.32789243999997</v>
      </c>
      <c r="W42" s="655">
        <v>736.50293046000002</v>
      </c>
      <c r="X42" s="655">
        <v>1029.5496495899999</v>
      </c>
      <c r="Y42" s="655">
        <v>1513.5168144100001</v>
      </c>
      <c r="Z42" s="655">
        <v>1836.0097494300001</v>
      </c>
      <c r="AA42" s="655">
        <v>2579.2709355900001</v>
      </c>
      <c r="AB42" s="655">
        <v>4107.3122986999997</v>
      </c>
      <c r="AC42" s="655"/>
      <c r="AE42" s="158"/>
      <c r="AF42" s="655"/>
      <c r="AG42" s="655"/>
      <c r="AH42" s="655"/>
      <c r="AI42" s="655"/>
      <c r="AJ42" s="655"/>
      <c r="AK42" s="655"/>
      <c r="AL42" s="655"/>
      <c r="AM42" s="655"/>
      <c r="AN42" s="655"/>
      <c r="AO42" s="655"/>
      <c r="AP42" s="655"/>
      <c r="AQ42" s="655"/>
      <c r="AR42" s="655"/>
      <c r="AS42" s="655"/>
      <c r="AT42" s="655"/>
      <c r="AU42" s="655"/>
      <c r="AV42" s="655"/>
      <c r="AW42" s="655"/>
      <c r="AX42" s="655"/>
      <c r="AY42" s="655"/>
      <c r="AZ42" s="655"/>
      <c r="BA42" s="655"/>
      <c r="BB42" s="655"/>
      <c r="BC42" s="655"/>
      <c r="BD42" s="655"/>
      <c r="BE42" s="655"/>
      <c r="BF42" s="655"/>
      <c r="BG42" s="655"/>
      <c r="BH42" s="655"/>
      <c r="BI42" s="655"/>
      <c r="BJ42" s="655"/>
      <c r="BK42" s="655"/>
      <c r="BL42" s="655"/>
      <c r="BM42" s="655"/>
      <c r="BN42" s="655"/>
      <c r="BO42" s="655"/>
      <c r="BP42" s="655"/>
      <c r="BQ42" s="655"/>
      <c r="BR42" s="655"/>
      <c r="BS42" s="655"/>
      <c r="BT42" s="655"/>
      <c r="BU42" s="655"/>
      <c r="BV42" s="655"/>
      <c r="BW42" s="655"/>
      <c r="BX42" s="655"/>
      <c r="BY42" s="655"/>
      <c r="BZ42" s="655"/>
      <c r="CA42" s="655"/>
      <c r="CB42" s="655">
        <v>198.12074183000001</v>
      </c>
      <c r="CC42" s="655">
        <v>564.93989999999997</v>
      </c>
      <c r="CD42" s="655">
        <v>897.71600450999995</v>
      </c>
      <c r="CE42" s="655">
        <v>1029.5496495899999</v>
      </c>
      <c r="CF42" s="655">
        <v>438.29790216000004</v>
      </c>
      <c r="CG42" s="655">
        <v>859.86617842999999</v>
      </c>
      <c r="CH42" s="655">
        <v>1263.2795053900002</v>
      </c>
      <c r="CI42" s="655">
        <v>1513.5168144100001</v>
      </c>
      <c r="CJ42" s="655">
        <v>439.35791008999996</v>
      </c>
      <c r="CK42" s="655">
        <v>961.01138064999998</v>
      </c>
      <c r="CL42" s="655">
        <v>1482.8329227000002</v>
      </c>
      <c r="CM42" s="655">
        <v>1836.0097494300001</v>
      </c>
      <c r="CN42" s="655">
        <v>641.29402140000002</v>
      </c>
      <c r="CO42" s="655">
        <v>1402.1657768900002</v>
      </c>
      <c r="CP42" s="655">
        <v>2082.13988053</v>
      </c>
      <c r="CQ42" s="655">
        <v>2579.2709355900001</v>
      </c>
      <c r="CR42" s="655">
        <v>829.71824337999999</v>
      </c>
      <c r="CS42" s="655">
        <v>2141.9413504300001</v>
      </c>
      <c r="CT42" s="655">
        <v>3353.9735188899999</v>
      </c>
      <c r="CU42" s="655">
        <v>4107.3122986999997</v>
      </c>
      <c r="CV42" s="655">
        <v>1233.1900676600001</v>
      </c>
      <c r="CW42" s="655">
        <v>3001.56947541</v>
      </c>
      <c r="CX42" s="655">
        <v>4777.7773863900002</v>
      </c>
      <c r="CZ42" s="655" t="e">
        <v>#NAME?</v>
      </c>
      <c r="DB42" s="156" t="s">
        <v>468</v>
      </c>
    </row>
    <row r="43" spans="1:111" ht="12.75">
      <c r="A43" s="165" t="s">
        <v>467</v>
      </c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6"/>
      <c r="P43" s="656"/>
      <c r="Q43" s="656"/>
      <c r="R43" s="656"/>
      <c r="S43" s="656"/>
      <c r="T43" s="656"/>
      <c r="U43" s="656">
        <v>93.639300000000006</v>
      </c>
      <c r="V43" s="656">
        <v>57.496913749999997</v>
      </c>
      <c r="W43" s="656">
        <v>165.92903487000001</v>
      </c>
      <c r="X43" s="656">
        <v>217.48613861000001</v>
      </c>
      <c r="Y43" s="656">
        <v>320.55640682000001</v>
      </c>
      <c r="Z43" s="656">
        <v>395.48917806999998</v>
      </c>
      <c r="AA43" s="656">
        <v>539.49813166999991</v>
      </c>
      <c r="AB43" s="656">
        <v>780.88329400999999</v>
      </c>
      <c r="AC43" s="656"/>
      <c r="AD43" s="158"/>
      <c r="AE43" s="158"/>
      <c r="AF43" s="656"/>
      <c r="AG43" s="656"/>
      <c r="AH43" s="656"/>
      <c r="AI43" s="656"/>
      <c r="AJ43" s="656"/>
      <c r="AK43" s="656"/>
      <c r="AL43" s="656"/>
      <c r="AM43" s="656"/>
      <c r="AN43" s="656"/>
      <c r="AO43" s="656"/>
      <c r="AP43" s="656"/>
      <c r="AQ43" s="656"/>
      <c r="AR43" s="656"/>
      <c r="AS43" s="656"/>
      <c r="AT43" s="656"/>
      <c r="AU43" s="656"/>
      <c r="AV43" s="656"/>
      <c r="AW43" s="656"/>
      <c r="AX43" s="656"/>
      <c r="AY43" s="656"/>
      <c r="AZ43" s="656"/>
      <c r="BA43" s="656"/>
      <c r="BB43" s="656"/>
      <c r="BC43" s="656"/>
      <c r="BD43" s="656"/>
      <c r="BE43" s="656"/>
      <c r="BF43" s="656"/>
      <c r="BG43" s="656"/>
      <c r="BH43" s="656"/>
      <c r="BI43" s="656"/>
      <c r="BJ43" s="656"/>
      <c r="BK43" s="656"/>
      <c r="BL43" s="656"/>
      <c r="BM43" s="656"/>
      <c r="BN43" s="656"/>
      <c r="BO43" s="656"/>
      <c r="BP43" s="656"/>
      <c r="BQ43" s="656"/>
      <c r="BR43" s="656"/>
      <c r="BS43" s="656"/>
      <c r="BT43" s="656"/>
      <c r="BU43" s="656"/>
      <c r="BV43" s="656"/>
      <c r="BW43" s="656"/>
      <c r="BX43" s="656"/>
      <c r="BY43" s="656"/>
      <c r="BZ43" s="656"/>
      <c r="CA43" s="656"/>
      <c r="CB43" s="656">
        <v>44.475694170000004</v>
      </c>
      <c r="CC43" s="656">
        <v>123.6327</v>
      </c>
      <c r="CD43" s="656">
        <v>193.67327637</v>
      </c>
      <c r="CE43" s="656">
        <v>217.48613861000001</v>
      </c>
      <c r="CF43" s="656">
        <v>96.408436599999987</v>
      </c>
      <c r="CG43" s="656">
        <v>184.04004799000001</v>
      </c>
      <c r="CH43" s="656">
        <v>267.2455559</v>
      </c>
      <c r="CI43" s="656">
        <v>320.55640682000001</v>
      </c>
      <c r="CJ43" s="656">
        <v>94.708990319999998</v>
      </c>
      <c r="CK43" s="656">
        <v>206.38160372999999</v>
      </c>
      <c r="CL43" s="656">
        <v>317.32687235000003</v>
      </c>
      <c r="CM43" s="656">
        <v>395.48917806999998</v>
      </c>
      <c r="CN43" s="656">
        <v>144.04229140000001</v>
      </c>
      <c r="CO43" s="656">
        <v>294.04552776999998</v>
      </c>
      <c r="CP43" s="656">
        <v>426.53902616000005</v>
      </c>
      <c r="CQ43" s="656">
        <v>539.49813166999991</v>
      </c>
      <c r="CR43" s="656">
        <v>165.83784508000002</v>
      </c>
      <c r="CS43" s="656">
        <v>411.34985164</v>
      </c>
      <c r="CT43" s="656">
        <v>646.58111145000009</v>
      </c>
      <c r="CU43" s="656">
        <v>780.88329400999999</v>
      </c>
      <c r="CV43" s="656">
        <v>253.23469449999999</v>
      </c>
      <c r="CW43" s="656">
        <v>627.05491160999998</v>
      </c>
      <c r="CX43" s="656">
        <v>1017.96466725</v>
      </c>
      <c r="CZ43" s="656" t="e">
        <v>#NAME?</v>
      </c>
      <c r="DB43" s="156" t="s">
        <v>467</v>
      </c>
    </row>
    <row r="44" spans="1:111" ht="12.75">
      <c r="A44" s="165" t="s">
        <v>466</v>
      </c>
      <c r="B44" s="656"/>
      <c r="C44" s="656"/>
      <c r="D44" s="656"/>
      <c r="E44" s="656"/>
      <c r="F44" s="656"/>
      <c r="G44" s="656"/>
      <c r="H44" s="656"/>
      <c r="I44" s="656"/>
      <c r="J44" s="656"/>
      <c r="K44" s="656"/>
      <c r="L44" s="656"/>
      <c r="M44" s="656"/>
      <c r="N44" s="656"/>
      <c r="O44" s="656"/>
      <c r="P44" s="656"/>
      <c r="Q44" s="656"/>
      <c r="R44" s="656"/>
      <c r="S44" s="656"/>
      <c r="T44" s="656"/>
      <c r="U44" s="656"/>
      <c r="V44" s="656"/>
      <c r="W44" s="656"/>
      <c r="X44" s="656"/>
      <c r="Y44" s="656"/>
      <c r="Z44" s="656"/>
      <c r="AA44" s="656"/>
      <c r="AB44" s="656">
        <v>0</v>
      </c>
      <c r="AC44" s="656"/>
      <c r="AD44" s="158"/>
      <c r="AE44" s="158"/>
      <c r="AF44" s="656"/>
      <c r="AG44" s="656"/>
      <c r="AH44" s="656"/>
      <c r="AI44" s="656"/>
      <c r="AJ44" s="656"/>
      <c r="AK44" s="656"/>
      <c r="AL44" s="656"/>
      <c r="AM44" s="656"/>
      <c r="AN44" s="656"/>
      <c r="AO44" s="656"/>
      <c r="AP44" s="656"/>
      <c r="AQ44" s="656"/>
      <c r="AR44" s="656"/>
      <c r="AS44" s="656"/>
      <c r="AT44" s="656"/>
      <c r="AU44" s="656"/>
      <c r="AV44" s="656"/>
      <c r="AW44" s="656"/>
      <c r="AX44" s="656"/>
      <c r="AY44" s="656"/>
      <c r="AZ44" s="656"/>
      <c r="BA44" s="656"/>
      <c r="BB44" s="656"/>
      <c r="BC44" s="656"/>
      <c r="BD44" s="656"/>
      <c r="BE44" s="656"/>
      <c r="BF44" s="656"/>
      <c r="BG44" s="656"/>
      <c r="BH44" s="656"/>
      <c r="BI44" s="656"/>
      <c r="BJ44" s="656"/>
      <c r="BK44" s="656"/>
      <c r="BL44" s="656"/>
      <c r="BM44" s="656"/>
      <c r="BN44" s="656"/>
      <c r="BO44" s="656"/>
      <c r="BP44" s="656"/>
      <c r="BQ44" s="656"/>
      <c r="BR44" s="656"/>
      <c r="BS44" s="656"/>
      <c r="BT44" s="656"/>
      <c r="BU44" s="656"/>
      <c r="BV44" s="656"/>
      <c r="BW44" s="656"/>
      <c r="BX44" s="656"/>
      <c r="BY44" s="656"/>
      <c r="BZ44" s="656"/>
      <c r="CA44" s="656"/>
      <c r="CB44" s="656"/>
      <c r="CC44" s="656"/>
      <c r="CD44" s="656"/>
      <c r="CE44" s="656"/>
      <c r="CF44" s="656"/>
      <c r="CG44" s="656"/>
      <c r="CH44" s="656"/>
      <c r="CI44" s="656"/>
      <c r="CJ44" s="656"/>
      <c r="CK44" s="656"/>
      <c r="CL44" s="656"/>
      <c r="CM44" s="656"/>
      <c r="CN44" s="656"/>
      <c r="CO44" s="656"/>
      <c r="CP44" s="656"/>
      <c r="CQ44" s="656"/>
      <c r="CR44" s="656"/>
      <c r="CS44" s="656">
        <v>0</v>
      </c>
      <c r="CT44" s="656">
        <v>0</v>
      </c>
      <c r="CU44" s="656">
        <v>0</v>
      </c>
      <c r="CV44" s="656">
        <v>0</v>
      </c>
      <c r="CW44" s="656">
        <v>0</v>
      </c>
      <c r="CX44" s="656">
        <v>0</v>
      </c>
      <c r="CZ44" s="656" t="e">
        <v>#NAME?</v>
      </c>
      <c r="DB44" s="156" t="s">
        <v>466</v>
      </c>
      <c r="DG44" s="156">
        <v>5652.55</v>
      </c>
    </row>
    <row r="45" spans="1:111" ht="12.75">
      <c r="A45" s="165" t="s">
        <v>465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56"/>
      <c r="AB45" s="656">
        <v>0</v>
      </c>
      <c r="AC45" s="656"/>
      <c r="AD45" s="158"/>
      <c r="AE45" s="158"/>
      <c r="AF45" s="656"/>
      <c r="AG45" s="656"/>
      <c r="AH45" s="656"/>
      <c r="AI45" s="656"/>
      <c r="AJ45" s="656"/>
      <c r="AK45" s="656"/>
      <c r="AL45" s="656"/>
      <c r="AM45" s="656"/>
      <c r="AN45" s="656"/>
      <c r="AO45" s="656"/>
      <c r="AP45" s="656"/>
      <c r="AQ45" s="656"/>
      <c r="AR45" s="656"/>
      <c r="AS45" s="656"/>
      <c r="AT45" s="656"/>
      <c r="AU45" s="656"/>
      <c r="AV45" s="656"/>
      <c r="AW45" s="656"/>
      <c r="AX45" s="656"/>
      <c r="AY45" s="656"/>
      <c r="AZ45" s="656"/>
      <c r="BA45" s="656"/>
      <c r="BB45" s="656"/>
      <c r="BC45" s="656"/>
      <c r="BD45" s="656"/>
      <c r="BE45" s="656"/>
      <c r="BF45" s="656"/>
      <c r="BG45" s="656"/>
      <c r="BH45" s="656"/>
      <c r="BI45" s="656"/>
      <c r="BJ45" s="656"/>
      <c r="BK45" s="656"/>
      <c r="BL45" s="656"/>
      <c r="BM45" s="656"/>
      <c r="BN45" s="656"/>
      <c r="BO45" s="656"/>
      <c r="BP45" s="656"/>
      <c r="BQ45" s="656"/>
      <c r="BR45" s="656"/>
      <c r="BS45" s="656"/>
      <c r="BT45" s="656"/>
      <c r="BU45" s="656"/>
      <c r="BV45" s="656"/>
      <c r="BW45" s="656"/>
      <c r="BX45" s="656"/>
      <c r="BY45" s="656"/>
      <c r="BZ45" s="656"/>
      <c r="CA45" s="656"/>
      <c r="CB45" s="656"/>
      <c r="CC45" s="656"/>
      <c r="CD45" s="656"/>
      <c r="CE45" s="656"/>
      <c r="CF45" s="656"/>
      <c r="CG45" s="656"/>
      <c r="CH45" s="656"/>
      <c r="CI45" s="656"/>
      <c r="CJ45" s="656"/>
      <c r="CK45" s="656"/>
      <c r="CL45" s="656"/>
      <c r="CM45" s="656"/>
      <c r="CN45" s="656"/>
      <c r="CO45" s="656"/>
      <c r="CP45" s="656"/>
      <c r="CQ45" s="656"/>
      <c r="CR45" s="656"/>
      <c r="CS45" s="656">
        <v>0</v>
      </c>
      <c r="CT45" s="656">
        <v>0</v>
      </c>
      <c r="CU45" s="656">
        <v>0</v>
      </c>
      <c r="CV45" s="656">
        <v>0</v>
      </c>
      <c r="CW45" s="656">
        <v>0</v>
      </c>
      <c r="CX45" s="656">
        <v>0</v>
      </c>
      <c r="CZ45" s="656" t="e">
        <v>#NAME?</v>
      </c>
      <c r="DB45" s="156" t="s">
        <v>465</v>
      </c>
      <c r="DG45" s="156" t="e">
        <v>#VALUE!</v>
      </c>
    </row>
    <row r="46" spans="1:111" ht="12.75">
      <c r="A46" s="165" t="s">
        <v>464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56"/>
      <c r="AB46" s="656">
        <v>0</v>
      </c>
      <c r="AC46" s="656"/>
      <c r="AD46" s="158"/>
      <c r="AE46" s="158"/>
      <c r="AF46" s="656"/>
      <c r="AG46" s="656"/>
      <c r="AH46" s="656"/>
      <c r="AI46" s="656"/>
      <c r="AJ46" s="656"/>
      <c r="AK46" s="656"/>
      <c r="AL46" s="656"/>
      <c r="AM46" s="656"/>
      <c r="AN46" s="656"/>
      <c r="AO46" s="656"/>
      <c r="AP46" s="656"/>
      <c r="AQ46" s="656"/>
      <c r="AR46" s="656"/>
      <c r="AS46" s="656"/>
      <c r="AT46" s="656"/>
      <c r="AU46" s="656"/>
      <c r="AV46" s="656"/>
      <c r="AW46" s="656"/>
      <c r="AX46" s="656"/>
      <c r="AY46" s="656"/>
      <c r="AZ46" s="656"/>
      <c r="BA46" s="656"/>
      <c r="BB46" s="656"/>
      <c r="BC46" s="656"/>
      <c r="BD46" s="656"/>
      <c r="BE46" s="656"/>
      <c r="BF46" s="656"/>
      <c r="BG46" s="656"/>
      <c r="BH46" s="656"/>
      <c r="BI46" s="656"/>
      <c r="BJ46" s="656"/>
      <c r="BK46" s="656"/>
      <c r="BL46" s="656"/>
      <c r="BM46" s="656"/>
      <c r="BN46" s="656"/>
      <c r="BO46" s="656"/>
      <c r="BP46" s="656"/>
      <c r="BQ46" s="656"/>
      <c r="BR46" s="656"/>
      <c r="BS46" s="656"/>
      <c r="BT46" s="656"/>
      <c r="BU46" s="656"/>
      <c r="BV46" s="656"/>
      <c r="BW46" s="656"/>
      <c r="BX46" s="656"/>
      <c r="BY46" s="656"/>
      <c r="BZ46" s="656"/>
      <c r="CA46" s="656"/>
      <c r="CB46" s="656"/>
      <c r="CC46" s="656">
        <v>-1E-4</v>
      </c>
      <c r="CD46" s="656"/>
      <c r="CE46" s="656"/>
      <c r="CF46" s="656"/>
      <c r="CG46" s="656"/>
      <c r="CH46" s="656"/>
      <c r="CI46" s="656">
        <v>0</v>
      </c>
      <c r="CJ46" s="656"/>
      <c r="CK46" s="656"/>
      <c r="CL46" s="656"/>
      <c r="CM46" s="656"/>
      <c r="CN46" s="656"/>
      <c r="CO46" s="656"/>
      <c r="CP46" s="656"/>
      <c r="CQ46" s="656"/>
      <c r="CR46" s="656"/>
      <c r="CS46" s="656">
        <v>0</v>
      </c>
      <c r="CT46" s="656">
        <v>0</v>
      </c>
      <c r="CU46" s="656">
        <v>0</v>
      </c>
      <c r="CV46" s="656">
        <v>0</v>
      </c>
      <c r="CW46" s="656">
        <v>0</v>
      </c>
      <c r="CX46" s="656">
        <v>0</v>
      </c>
      <c r="CZ46" s="656" t="e">
        <v>#NAME?</v>
      </c>
      <c r="DB46" s="156" t="s">
        <v>464</v>
      </c>
      <c r="DG46" s="156" t="e">
        <v>#VALUE!</v>
      </c>
    </row>
    <row r="47" spans="1:111" ht="12.75">
      <c r="A47" s="167" t="s">
        <v>463</v>
      </c>
      <c r="B47" s="655"/>
      <c r="C47" s="655"/>
      <c r="D47" s="655"/>
      <c r="E47" s="655"/>
      <c r="F47" s="655"/>
      <c r="G47" s="655"/>
      <c r="H47" s="655"/>
      <c r="I47" s="655"/>
      <c r="J47" s="655"/>
      <c r="K47" s="655"/>
      <c r="L47" s="655"/>
      <c r="M47" s="655"/>
      <c r="N47" s="655"/>
      <c r="O47" s="655"/>
      <c r="P47" s="655"/>
      <c r="Q47" s="655"/>
      <c r="R47" s="655"/>
      <c r="S47" s="655"/>
      <c r="T47" s="655"/>
      <c r="U47" s="655">
        <v>296.16890000000001</v>
      </c>
      <c r="V47" s="655">
        <v>215.83097868999999</v>
      </c>
      <c r="W47" s="655">
        <v>570.57389559000001</v>
      </c>
      <c r="X47" s="655">
        <v>812.06351098000005</v>
      </c>
      <c r="Y47" s="655">
        <v>1192.9604075899999</v>
      </c>
      <c r="Z47" s="655">
        <v>1440.5205713599998</v>
      </c>
      <c r="AA47" s="655">
        <v>2039.7728039200001</v>
      </c>
      <c r="AB47" s="655">
        <v>3326.4290046900001</v>
      </c>
      <c r="AC47" s="655"/>
      <c r="AE47" s="158"/>
      <c r="AF47" s="655"/>
      <c r="AG47" s="655"/>
      <c r="AH47" s="655"/>
      <c r="AI47" s="655"/>
      <c r="AJ47" s="655"/>
      <c r="AK47" s="655"/>
      <c r="AL47" s="655"/>
      <c r="AM47" s="655"/>
      <c r="AN47" s="655"/>
      <c r="AO47" s="655"/>
      <c r="AP47" s="655"/>
      <c r="AQ47" s="655"/>
      <c r="AR47" s="655"/>
      <c r="AS47" s="655"/>
      <c r="AT47" s="655"/>
      <c r="AU47" s="655"/>
      <c r="AV47" s="655"/>
      <c r="AW47" s="655"/>
      <c r="AX47" s="655"/>
      <c r="AY47" s="655"/>
      <c r="AZ47" s="655"/>
      <c r="BA47" s="655"/>
      <c r="BB47" s="655"/>
      <c r="BC47" s="655"/>
      <c r="BD47" s="655"/>
      <c r="BE47" s="655"/>
      <c r="BF47" s="655"/>
      <c r="BG47" s="655"/>
      <c r="BH47" s="655"/>
      <c r="BI47" s="655"/>
      <c r="BJ47" s="655"/>
      <c r="BK47" s="655"/>
      <c r="BL47" s="655"/>
      <c r="BM47" s="655"/>
      <c r="BN47" s="655"/>
      <c r="BO47" s="655"/>
      <c r="BP47" s="655"/>
      <c r="BQ47" s="655"/>
      <c r="BR47" s="655"/>
      <c r="BS47" s="655"/>
      <c r="BT47" s="655"/>
      <c r="BU47" s="655"/>
      <c r="BV47" s="655"/>
      <c r="BW47" s="655"/>
      <c r="BX47" s="655"/>
      <c r="BY47" s="655"/>
      <c r="BZ47" s="655"/>
      <c r="CA47" s="655"/>
      <c r="CB47" s="655">
        <v>153.64504765999999</v>
      </c>
      <c r="CC47" s="655">
        <v>441.30709999999999</v>
      </c>
      <c r="CD47" s="655">
        <v>704.04272814000001</v>
      </c>
      <c r="CE47" s="655">
        <v>812.06351098000005</v>
      </c>
      <c r="CF47" s="655">
        <v>341.88946556000002</v>
      </c>
      <c r="CG47" s="655">
        <v>675.82613044000004</v>
      </c>
      <c r="CH47" s="655">
        <v>996.03394949000005</v>
      </c>
      <c r="CI47" s="655">
        <v>1192.9604075899999</v>
      </c>
      <c r="CJ47" s="655">
        <v>344.64891976999996</v>
      </c>
      <c r="CK47" s="655">
        <v>754.62977691999993</v>
      </c>
      <c r="CL47" s="655">
        <v>1165.5060503499999</v>
      </c>
      <c r="CM47" s="655">
        <v>1440.5205713599998</v>
      </c>
      <c r="CN47" s="655">
        <v>497.25173000000001</v>
      </c>
      <c r="CO47" s="655">
        <v>1108.1202491199999</v>
      </c>
      <c r="CP47" s="655">
        <v>1655.60085437</v>
      </c>
      <c r="CQ47" s="655">
        <v>2039.7728039200001</v>
      </c>
      <c r="CR47" s="655">
        <v>663.88039829999991</v>
      </c>
      <c r="CS47" s="655">
        <v>1730.5914987900001</v>
      </c>
      <c r="CT47" s="655">
        <v>2707.3924074400002</v>
      </c>
      <c r="CU47" s="655">
        <v>3326.4290046900001</v>
      </c>
      <c r="CV47" s="655">
        <v>979.95537316000002</v>
      </c>
      <c r="CW47" s="655">
        <v>2374.5145638000004</v>
      </c>
      <c r="CX47" s="655">
        <v>3759.8127191399999</v>
      </c>
      <c r="CZ47" s="655" t="e">
        <v>#NAME?</v>
      </c>
      <c r="DB47" s="156" t="s">
        <v>463</v>
      </c>
      <c r="DG47" s="156">
        <v>4897.21</v>
      </c>
    </row>
    <row r="48" spans="1:111" ht="12.75">
      <c r="A48" s="165" t="s">
        <v>462</v>
      </c>
      <c r="B48" s="656"/>
      <c r="C48" s="656"/>
      <c r="D48" s="656"/>
      <c r="E48" s="656"/>
      <c r="F48" s="656"/>
      <c r="G48" s="656"/>
      <c r="H48" s="656"/>
      <c r="I48" s="656"/>
      <c r="J48" s="656"/>
      <c r="K48" s="656"/>
      <c r="L48" s="656"/>
      <c r="M48" s="656"/>
      <c r="N48" s="656"/>
      <c r="O48" s="656"/>
      <c r="P48" s="656"/>
      <c r="Q48" s="656"/>
      <c r="R48" s="656"/>
      <c r="S48" s="656"/>
      <c r="T48" s="656"/>
      <c r="U48" s="656"/>
      <c r="V48" s="656"/>
      <c r="W48" s="656"/>
      <c r="X48" s="656"/>
      <c r="Y48" s="656"/>
      <c r="Z48" s="656"/>
      <c r="AA48" s="656"/>
      <c r="AB48" s="656">
        <v>-0.27984775000000001</v>
      </c>
      <c r="AC48" s="656"/>
      <c r="AD48" s="158"/>
      <c r="AE48" s="158"/>
      <c r="AF48" s="656"/>
      <c r="AG48" s="656"/>
      <c r="AH48" s="656"/>
      <c r="AI48" s="656"/>
      <c r="AJ48" s="656"/>
      <c r="AK48" s="656"/>
      <c r="AL48" s="656"/>
      <c r="AM48" s="656"/>
      <c r="AN48" s="656"/>
      <c r="AO48" s="656"/>
      <c r="AP48" s="656"/>
      <c r="AQ48" s="656"/>
      <c r="AR48" s="656"/>
      <c r="AS48" s="656"/>
      <c r="AT48" s="656"/>
      <c r="AU48" s="656"/>
      <c r="AV48" s="656"/>
      <c r="AW48" s="656"/>
      <c r="AX48" s="656"/>
      <c r="AY48" s="656"/>
      <c r="AZ48" s="656"/>
      <c r="BA48" s="656"/>
      <c r="BB48" s="656"/>
      <c r="BC48" s="656"/>
      <c r="BD48" s="656"/>
      <c r="BE48" s="656"/>
      <c r="BF48" s="656"/>
      <c r="BG48" s="656"/>
      <c r="BH48" s="656"/>
      <c r="BI48" s="656"/>
      <c r="BJ48" s="656"/>
      <c r="BK48" s="656"/>
      <c r="BL48" s="656"/>
      <c r="BM48" s="656"/>
      <c r="BN48" s="656"/>
      <c r="BO48" s="656"/>
      <c r="BP48" s="656"/>
      <c r="BQ48" s="656"/>
      <c r="BR48" s="656"/>
      <c r="BS48" s="656"/>
      <c r="BT48" s="656"/>
      <c r="BU48" s="656"/>
      <c r="BV48" s="656"/>
      <c r="BW48" s="656"/>
      <c r="BX48" s="656"/>
      <c r="BY48" s="656"/>
      <c r="BZ48" s="656"/>
      <c r="CA48" s="656"/>
      <c r="CB48" s="656"/>
      <c r="CC48" s="656"/>
      <c r="CD48" s="656"/>
      <c r="CE48" s="656"/>
      <c r="CF48" s="656"/>
      <c r="CG48" s="656"/>
      <c r="CH48" s="656"/>
      <c r="CI48" s="656"/>
      <c r="CJ48" s="656"/>
      <c r="CK48" s="656"/>
      <c r="CL48" s="656"/>
      <c r="CM48" s="656"/>
      <c r="CN48" s="656"/>
      <c r="CO48" s="656"/>
      <c r="CP48" s="656"/>
      <c r="CQ48" s="656"/>
      <c r="CR48" s="656"/>
      <c r="CS48" s="656">
        <v>0</v>
      </c>
      <c r="CT48" s="656">
        <v>0</v>
      </c>
      <c r="CU48" s="656">
        <v>-0.27984775000000001</v>
      </c>
      <c r="CV48" s="656">
        <v>-5.41571E-2</v>
      </c>
      <c r="CW48" s="656">
        <v>-0.23622164000000001</v>
      </c>
      <c r="CX48" s="656">
        <v>-1.1105671000000001</v>
      </c>
      <c r="CZ48" s="656" t="e">
        <v>#NAME?</v>
      </c>
      <c r="DB48" s="156" t="s">
        <v>462</v>
      </c>
      <c r="DG48" s="156" t="e">
        <v>#VALUE!</v>
      </c>
    </row>
    <row r="49" spans="1:111" ht="12.75">
      <c r="A49" s="167" t="s">
        <v>461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>
        <v>296.16890000000001</v>
      </c>
      <c r="V49" s="655">
        <v>215.83097868999999</v>
      </c>
      <c r="W49" s="655">
        <v>570.57389559000001</v>
      </c>
      <c r="X49" s="655">
        <v>812.06351098000005</v>
      </c>
      <c r="Y49" s="655">
        <v>1192.9604075899999</v>
      </c>
      <c r="Z49" s="655">
        <v>1440.5205713599998</v>
      </c>
      <c r="AA49" s="655">
        <v>2039.7728039200001</v>
      </c>
      <c r="AB49" s="655">
        <v>3326.7088524400001</v>
      </c>
      <c r="AC49" s="655"/>
      <c r="AD49" s="158"/>
      <c r="AE49" s="158"/>
      <c r="AF49" s="655"/>
      <c r="AG49" s="655"/>
      <c r="AH49" s="655"/>
      <c r="AI49" s="655"/>
      <c r="AJ49" s="655"/>
      <c r="AK49" s="655"/>
      <c r="AL49" s="655"/>
      <c r="AM49" s="655"/>
      <c r="AN49" s="655"/>
      <c r="AO49" s="655"/>
      <c r="AP49" s="655"/>
      <c r="AQ49" s="655"/>
      <c r="AR49" s="655"/>
      <c r="AS49" s="655"/>
      <c r="AT49" s="655"/>
      <c r="AU49" s="655"/>
      <c r="AV49" s="655"/>
      <c r="AW49" s="655"/>
      <c r="AX49" s="655"/>
      <c r="AY49" s="655"/>
      <c r="AZ49" s="655"/>
      <c r="BA49" s="655"/>
      <c r="BB49" s="655"/>
      <c r="BC49" s="655"/>
      <c r="BD49" s="655"/>
      <c r="BE49" s="655"/>
      <c r="BF49" s="655"/>
      <c r="BG49" s="655"/>
      <c r="BH49" s="655"/>
      <c r="BI49" s="655"/>
      <c r="BJ49" s="655"/>
      <c r="BK49" s="655"/>
      <c r="BL49" s="655"/>
      <c r="BM49" s="655"/>
      <c r="BN49" s="655"/>
      <c r="BO49" s="655"/>
      <c r="BP49" s="655"/>
      <c r="BQ49" s="655"/>
      <c r="BR49" s="655"/>
      <c r="BS49" s="655"/>
      <c r="BT49" s="655"/>
      <c r="BU49" s="655"/>
      <c r="BV49" s="655"/>
      <c r="BW49" s="655"/>
      <c r="BX49" s="655"/>
      <c r="BY49" s="655"/>
      <c r="BZ49" s="655"/>
      <c r="CA49" s="655"/>
      <c r="CB49" s="655">
        <v>153.64504765999999</v>
      </c>
      <c r="CC49" s="655">
        <v>441.30709999999999</v>
      </c>
      <c r="CD49" s="655">
        <v>704.04272814000001</v>
      </c>
      <c r="CE49" s="655">
        <v>812.06351098000005</v>
      </c>
      <c r="CF49" s="655">
        <v>341.88946556000002</v>
      </c>
      <c r="CG49" s="655">
        <v>675.82613044000004</v>
      </c>
      <c r="CH49" s="655">
        <v>996.03394949000005</v>
      </c>
      <c r="CI49" s="655">
        <v>1192.9604075899999</v>
      </c>
      <c r="CJ49" s="655">
        <v>344.64891976999996</v>
      </c>
      <c r="CK49" s="655">
        <v>754.62977691999993</v>
      </c>
      <c r="CL49" s="655">
        <v>1165.5060503499999</v>
      </c>
      <c r="CM49" s="655">
        <v>1440.5205713599998</v>
      </c>
      <c r="CN49" s="655">
        <v>497.25173000000001</v>
      </c>
      <c r="CO49" s="655">
        <v>1108.1202491199999</v>
      </c>
      <c r="CP49" s="655">
        <v>1655.60085437</v>
      </c>
      <c r="CQ49" s="655">
        <v>2039.7728039200001</v>
      </c>
      <c r="CR49" s="655">
        <v>663.88039829999991</v>
      </c>
      <c r="CS49" s="655">
        <v>1730.5914987900001</v>
      </c>
      <c r="CT49" s="655">
        <v>2707.3924074400002</v>
      </c>
      <c r="CU49" s="655">
        <v>3326.7088524400001</v>
      </c>
      <c r="CV49" s="655">
        <v>980.00953026000002</v>
      </c>
      <c r="CW49" s="655">
        <v>2374.7507854400001</v>
      </c>
      <c r="CX49" s="655">
        <v>3760.9232862399999</v>
      </c>
      <c r="CZ49" s="655" t="e">
        <v>#NAME?</v>
      </c>
      <c r="DB49" s="156" t="s">
        <v>461</v>
      </c>
      <c r="DG49" s="156">
        <v>81.31</v>
      </c>
    </row>
    <row r="50" spans="1:111">
      <c r="A50" s="167" t="s">
        <v>460</v>
      </c>
      <c r="B50" s="658"/>
      <c r="C50" s="658"/>
      <c r="D50" s="658"/>
      <c r="E50" s="658"/>
      <c r="F50" s="658"/>
      <c r="G50" s="658"/>
      <c r="H50" s="658"/>
      <c r="I50" s="658"/>
      <c r="J50" s="658"/>
      <c r="K50" s="658"/>
      <c r="L50" s="658"/>
      <c r="M50" s="658"/>
      <c r="N50" s="658"/>
      <c r="O50" s="658"/>
      <c r="P50" s="658"/>
      <c r="Q50" s="658"/>
      <c r="R50" s="658"/>
      <c r="S50" s="658"/>
      <c r="T50" s="658"/>
      <c r="U50" s="658"/>
      <c r="V50" s="658"/>
      <c r="W50" s="658"/>
      <c r="X50" s="658"/>
      <c r="Y50" s="658"/>
      <c r="Z50" s="658"/>
      <c r="AA50" s="658"/>
      <c r="AB50" s="658"/>
      <c r="AC50" s="658"/>
      <c r="AD50" s="158"/>
      <c r="AE50" s="158"/>
      <c r="AF50" s="658"/>
      <c r="AG50" s="658"/>
      <c r="AH50" s="658"/>
      <c r="AI50" s="658"/>
      <c r="AJ50" s="658"/>
      <c r="AK50" s="658"/>
      <c r="AL50" s="658"/>
      <c r="AM50" s="658"/>
      <c r="AN50" s="658"/>
      <c r="AO50" s="658"/>
      <c r="AP50" s="658"/>
      <c r="AQ50" s="658"/>
      <c r="AR50" s="658"/>
      <c r="AS50" s="658"/>
      <c r="AT50" s="658"/>
      <c r="AU50" s="658"/>
      <c r="AV50" s="658"/>
      <c r="AW50" s="658"/>
      <c r="AX50" s="658"/>
      <c r="AY50" s="658"/>
      <c r="AZ50" s="658"/>
      <c r="BA50" s="658"/>
      <c r="BB50" s="658"/>
      <c r="BC50" s="658"/>
      <c r="BD50" s="658"/>
      <c r="BE50" s="658"/>
      <c r="BF50" s="658"/>
      <c r="BG50" s="658"/>
      <c r="BH50" s="658"/>
      <c r="BI50" s="658"/>
      <c r="BJ50" s="658"/>
      <c r="BK50" s="658"/>
      <c r="BL50" s="658"/>
      <c r="BM50" s="658"/>
      <c r="BN50" s="658"/>
      <c r="BO50" s="658"/>
      <c r="BP50" s="658"/>
      <c r="BQ50" s="658"/>
      <c r="BR50" s="658"/>
      <c r="BS50" s="658"/>
      <c r="BT50" s="658"/>
      <c r="BU50" s="658"/>
      <c r="BV50" s="658"/>
      <c r="BW50" s="658"/>
      <c r="BX50" s="658"/>
      <c r="BY50" s="658"/>
      <c r="BZ50" s="658"/>
      <c r="CA50" s="658"/>
      <c r="CB50" s="658"/>
      <c r="CC50" s="658"/>
      <c r="CD50" s="658"/>
      <c r="CE50" s="658"/>
      <c r="CF50" s="658"/>
      <c r="CG50" s="658"/>
      <c r="CH50" s="658"/>
      <c r="CI50" s="658"/>
      <c r="CJ50" s="658"/>
      <c r="CK50" s="658"/>
      <c r="CL50" s="658"/>
      <c r="CM50" s="658"/>
      <c r="CN50" s="658"/>
      <c r="CO50" s="658"/>
      <c r="CP50" s="658"/>
      <c r="CQ50" s="658"/>
      <c r="CR50" s="658"/>
      <c r="CS50" s="658"/>
      <c r="CT50" s="658"/>
      <c r="CU50" s="658"/>
      <c r="CV50" s="658"/>
      <c r="CW50" s="658"/>
      <c r="CX50" s="658"/>
      <c r="CZ50" s="658"/>
      <c r="DB50" s="156" t="s">
        <v>460</v>
      </c>
    </row>
    <row r="51" spans="1:111" ht="12.75">
      <c r="A51" s="165" t="s">
        <v>459</v>
      </c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6"/>
      <c r="P51" s="656"/>
      <c r="Q51" s="656"/>
      <c r="R51" s="656"/>
      <c r="S51" s="656"/>
      <c r="T51" s="656"/>
      <c r="U51" s="656" t="s">
        <v>1181</v>
      </c>
      <c r="V51" s="656">
        <v>0.62</v>
      </c>
      <c r="W51" s="656">
        <v>1.63</v>
      </c>
      <c r="X51" s="656">
        <v>2.2599999999999998</v>
      </c>
      <c r="Y51" s="656">
        <v>3.1120000000000001</v>
      </c>
      <c r="Z51" s="656">
        <v>3.6012</v>
      </c>
      <c r="AA51" s="656">
        <v>5.0993000000000004</v>
      </c>
      <c r="AB51" s="656">
        <v>6.3974000000000002</v>
      </c>
      <c r="AC51" s="656"/>
      <c r="AF51" s="656"/>
      <c r="AG51" s="656"/>
      <c r="AH51" s="656"/>
      <c r="AI51" s="656"/>
      <c r="AJ51" s="656"/>
      <c r="AK51" s="656"/>
      <c r="AL51" s="656"/>
      <c r="AM51" s="656"/>
      <c r="AN51" s="656"/>
      <c r="AO51" s="656"/>
      <c r="AP51" s="656"/>
      <c r="AQ51" s="656"/>
      <c r="AR51" s="656"/>
      <c r="AS51" s="656"/>
      <c r="AT51" s="656"/>
      <c r="AU51" s="656"/>
      <c r="AV51" s="656"/>
      <c r="AW51" s="656"/>
      <c r="AX51" s="656"/>
      <c r="AY51" s="656"/>
      <c r="AZ51" s="656"/>
      <c r="BA51" s="656"/>
      <c r="BB51" s="656"/>
      <c r="BC51" s="656"/>
      <c r="BD51" s="656"/>
      <c r="BE51" s="656"/>
      <c r="BF51" s="656"/>
      <c r="BG51" s="656"/>
      <c r="BH51" s="656"/>
      <c r="BI51" s="656"/>
      <c r="BJ51" s="656"/>
      <c r="BK51" s="656"/>
      <c r="BL51" s="656"/>
      <c r="BM51" s="656"/>
      <c r="BN51" s="656"/>
      <c r="BO51" s="656"/>
      <c r="BP51" s="656"/>
      <c r="BQ51" s="656"/>
      <c r="BR51" s="656"/>
      <c r="BS51" s="656"/>
      <c r="BT51" s="656"/>
      <c r="BU51" s="656"/>
      <c r="BV51" s="656"/>
      <c r="BW51" s="656"/>
      <c r="BX51" s="656"/>
      <c r="BY51" s="656"/>
      <c r="BZ51" s="656"/>
      <c r="CA51" s="656"/>
      <c r="CB51" s="656">
        <v>0.43</v>
      </c>
      <c r="CC51" s="656">
        <v>1.23</v>
      </c>
      <c r="CD51" s="656">
        <v>1.96</v>
      </c>
      <c r="CE51" s="656">
        <v>2.2599999999999998</v>
      </c>
      <c r="CF51" s="656">
        <v>0.95</v>
      </c>
      <c r="CG51" s="656">
        <v>1.8431999999999999</v>
      </c>
      <c r="CH51" s="656">
        <v>2.64</v>
      </c>
      <c r="CI51" s="656">
        <v>3.1120000000000001</v>
      </c>
      <c r="CJ51" s="656">
        <v>0.86160000000000003</v>
      </c>
      <c r="CK51" s="656">
        <v>1.8865000000000001</v>
      </c>
      <c r="CL51" s="656">
        <v>2.9137</v>
      </c>
      <c r="CM51" s="656">
        <v>3.6012</v>
      </c>
      <c r="CN51" s="656">
        <v>1.2431000000000001</v>
      </c>
      <c r="CO51" s="656">
        <v>2.7702</v>
      </c>
      <c r="CP51" s="656">
        <v>4.1388999999999996</v>
      </c>
      <c r="CQ51" s="656">
        <v>5.0993000000000004</v>
      </c>
      <c r="CR51" s="656">
        <v>1.6597</v>
      </c>
      <c r="CS51" s="656">
        <v>4.3263999999999996</v>
      </c>
      <c r="CT51" s="656">
        <v>5.2064000000000004</v>
      </c>
      <c r="CU51" s="656">
        <v>6.3974000000000002</v>
      </c>
      <c r="CV51" s="656">
        <v>1.8846000000000001</v>
      </c>
      <c r="CW51" s="656">
        <v>4.5667</v>
      </c>
      <c r="CX51" s="656">
        <v>7.2324000000000002</v>
      </c>
      <c r="CZ51" s="656" t="e">
        <v>#NAME?</v>
      </c>
      <c r="DB51" s="156" t="s">
        <v>1063</v>
      </c>
      <c r="DG51" s="156">
        <v>227.12</v>
      </c>
    </row>
    <row r="52" spans="1:111" ht="12.75">
      <c r="A52" s="165" t="s">
        <v>458</v>
      </c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6"/>
      <c r="P52" s="656"/>
      <c r="Q52" s="656"/>
      <c r="R52" s="656"/>
      <c r="S52" s="656"/>
      <c r="T52" s="656"/>
      <c r="U52" s="656" t="s">
        <v>1181</v>
      </c>
      <c r="V52" s="656">
        <v>0.62</v>
      </c>
      <c r="W52" s="656">
        <v>1.63</v>
      </c>
      <c r="X52" s="656">
        <v>2.2599999999999998</v>
      </c>
      <c r="Y52" s="656">
        <v>3.1120000000000001</v>
      </c>
      <c r="Z52" s="656">
        <v>3.6012</v>
      </c>
      <c r="AA52" s="656">
        <v>5.0993000000000004</v>
      </c>
      <c r="AB52" s="656">
        <v>6.3974000000000002</v>
      </c>
      <c r="AC52" s="656"/>
      <c r="AF52" s="656"/>
      <c r="AG52" s="656"/>
      <c r="AH52" s="656"/>
      <c r="AI52" s="656"/>
      <c r="AJ52" s="656"/>
      <c r="AK52" s="656"/>
      <c r="AL52" s="656"/>
      <c r="AM52" s="656"/>
      <c r="AN52" s="656"/>
      <c r="AO52" s="656"/>
      <c r="AP52" s="656"/>
      <c r="AQ52" s="656"/>
      <c r="AR52" s="656"/>
      <c r="AS52" s="656"/>
      <c r="AT52" s="656"/>
      <c r="AU52" s="656"/>
      <c r="AV52" s="656"/>
      <c r="AW52" s="656"/>
      <c r="AX52" s="656"/>
      <c r="AY52" s="656"/>
      <c r="AZ52" s="656"/>
      <c r="BA52" s="656"/>
      <c r="BB52" s="656"/>
      <c r="BC52" s="656"/>
      <c r="BD52" s="656"/>
      <c r="BE52" s="656"/>
      <c r="BF52" s="656"/>
      <c r="BG52" s="656"/>
      <c r="BH52" s="656"/>
      <c r="BI52" s="656"/>
      <c r="BJ52" s="656"/>
      <c r="BK52" s="656"/>
      <c r="BL52" s="656"/>
      <c r="BM52" s="656"/>
      <c r="BN52" s="656"/>
      <c r="BO52" s="656"/>
      <c r="BP52" s="656"/>
      <c r="BQ52" s="656"/>
      <c r="BR52" s="656"/>
      <c r="BS52" s="656"/>
      <c r="BT52" s="656"/>
      <c r="BU52" s="656"/>
      <c r="BV52" s="656"/>
      <c r="BW52" s="656"/>
      <c r="BX52" s="656"/>
      <c r="BY52" s="656"/>
      <c r="BZ52" s="656"/>
      <c r="CA52" s="656"/>
      <c r="CB52" s="656">
        <v>0.43</v>
      </c>
      <c r="CC52" s="656">
        <v>1.23</v>
      </c>
      <c r="CD52" s="656">
        <v>1.96</v>
      </c>
      <c r="CE52" s="656">
        <v>2.2599999999999998</v>
      </c>
      <c r="CF52" s="656">
        <v>0.95</v>
      </c>
      <c r="CG52" s="656">
        <v>1.8431999999999999</v>
      </c>
      <c r="CH52" s="656">
        <v>2.64</v>
      </c>
      <c r="CI52" s="656">
        <v>3.1120000000000001</v>
      </c>
      <c r="CJ52" s="656">
        <v>0.86160000000000003</v>
      </c>
      <c r="CK52" s="656">
        <v>1.8865000000000001</v>
      </c>
      <c r="CL52" s="656">
        <v>2.9137</v>
      </c>
      <c r="CM52" s="656">
        <v>3.6012</v>
      </c>
      <c r="CN52" s="656">
        <v>1.2431000000000001</v>
      </c>
      <c r="CO52" s="656">
        <v>2.7702</v>
      </c>
      <c r="CP52" s="656">
        <v>4.1388999999999996</v>
      </c>
      <c r="CQ52" s="656">
        <v>5.0993000000000004</v>
      </c>
      <c r="CR52" s="656">
        <v>1.6597</v>
      </c>
      <c r="CS52" s="656">
        <v>4.3263999999999996</v>
      </c>
      <c r="CT52" s="656">
        <v>5.2064000000000004</v>
      </c>
      <c r="CU52" s="656">
        <v>6.3974000000000002</v>
      </c>
      <c r="CV52" s="656">
        <v>1.8846000000000001</v>
      </c>
      <c r="CW52" s="656">
        <v>4.5667</v>
      </c>
      <c r="CX52" s="656">
        <v>7.2324000000000002</v>
      </c>
      <c r="CZ52" s="656" t="e">
        <v>#NAME?</v>
      </c>
      <c r="DB52" s="156" t="s">
        <v>1064</v>
      </c>
      <c r="DG52" s="156" t="e">
        <v>#VALUE!</v>
      </c>
    </row>
    <row r="53" spans="1:111" ht="12.75"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CY53" s="652"/>
      <c r="DG53" s="156" t="e">
        <v>#VALUE!</v>
      </c>
    </row>
    <row r="54" spans="1:111" ht="12.75">
      <c r="AS54" s="156"/>
      <c r="AT54" s="156"/>
      <c r="AU54" s="156"/>
      <c r="AV54" s="156"/>
      <c r="AW54" s="156"/>
      <c r="AX54" s="156"/>
      <c r="AY54" s="156"/>
      <c r="AZ54" s="156"/>
      <c r="BA54" s="156"/>
      <c r="BB54" s="156"/>
      <c r="DG54" s="156" t="e">
        <v>#VALUE!</v>
      </c>
    </row>
    <row r="55" spans="1:111"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58"/>
      <c r="AB55" s="658"/>
      <c r="AC55" s="658"/>
      <c r="AF55" s="658"/>
      <c r="AG55" s="658"/>
      <c r="AH55" s="658"/>
      <c r="AI55" s="658"/>
      <c r="AJ55" s="658"/>
      <c r="AK55" s="658"/>
      <c r="AL55" s="658"/>
      <c r="AM55" s="658"/>
      <c r="AN55" s="658"/>
      <c r="AO55" s="658"/>
      <c r="AP55" s="658"/>
      <c r="AQ55" s="658"/>
      <c r="AR55" s="658"/>
      <c r="AS55" s="658"/>
      <c r="AT55" s="658"/>
      <c r="AU55" s="658"/>
      <c r="AV55" s="658"/>
      <c r="AW55" s="658"/>
      <c r="AX55" s="658"/>
      <c r="AY55" s="658"/>
      <c r="AZ55" s="658"/>
      <c r="BA55" s="658"/>
      <c r="BB55" s="658"/>
      <c r="BC55" s="658"/>
      <c r="BD55" s="658"/>
      <c r="BE55" s="658"/>
      <c r="BF55" s="658"/>
      <c r="BG55" s="658"/>
      <c r="BH55" s="658"/>
      <c r="BI55" s="658"/>
      <c r="BJ55" s="658"/>
      <c r="BK55" s="658"/>
      <c r="BL55" s="658"/>
      <c r="BM55" s="658"/>
      <c r="BN55" s="658"/>
      <c r="BO55" s="658"/>
      <c r="BP55" s="658"/>
      <c r="BQ55" s="658"/>
      <c r="BR55" s="658"/>
      <c r="BS55" s="658"/>
      <c r="BT55" s="658"/>
      <c r="BU55" s="658"/>
      <c r="BV55" s="658"/>
      <c r="BW55" s="658"/>
      <c r="BX55" s="658"/>
      <c r="BY55" s="658"/>
      <c r="BZ55" s="658"/>
      <c r="CA55" s="658"/>
      <c r="CB55" s="658"/>
      <c r="CC55" s="658"/>
      <c r="CD55" s="658"/>
      <c r="CE55" s="658"/>
      <c r="CF55" s="658"/>
      <c r="CG55" s="658"/>
      <c r="CH55" s="658"/>
      <c r="CI55" s="658"/>
      <c r="CJ55" s="658"/>
      <c r="CK55" s="658"/>
      <c r="CL55" s="658"/>
      <c r="CM55" s="658"/>
      <c r="CN55" s="658"/>
      <c r="CO55" s="658"/>
      <c r="CP55" s="658"/>
      <c r="CQ55" s="658"/>
      <c r="CR55" s="658"/>
      <c r="CS55" s="658"/>
      <c r="CT55" s="658"/>
      <c r="CU55" s="658"/>
      <c r="CV55" s="658"/>
      <c r="CW55" s="658"/>
      <c r="CX55" s="658"/>
      <c r="CY55" s="652"/>
      <c r="CZ55" s="658"/>
      <c r="DG55" s="156" t="e">
        <v>#VALUE!</v>
      </c>
    </row>
    <row r="56" spans="1:111" ht="12.75">
      <c r="A56" s="998" t="s">
        <v>457</v>
      </c>
      <c r="B56" s="1002"/>
      <c r="C56" s="1002"/>
      <c r="D56" s="1002"/>
      <c r="E56" s="1002"/>
      <c r="F56" s="1002"/>
      <c r="G56" s="1002"/>
      <c r="H56" s="1002"/>
      <c r="I56" s="1002"/>
      <c r="J56" s="1002"/>
      <c r="K56" s="1002"/>
      <c r="L56" s="1002"/>
      <c r="M56" s="1002"/>
      <c r="N56" s="1002"/>
      <c r="O56" s="1002"/>
      <c r="P56" s="1002"/>
      <c r="Q56" s="1002"/>
      <c r="R56" s="1002"/>
      <c r="S56" s="1002"/>
      <c r="T56" s="1002"/>
      <c r="U56" s="1002"/>
      <c r="V56" s="1002"/>
      <c r="W56" s="1002"/>
      <c r="X56" s="1002"/>
      <c r="Y56" s="1002"/>
      <c r="Z56" s="1002"/>
      <c r="AA56" s="1002"/>
      <c r="AB56" s="1002"/>
      <c r="AC56" s="1002"/>
      <c r="AF56" s="1002"/>
      <c r="AG56" s="1002"/>
      <c r="AH56" s="1002"/>
      <c r="AI56" s="1002"/>
      <c r="AJ56" s="1002"/>
      <c r="AK56" s="1002"/>
      <c r="AL56" s="1002"/>
      <c r="AM56" s="1002"/>
      <c r="AN56" s="1002"/>
      <c r="AO56" s="1002"/>
      <c r="AP56" s="1002"/>
      <c r="AQ56" s="1002"/>
      <c r="AR56" s="1002"/>
      <c r="AS56" s="1002"/>
      <c r="AT56" s="1002"/>
      <c r="AU56" s="1002"/>
      <c r="AV56" s="1002"/>
      <c r="AW56" s="1002"/>
      <c r="AX56" s="1002"/>
      <c r="AY56" s="1002"/>
      <c r="AZ56" s="1002"/>
      <c r="BA56" s="1002"/>
      <c r="BB56" s="1002"/>
      <c r="BC56" s="1002"/>
      <c r="BD56" s="1002"/>
      <c r="BE56" s="1002"/>
      <c r="BF56" s="1002"/>
      <c r="BG56" s="1002"/>
      <c r="BH56" s="1002"/>
      <c r="BI56" s="1002"/>
      <c r="BJ56" s="1002"/>
      <c r="BK56" s="1002"/>
      <c r="BL56" s="1002"/>
      <c r="BM56" s="1002"/>
      <c r="BN56" s="1002"/>
      <c r="BO56" s="1002"/>
      <c r="BP56" s="1002"/>
      <c r="BQ56" s="1002"/>
      <c r="BR56" s="1002"/>
      <c r="BS56" s="1002"/>
      <c r="BT56" s="1002"/>
      <c r="BU56" s="1002"/>
      <c r="BV56" s="1002"/>
      <c r="BW56" s="1002"/>
      <c r="BX56" s="1002"/>
      <c r="BY56" s="1002"/>
      <c r="BZ56" s="1002"/>
      <c r="CA56" s="1002"/>
      <c r="CB56" s="1002"/>
      <c r="CC56" s="1002"/>
      <c r="CD56" s="1002"/>
      <c r="CE56" s="1002"/>
      <c r="CF56" s="1002"/>
      <c r="CG56" s="1002"/>
      <c r="CH56" s="1002"/>
      <c r="CI56" s="1002"/>
      <c r="CJ56" s="1002"/>
      <c r="CK56" s="1002"/>
      <c r="CL56" s="1002"/>
      <c r="CM56" s="1002"/>
      <c r="CN56" s="1002"/>
      <c r="CO56" s="1002"/>
      <c r="CP56" s="1002"/>
      <c r="CQ56" s="1002"/>
      <c r="CR56" s="1002"/>
      <c r="CS56" s="1002"/>
      <c r="CT56" s="1002"/>
      <c r="CU56" s="1002"/>
      <c r="CV56" s="1002"/>
      <c r="CW56" s="1002"/>
      <c r="CX56" s="1002"/>
      <c r="CZ56" s="1002"/>
      <c r="DG56" s="156">
        <v>28.43</v>
      </c>
    </row>
    <row r="57" spans="1:111" ht="12.75">
      <c r="A57" s="167" t="s">
        <v>456</v>
      </c>
      <c r="AS57" s="156"/>
      <c r="AT57" s="156"/>
      <c r="AU57" s="156"/>
      <c r="AV57" s="156"/>
      <c r="AW57" s="156"/>
      <c r="AX57" s="156"/>
      <c r="AY57" s="156"/>
      <c r="AZ57" s="156"/>
      <c r="BA57" s="156"/>
      <c r="BB57" s="156"/>
      <c r="DG57" s="156" t="e">
        <v>#VALUE!</v>
      </c>
    </row>
    <row r="58" spans="1:111" ht="12.75">
      <c r="A58" s="165" t="s">
        <v>455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>
        <v>193.57069999999999</v>
      </c>
      <c r="V58" s="656">
        <v>339.29502861999998</v>
      </c>
      <c r="W58" s="656">
        <v>945.09570113999996</v>
      </c>
      <c r="X58" s="656">
        <v>1224.8536962200001</v>
      </c>
      <c r="Y58" s="656">
        <v>1019.1040422000001</v>
      </c>
      <c r="Z58" s="656">
        <v>2157.5604636100002</v>
      </c>
      <c r="AA58" s="656">
        <v>6057.6919416700002</v>
      </c>
      <c r="AB58" s="656">
        <v>5652.5491231599999</v>
      </c>
      <c r="AC58" s="656"/>
      <c r="AD58" s="158"/>
      <c r="AE58" s="158"/>
      <c r="AF58" s="656"/>
      <c r="AG58" s="656"/>
      <c r="AH58" s="656"/>
      <c r="AI58" s="656"/>
      <c r="AJ58" s="656"/>
      <c r="AK58" s="656"/>
      <c r="AL58" s="656"/>
      <c r="AM58" s="656"/>
      <c r="AN58" s="656"/>
      <c r="AO58" s="656"/>
      <c r="AP58" s="656"/>
      <c r="AQ58" s="656"/>
      <c r="AR58" s="656"/>
      <c r="AS58" s="656"/>
      <c r="AT58" s="656"/>
      <c r="AU58" s="656"/>
      <c r="AV58" s="656"/>
      <c r="AW58" s="656"/>
      <c r="AX58" s="656"/>
      <c r="AY58" s="656"/>
      <c r="AZ58" s="656"/>
      <c r="BA58" s="656"/>
      <c r="BB58" s="656"/>
      <c r="BC58" s="656"/>
      <c r="BD58" s="656"/>
      <c r="BE58" s="656"/>
      <c r="BF58" s="656"/>
      <c r="BG58" s="656"/>
      <c r="BH58" s="656"/>
      <c r="BI58" s="656"/>
      <c r="BJ58" s="656"/>
      <c r="BK58" s="656"/>
      <c r="BL58" s="656"/>
      <c r="BM58" s="656"/>
      <c r="BN58" s="656"/>
      <c r="BO58" s="656"/>
      <c r="BP58" s="656"/>
      <c r="BQ58" s="656"/>
      <c r="BR58" s="656"/>
      <c r="BS58" s="656"/>
      <c r="BT58" s="656"/>
      <c r="BU58" s="656"/>
      <c r="BV58" s="656"/>
      <c r="BW58" s="656"/>
      <c r="BX58" s="656"/>
      <c r="BY58" s="656"/>
      <c r="BZ58" s="656"/>
      <c r="CA58" s="656"/>
      <c r="CB58" s="656"/>
      <c r="CC58" s="656">
        <v>886.85940000000005</v>
      </c>
      <c r="CD58" s="656"/>
      <c r="CE58" s="656">
        <v>1224.8536962200001</v>
      </c>
      <c r="CF58" s="656">
        <v>996.45248952999998</v>
      </c>
      <c r="CG58" s="656">
        <v>2530.5770456799996</v>
      </c>
      <c r="CH58" s="656">
        <v>1391.9754471900001</v>
      </c>
      <c r="CI58" s="656">
        <v>1019.1040422000001</v>
      </c>
      <c r="CJ58" s="656">
        <v>1695.54884128</v>
      </c>
      <c r="CK58" s="656">
        <v>1180.2054266800001</v>
      </c>
      <c r="CL58" s="656">
        <v>941.20439264999993</v>
      </c>
      <c r="CM58" s="656">
        <v>2157.5604636100002</v>
      </c>
      <c r="CN58" s="656">
        <v>2040.6731988199999</v>
      </c>
      <c r="CO58" s="656">
        <v>3271.7523049499996</v>
      </c>
      <c r="CP58" s="656">
        <v>5457.8280322099999</v>
      </c>
      <c r="CQ58" s="656">
        <v>6057.6919416700002</v>
      </c>
      <c r="CR58" s="656">
        <v>7053.7157607299996</v>
      </c>
      <c r="CS58" s="656">
        <v>7975.2577327700001</v>
      </c>
      <c r="CT58" s="656">
        <v>6128.3660029799994</v>
      </c>
      <c r="CU58" s="656">
        <v>5652.5491231599999</v>
      </c>
      <c r="CV58" s="656">
        <v>5560.5772265400001</v>
      </c>
      <c r="CW58" s="656">
        <v>5262.1294421800003</v>
      </c>
      <c r="CX58" s="656">
        <v>5719.9640500900005</v>
      </c>
      <c r="CZ58" s="656" t="e">
        <v>#NAME?</v>
      </c>
      <c r="DB58" s="156" t="s">
        <v>455</v>
      </c>
      <c r="DG58" s="156" t="e">
        <v>#VALUE!</v>
      </c>
    </row>
    <row r="59" spans="1:111" ht="12.75">
      <c r="A59" s="165" t="s">
        <v>454</v>
      </c>
      <c r="B59" s="656"/>
      <c r="C59" s="656"/>
      <c r="D59" s="656"/>
      <c r="E59" s="656"/>
      <c r="F59" s="656"/>
      <c r="G59" s="656"/>
      <c r="H59" s="656"/>
      <c r="I59" s="656"/>
      <c r="J59" s="656"/>
      <c r="K59" s="656"/>
      <c r="L59" s="656"/>
      <c r="M59" s="656"/>
      <c r="N59" s="656"/>
      <c r="O59" s="656"/>
      <c r="P59" s="656"/>
      <c r="Q59" s="656"/>
      <c r="R59" s="656"/>
      <c r="S59" s="656"/>
      <c r="T59" s="656"/>
      <c r="U59" s="656"/>
      <c r="V59" s="656"/>
      <c r="W59" s="656"/>
      <c r="X59" s="656"/>
      <c r="Y59" s="656"/>
      <c r="Z59" s="656"/>
      <c r="AA59" s="656"/>
      <c r="AB59" s="656">
        <v>0</v>
      </c>
      <c r="AC59" s="656"/>
      <c r="AD59" s="158"/>
      <c r="AE59" s="158"/>
      <c r="AF59" s="656"/>
      <c r="AG59" s="656"/>
      <c r="AH59" s="656"/>
      <c r="AI59" s="656"/>
      <c r="AJ59" s="656"/>
      <c r="AK59" s="656"/>
      <c r="AL59" s="656"/>
      <c r="AM59" s="656"/>
      <c r="AN59" s="656"/>
      <c r="AO59" s="656"/>
      <c r="AP59" s="656"/>
      <c r="AQ59" s="656"/>
      <c r="AR59" s="656"/>
      <c r="AS59" s="656"/>
      <c r="AT59" s="656"/>
      <c r="AU59" s="656"/>
      <c r="AV59" s="656"/>
      <c r="AW59" s="656"/>
      <c r="AX59" s="656"/>
      <c r="AY59" s="656"/>
      <c r="AZ59" s="656"/>
      <c r="BA59" s="656"/>
      <c r="BB59" s="656"/>
      <c r="BC59" s="656"/>
      <c r="BD59" s="656"/>
      <c r="BE59" s="656"/>
      <c r="BF59" s="656"/>
      <c r="BG59" s="656"/>
      <c r="BH59" s="656"/>
      <c r="BI59" s="656"/>
      <c r="BJ59" s="656"/>
      <c r="BK59" s="656"/>
      <c r="BL59" s="656"/>
      <c r="BM59" s="656"/>
      <c r="BN59" s="656"/>
      <c r="BO59" s="656"/>
      <c r="BP59" s="656"/>
      <c r="BQ59" s="656"/>
      <c r="BR59" s="656"/>
      <c r="BS59" s="656"/>
      <c r="BT59" s="656"/>
      <c r="BU59" s="656"/>
      <c r="BV59" s="656"/>
      <c r="BW59" s="656"/>
      <c r="BX59" s="656"/>
      <c r="BY59" s="656"/>
      <c r="BZ59" s="656"/>
      <c r="CA59" s="656"/>
      <c r="CB59" s="656"/>
      <c r="CC59" s="656"/>
      <c r="CD59" s="656"/>
      <c r="CE59" s="656"/>
      <c r="CF59" s="656"/>
      <c r="CG59" s="656"/>
      <c r="CH59" s="656"/>
      <c r="CI59" s="656"/>
      <c r="CJ59" s="656"/>
      <c r="CK59" s="656"/>
      <c r="CL59" s="656"/>
      <c r="CM59" s="656"/>
      <c r="CN59" s="656"/>
      <c r="CO59" s="656"/>
      <c r="CP59" s="656"/>
      <c r="CQ59" s="656"/>
      <c r="CR59" s="656"/>
      <c r="CS59" s="656">
        <v>0</v>
      </c>
      <c r="CT59" s="656">
        <v>0</v>
      </c>
      <c r="CU59" s="656">
        <v>0</v>
      </c>
      <c r="CV59" s="656">
        <v>0</v>
      </c>
      <c r="CW59" s="656">
        <v>0</v>
      </c>
      <c r="CX59" s="656">
        <v>0</v>
      </c>
      <c r="CY59" s="652"/>
      <c r="CZ59" s="656" t="e">
        <v>#NAME?</v>
      </c>
      <c r="DB59" s="156" t="s">
        <v>454</v>
      </c>
      <c r="DG59" s="156">
        <v>1068.08</v>
      </c>
    </row>
    <row r="60" spans="1:111">
      <c r="A60" s="165" t="s">
        <v>453</v>
      </c>
      <c r="B60" s="656"/>
      <c r="C60" s="656"/>
      <c r="D60" s="656"/>
      <c r="E60" s="656"/>
      <c r="F60" s="656"/>
      <c r="G60" s="656"/>
      <c r="H60" s="656"/>
      <c r="I60" s="656"/>
      <c r="J60" s="656"/>
      <c r="K60" s="656"/>
      <c r="L60" s="656"/>
      <c r="M60" s="656"/>
      <c r="N60" s="656"/>
      <c r="O60" s="656"/>
      <c r="P60" s="656"/>
      <c r="Q60" s="656"/>
      <c r="R60" s="656"/>
      <c r="S60" s="656"/>
      <c r="T60" s="656"/>
      <c r="U60" s="656"/>
      <c r="V60" s="656"/>
      <c r="W60" s="656"/>
      <c r="X60" s="656"/>
      <c r="Y60" s="656"/>
      <c r="Z60" s="656"/>
      <c r="AA60" s="656"/>
      <c r="AB60" s="656">
        <v>0</v>
      </c>
      <c r="AC60" s="656"/>
      <c r="AD60" s="158"/>
      <c r="AE60" s="158"/>
      <c r="AF60" s="656"/>
      <c r="AG60" s="656"/>
      <c r="AH60" s="656"/>
      <c r="AI60" s="656"/>
      <c r="AJ60" s="656"/>
      <c r="AK60" s="656"/>
      <c r="AL60" s="656"/>
      <c r="AM60" s="656"/>
      <c r="AN60" s="656"/>
      <c r="AO60" s="656"/>
      <c r="AP60" s="656"/>
      <c r="AQ60" s="656"/>
      <c r="AR60" s="656"/>
      <c r="AS60" s="656"/>
      <c r="AT60" s="656"/>
      <c r="AU60" s="656"/>
      <c r="AV60" s="656"/>
      <c r="AW60" s="656"/>
      <c r="AX60" s="656"/>
      <c r="AY60" s="656"/>
      <c r="AZ60" s="656"/>
      <c r="BA60" s="656"/>
      <c r="BB60" s="656"/>
      <c r="BC60" s="656"/>
      <c r="BD60" s="656"/>
      <c r="BE60" s="656"/>
      <c r="BF60" s="656"/>
      <c r="BG60" s="656"/>
      <c r="BH60" s="656"/>
      <c r="BI60" s="656"/>
      <c r="BJ60" s="656"/>
      <c r="BK60" s="656"/>
      <c r="BL60" s="656"/>
      <c r="BM60" s="656"/>
      <c r="BN60" s="656"/>
      <c r="BO60" s="656"/>
      <c r="BP60" s="656"/>
      <c r="BQ60" s="656"/>
      <c r="BR60" s="656"/>
      <c r="BS60" s="656"/>
      <c r="BT60" s="656"/>
      <c r="BU60" s="656"/>
      <c r="BV60" s="656"/>
      <c r="BW60" s="656"/>
      <c r="BX60" s="656"/>
      <c r="BY60" s="656"/>
      <c r="BZ60" s="656"/>
      <c r="CA60" s="656"/>
      <c r="CB60" s="656"/>
      <c r="CC60" s="656"/>
      <c r="CD60" s="656"/>
      <c r="CE60" s="656"/>
      <c r="CF60" s="656"/>
      <c r="CG60" s="656"/>
      <c r="CH60" s="656"/>
      <c r="CI60" s="656"/>
      <c r="CJ60" s="656"/>
      <c r="CK60" s="656"/>
      <c r="CL60" s="656"/>
      <c r="CM60" s="656"/>
      <c r="CN60" s="656"/>
      <c r="CO60" s="656"/>
      <c r="CP60" s="656"/>
      <c r="CQ60" s="656"/>
      <c r="CR60" s="656"/>
      <c r="CS60" s="656">
        <v>0</v>
      </c>
      <c r="CT60" s="656">
        <v>0</v>
      </c>
      <c r="CU60" s="656">
        <v>0</v>
      </c>
      <c r="CV60" s="656">
        <v>0</v>
      </c>
      <c r="CW60" s="656">
        <v>0</v>
      </c>
      <c r="CX60" s="656">
        <v>0</v>
      </c>
      <c r="CY60"/>
      <c r="CZ60" s="656" t="e">
        <v>#NAME?</v>
      </c>
      <c r="DB60" s="156" t="s">
        <v>453</v>
      </c>
      <c r="DG60" s="156" t="e">
        <v>#VALUE!</v>
      </c>
    </row>
    <row r="61" spans="1:111">
      <c r="A61" s="165" t="s">
        <v>452</v>
      </c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6"/>
      <c r="P61" s="656"/>
      <c r="Q61" s="656"/>
      <c r="R61" s="656"/>
      <c r="S61" s="656"/>
      <c r="T61" s="656"/>
      <c r="U61" s="656">
        <v>250</v>
      </c>
      <c r="V61" s="656"/>
      <c r="W61" s="656"/>
      <c r="X61" s="656">
        <v>50</v>
      </c>
      <c r="Y61" s="656">
        <v>301.26191781</v>
      </c>
      <c r="Z61" s="656">
        <v>2037.1554293800002</v>
      </c>
      <c r="AA61" s="656">
        <v>1238.5533984000001</v>
      </c>
      <c r="AB61" s="656">
        <v>4897.2055864200001</v>
      </c>
      <c r="AC61" s="656"/>
      <c r="AD61" s="158"/>
      <c r="AE61" s="158"/>
      <c r="AF61" s="656"/>
      <c r="AG61" s="656"/>
      <c r="AH61" s="656"/>
      <c r="AI61" s="656"/>
      <c r="AJ61" s="656"/>
      <c r="AK61" s="656"/>
      <c r="AL61" s="656"/>
      <c r="AM61" s="656"/>
      <c r="AN61" s="656"/>
      <c r="AO61" s="656"/>
      <c r="AP61" s="656"/>
      <c r="AQ61" s="656"/>
      <c r="AR61" s="656"/>
      <c r="AS61" s="656"/>
      <c r="AT61" s="656"/>
      <c r="AU61" s="656"/>
      <c r="AV61" s="656"/>
      <c r="AW61" s="656"/>
      <c r="AX61" s="656"/>
      <c r="AY61" s="656"/>
      <c r="AZ61" s="656"/>
      <c r="BA61" s="656"/>
      <c r="BB61" s="656"/>
      <c r="BC61" s="656"/>
      <c r="BD61" s="656"/>
      <c r="BE61" s="656"/>
      <c r="BF61" s="656"/>
      <c r="BG61" s="656"/>
      <c r="BH61" s="656"/>
      <c r="BI61" s="656"/>
      <c r="BJ61" s="656"/>
      <c r="BK61" s="656"/>
      <c r="BL61" s="656"/>
      <c r="BM61" s="656"/>
      <c r="BN61" s="656"/>
      <c r="BO61" s="656"/>
      <c r="BP61" s="656"/>
      <c r="BQ61" s="656"/>
      <c r="BR61" s="656"/>
      <c r="BS61" s="656"/>
      <c r="BT61" s="656"/>
      <c r="BU61" s="656"/>
      <c r="BV61" s="656"/>
      <c r="BW61" s="656"/>
      <c r="BX61" s="656"/>
      <c r="BY61" s="656"/>
      <c r="BZ61" s="656"/>
      <c r="CA61" s="656"/>
      <c r="CB61" s="656"/>
      <c r="CC61" s="656"/>
      <c r="CD61" s="656"/>
      <c r="CE61" s="656">
        <v>50</v>
      </c>
      <c r="CF61" s="656">
        <v>420</v>
      </c>
      <c r="CG61" s="656">
        <v>638.80035211000006</v>
      </c>
      <c r="CH61" s="656">
        <v>208.06624778</v>
      </c>
      <c r="CI61" s="656">
        <v>301.26191781</v>
      </c>
      <c r="CJ61" s="656">
        <v>401.62803773000002</v>
      </c>
      <c r="CK61" s="656">
        <v>859.38363809999998</v>
      </c>
      <c r="CL61" s="656">
        <v>1929.1278538499998</v>
      </c>
      <c r="CM61" s="656">
        <v>2037.1554293800002</v>
      </c>
      <c r="CN61" s="656">
        <v>2762.0897082900001</v>
      </c>
      <c r="CO61" s="656">
        <v>2393.7710198099999</v>
      </c>
      <c r="CP61" s="656">
        <v>1368.4266416600001</v>
      </c>
      <c r="CQ61" s="656">
        <v>1238.5533984000001</v>
      </c>
      <c r="CR61" s="656">
        <v>1370.2025911199999</v>
      </c>
      <c r="CS61" s="656">
        <v>1137.3717537</v>
      </c>
      <c r="CT61" s="656">
        <v>3143.4950296300003</v>
      </c>
      <c r="CU61" s="656">
        <v>4897.2055864200001</v>
      </c>
      <c r="CV61" s="656">
        <v>4182.9090491799998</v>
      </c>
      <c r="CW61" s="656">
        <v>3912.7479715700001</v>
      </c>
      <c r="CX61" s="656">
        <v>3476.9192602800003</v>
      </c>
      <c r="CY61"/>
      <c r="CZ61" s="656" t="e">
        <v>#NAME?</v>
      </c>
      <c r="DB61" s="156" t="s">
        <v>452</v>
      </c>
      <c r="DG61" s="156">
        <v>183.57</v>
      </c>
    </row>
    <row r="62" spans="1:111">
      <c r="A62" s="165" t="s">
        <v>451</v>
      </c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6"/>
      <c r="P62" s="656"/>
      <c r="Q62" s="656"/>
      <c r="R62" s="656"/>
      <c r="S62" s="656"/>
      <c r="T62" s="656"/>
      <c r="U62" s="656"/>
      <c r="V62" s="656"/>
      <c r="W62" s="656"/>
      <c r="X62" s="656"/>
      <c r="Y62" s="656"/>
      <c r="Z62" s="656"/>
      <c r="AA62" s="656"/>
      <c r="AB62" s="656">
        <v>0</v>
      </c>
      <c r="AC62" s="656"/>
      <c r="AD62" s="158"/>
      <c r="AE62" s="158"/>
      <c r="AF62" s="656"/>
      <c r="AG62" s="656"/>
      <c r="AH62" s="656"/>
      <c r="AI62" s="656"/>
      <c r="AJ62" s="656"/>
      <c r="AK62" s="656"/>
      <c r="AL62" s="656"/>
      <c r="AM62" s="656"/>
      <c r="AN62" s="656"/>
      <c r="AO62" s="656"/>
      <c r="AP62" s="656"/>
      <c r="AQ62" s="656"/>
      <c r="AR62" s="656"/>
      <c r="AS62" s="656"/>
      <c r="AT62" s="656"/>
      <c r="AU62" s="656"/>
      <c r="AV62" s="656"/>
      <c r="AW62" s="656"/>
      <c r="AX62" s="656"/>
      <c r="AY62" s="656"/>
      <c r="AZ62" s="656"/>
      <c r="BA62" s="656"/>
      <c r="BB62" s="656"/>
      <c r="BC62" s="656"/>
      <c r="BD62" s="656"/>
      <c r="BE62" s="656"/>
      <c r="BF62" s="656"/>
      <c r="BG62" s="656"/>
      <c r="BH62" s="656"/>
      <c r="BI62" s="656"/>
      <c r="BJ62" s="656"/>
      <c r="BK62" s="656"/>
      <c r="BL62" s="656"/>
      <c r="BM62" s="656"/>
      <c r="BN62" s="656"/>
      <c r="BO62" s="656"/>
      <c r="BP62" s="656"/>
      <c r="BQ62" s="656"/>
      <c r="BR62" s="656"/>
      <c r="BS62" s="656"/>
      <c r="BT62" s="656"/>
      <c r="BU62" s="656"/>
      <c r="BV62" s="656"/>
      <c r="BW62" s="656"/>
      <c r="BX62" s="656"/>
      <c r="BY62" s="656"/>
      <c r="BZ62" s="656"/>
      <c r="CA62" s="656"/>
      <c r="CB62" s="656"/>
      <c r="CC62" s="656"/>
      <c r="CD62" s="656"/>
      <c r="CE62" s="656"/>
      <c r="CF62" s="656"/>
      <c r="CG62" s="656"/>
      <c r="CH62" s="656"/>
      <c r="CI62" s="656"/>
      <c r="CJ62" s="656"/>
      <c r="CK62" s="656"/>
      <c r="CL62" s="656"/>
      <c r="CM62" s="656"/>
      <c r="CN62" s="656"/>
      <c r="CO62" s="656"/>
      <c r="CP62" s="656"/>
      <c r="CQ62" s="656"/>
      <c r="CR62" s="656"/>
      <c r="CS62" s="656">
        <v>0</v>
      </c>
      <c r="CT62" s="656">
        <v>0</v>
      </c>
      <c r="CU62" s="656">
        <v>0</v>
      </c>
      <c r="CV62" s="656">
        <v>0</v>
      </c>
      <c r="CW62" s="656">
        <v>0</v>
      </c>
      <c r="CX62" s="656">
        <v>0</v>
      </c>
      <c r="CY62"/>
      <c r="CZ62" s="656" t="e">
        <v>#NAME?</v>
      </c>
      <c r="DB62" s="156" t="s">
        <v>451</v>
      </c>
      <c r="DG62" s="156" t="e">
        <v>#VALUE!</v>
      </c>
    </row>
    <row r="63" spans="1:111" ht="12.75">
      <c r="A63" s="165" t="s">
        <v>450</v>
      </c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6"/>
      <c r="P63" s="656"/>
      <c r="Q63" s="656"/>
      <c r="R63" s="656"/>
      <c r="S63" s="656"/>
      <c r="T63" s="656"/>
      <c r="U63" s="656">
        <v>14.084</v>
      </c>
      <c r="V63" s="656">
        <v>39.542317390000001</v>
      </c>
      <c r="W63" s="656">
        <v>25.571792500000001</v>
      </c>
      <c r="X63" s="656">
        <v>12.851729880000001</v>
      </c>
      <c r="Y63" s="656">
        <v>24.573790079999998</v>
      </c>
      <c r="Z63" s="656">
        <v>24.75337687</v>
      </c>
      <c r="AA63" s="656">
        <v>66.355962000000005</v>
      </c>
      <c r="AB63" s="656">
        <v>81.308865280000006</v>
      </c>
      <c r="AC63" s="656"/>
      <c r="AD63" s="158"/>
      <c r="AE63" s="158"/>
      <c r="AF63" s="656"/>
      <c r="AG63" s="656"/>
      <c r="AH63" s="656"/>
      <c r="AI63" s="656"/>
      <c r="AJ63" s="656"/>
      <c r="AK63" s="656"/>
      <c r="AL63" s="656"/>
      <c r="AM63" s="656"/>
      <c r="AN63" s="656"/>
      <c r="AO63" s="656"/>
      <c r="AP63" s="656"/>
      <c r="AQ63" s="656"/>
      <c r="AR63" s="656"/>
      <c r="AS63" s="656"/>
      <c r="AT63" s="656"/>
      <c r="AU63" s="656"/>
      <c r="AV63" s="656"/>
      <c r="AW63" s="656"/>
      <c r="AX63" s="656"/>
      <c r="AY63" s="656"/>
      <c r="AZ63" s="656"/>
      <c r="BA63" s="656"/>
      <c r="BB63" s="656"/>
      <c r="BC63" s="656"/>
      <c r="BD63" s="656"/>
      <c r="BE63" s="656"/>
      <c r="BF63" s="656"/>
      <c r="BG63" s="656"/>
      <c r="BH63" s="656"/>
      <c r="BI63" s="656"/>
      <c r="BJ63" s="656"/>
      <c r="BK63" s="656"/>
      <c r="BL63" s="656"/>
      <c r="BM63" s="656"/>
      <c r="BN63" s="656"/>
      <c r="BO63" s="656"/>
      <c r="BP63" s="656"/>
      <c r="BQ63" s="656"/>
      <c r="BR63" s="656"/>
      <c r="BS63" s="656"/>
      <c r="BT63" s="656"/>
      <c r="BU63" s="656"/>
      <c r="BV63" s="656"/>
      <c r="BW63" s="656"/>
      <c r="BX63" s="656"/>
      <c r="BY63" s="656"/>
      <c r="BZ63" s="656"/>
      <c r="CA63" s="656"/>
      <c r="CB63" s="656"/>
      <c r="CC63" s="656">
        <v>44.004100000000001</v>
      </c>
      <c r="CD63" s="656"/>
      <c r="CE63" s="656">
        <v>12.851729880000001</v>
      </c>
      <c r="CF63" s="656">
        <v>22.366827430000001</v>
      </c>
      <c r="CG63" s="656">
        <v>28.077073420000001</v>
      </c>
      <c r="CH63" s="656">
        <v>25.3012272</v>
      </c>
      <c r="CI63" s="656">
        <v>24.573790079999998</v>
      </c>
      <c r="CJ63" s="656">
        <v>30.533110300000001</v>
      </c>
      <c r="CK63" s="656">
        <v>35.272320899999997</v>
      </c>
      <c r="CL63" s="656">
        <v>35.083859500000003</v>
      </c>
      <c r="CM63" s="656">
        <v>24.75337687</v>
      </c>
      <c r="CN63" s="656">
        <v>36.303901079999996</v>
      </c>
      <c r="CO63" s="656">
        <v>58.994626930000003</v>
      </c>
      <c r="CP63" s="656">
        <v>75.206921059999999</v>
      </c>
      <c r="CQ63" s="656">
        <v>66.355962000000005</v>
      </c>
      <c r="CR63" s="656">
        <v>78.193780829999994</v>
      </c>
      <c r="CS63" s="656">
        <v>92.960932580000005</v>
      </c>
      <c r="CT63" s="656">
        <v>119.16605426999999</v>
      </c>
      <c r="CU63" s="656">
        <v>81.308865280000006</v>
      </c>
      <c r="CV63" s="656">
        <v>64.895475300000001</v>
      </c>
      <c r="CW63" s="656">
        <v>108.19130625</v>
      </c>
      <c r="CX63" s="656">
        <v>101.04558493</v>
      </c>
      <c r="CY63" s="652"/>
      <c r="CZ63" s="656" t="e">
        <v>#NAME?</v>
      </c>
      <c r="DB63" s="156" t="s">
        <v>450</v>
      </c>
      <c r="DG63" s="156">
        <v>567.36</v>
      </c>
    </row>
    <row r="64" spans="1:111" ht="12.75">
      <c r="A64" s="165" t="s">
        <v>449</v>
      </c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6"/>
      <c r="P64" s="656"/>
      <c r="Q64" s="656"/>
      <c r="R64" s="656"/>
      <c r="S64" s="656"/>
      <c r="T64" s="656"/>
      <c r="U64" s="656">
        <v>118.6474</v>
      </c>
      <c r="V64" s="656">
        <v>76.492610659999997</v>
      </c>
      <c r="W64" s="656">
        <v>159.28016308000002</v>
      </c>
      <c r="X64" s="656">
        <v>178.75320053000002</v>
      </c>
      <c r="Y64" s="656">
        <v>56.795126020000005</v>
      </c>
      <c r="Z64" s="656">
        <v>127.11759427</v>
      </c>
      <c r="AA64" s="656">
        <v>158.35047878</v>
      </c>
      <c r="AB64" s="656">
        <v>227.11832190000001</v>
      </c>
      <c r="AC64" s="656"/>
      <c r="AD64" s="158"/>
      <c r="AE64" s="158"/>
      <c r="AF64" s="656"/>
      <c r="AG64" s="656"/>
      <c r="AH64" s="656"/>
      <c r="AI64" s="656"/>
      <c r="AJ64" s="656"/>
      <c r="AK64" s="656"/>
      <c r="AL64" s="656"/>
      <c r="AM64" s="656"/>
      <c r="AN64" s="656"/>
      <c r="AO64" s="656"/>
      <c r="AP64" s="656"/>
      <c r="AQ64" s="656"/>
      <c r="AR64" s="656"/>
      <c r="AS64" s="656"/>
      <c r="AT64" s="656"/>
      <c r="AU64" s="656"/>
      <c r="AV64" s="656"/>
      <c r="AW64" s="656"/>
      <c r="AX64" s="656"/>
      <c r="AY64" s="656"/>
      <c r="AZ64" s="656"/>
      <c r="BA64" s="656"/>
      <c r="BB64" s="656"/>
      <c r="BC64" s="656"/>
      <c r="BD64" s="656"/>
      <c r="BE64" s="656"/>
      <c r="BF64" s="656"/>
      <c r="BG64" s="656"/>
      <c r="BH64" s="656"/>
      <c r="BI64" s="656"/>
      <c r="BJ64" s="656"/>
      <c r="BK64" s="656"/>
      <c r="BL64" s="656"/>
      <c r="BM64" s="656"/>
      <c r="BN64" s="656"/>
      <c r="BO64" s="656"/>
      <c r="BP64" s="656"/>
      <c r="BQ64" s="656"/>
      <c r="BR64" s="656"/>
      <c r="BS64" s="656"/>
      <c r="BT64" s="656"/>
      <c r="BU64" s="656"/>
      <c r="BV64" s="656"/>
      <c r="BW64" s="656"/>
      <c r="BX64" s="656"/>
      <c r="BY64" s="656"/>
      <c r="BZ64" s="656"/>
      <c r="CA64" s="656"/>
      <c r="CB64" s="656"/>
      <c r="CC64" s="656">
        <v>180.12350000000001</v>
      </c>
      <c r="CD64" s="656"/>
      <c r="CE64" s="656">
        <v>178.75320053000002</v>
      </c>
      <c r="CF64" s="656">
        <v>123.91603814</v>
      </c>
      <c r="CG64" s="656">
        <v>93.97572375</v>
      </c>
      <c r="CH64" s="656">
        <v>84.333413419999999</v>
      </c>
      <c r="CI64" s="656">
        <v>56.795126020000005</v>
      </c>
      <c r="CJ64" s="656">
        <v>138.78598416</v>
      </c>
      <c r="CK64" s="656">
        <v>174.13830253</v>
      </c>
      <c r="CL64" s="656">
        <v>102.3514431</v>
      </c>
      <c r="CM64" s="656">
        <v>127.11759427</v>
      </c>
      <c r="CN64" s="656">
        <v>209.09802547999999</v>
      </c>
      <c r="CO64" s="656">
        <v>347.65810812000001</v>
      </c>
      <c r="CP64" s="656">
        <v>356.56909438999998</v>
      </c>
      <c r="CQ64" s="656">
        <v>158.35047878</v>
      </c>
      <c r="CR64" s="656">
        <v>130.21218475000001</v>
      </c>
      <c r="CS64" s="656">
        <v>155.70038059999999</v>
      </c>
      <c r="CT64" s="656">
        <v>253.26924102999999</v>
      </c>
      <c r="CU64" s="656">
        <v>227.11832190000001</v>
      </c>
      <c r="CV64" s="656">
        <v>224.82655099000002</v>
      </c>
      <c r="CW64" s="656">
        <v>323.11968311000004</v>
      </c>
      <c r="CX64" s="656">
        <v>282.63715379000001</v>
      </c>
      <c r="CZ64" s="656" t="e">
        <v>#NAME?</v>
      </c>
      <c r="DB64" s="156" t="s">
        <v>449</v>
      </c>
      <c r="DG64" s="156" t="e">
        <v>#VALUE!</v>
      </c>
    </row>
    <row r="65" spans="1:111" ht="12.75">
      <c r="A65" s="165" t="s">
        <v>448</v>
      </c>
      <c r="B65" s="656"/>
      <c r="C65" s="656"/>
      <c r="D65" s="656"/>
      <c r="E65" s="656"/>
      <c r="F65" s="656"/>
      <c r="G65" s="656"/>
      <c r="H65" s="656"/>
      <c r="I65" s="656"/>
      <c r="J65" s="656"/>
      <c r="K65" s="656"/>
      <c r="L65" s="656"/>
      <c r="M65" s="656"/>
      <c r="N65" s="656"/>
      <c r="O65" s="656"/>
      <c r="P65" s="656"/>
      <c r="Q65" s="656"/>
      <c r="R65" s="656"/>
      <c r="S65" s="656"/>
      <c r="T65" s="656"/>
      <c r="U65" s="656"/>
      <c r="V65" s="656"/>
      <c r="W65" s="656"/>
      <c r="X65" s="656"/>
      <c r="Y65" s="656"/>
      <c r="Z65" s="656"/>
      <c r="AA65" s="656"/>
      <c r="AB65" s="656">
        <v>0</v>
      </c>
      <c r="AC65" s="656"/>
      <c r="AD65" s="158"/>
      <c r="AE65" s="158"/>
      <c r="AF65" s="656"/>
      <c r="AG65" s="656"/>
      <c r="AH65" s="656"/>
      <c r="AI65" s="656"/>
      <c r="AJ65" s="656"/>
      <c r="AK65" s="656"/>
      <c r="AL65" s="656"/>
      <c r="AM65" s="656"/>
      <c r="AN65" s="656"/>
      <c r="AO65" s="656"/>
      <c r="AP65" s="656"/>
      <c r="AQ65" s="656"/>
      <c r="AR65" s="656"/>
      <c r="AS65" s="656"/>
      <c r="AT65" s="656"/>
      <c r="AU65" s="656"/>
      <c r="AV65" s="656"/>
      <c r="AW65" s="656"/>
      <c r="AX65" s="656"/>
      <c r="AY65" s="656"/>
      <c r="AZ65" s="656"/>
      <c r="BA65" s="656"/>
      <c r="BB65" s="656"/>
      <c r="BC65" s="656"/>
      <c r="BD65" s="656"/>
      <c r="BE65" s="656"/>
      <c r="BF65" s="656"/>
      <c r="BG65" s="656"/>
      <c r="BH65" s="656"/>
      <c r="BI65" s="656"/>
      <c r="BJ65" s="656"/>
      <c r="BK65" s="656"/>
      <c r="BL65" s="656"/>
      <c r="BM65" s="656"/>
      <c r="BN65" s="656"/>
      <c r="BO65" s="656"/>
      <c r="BP65" s="656"/>
      <c r="BQ65" s="656"/>
      <c r="BR65" s="656"/>
      <c r="BS65" s="656"/>
      <c r="BT65" s="656"/>
      <c r="BU65" s="656"/>
      <c r="BV65" s="656"/>
      <c r="BW65" s="656"/>
      <c r="BX65" s="656"/>
      <c r="BY65" s="656"/>
      <c r="BZ65" s="656"/>
      <c r="CA65" s="656"/>
      <c r="CB65" s="656"/>
      <c r="CC65" s="656"/>
      <c r="CD65" s="656"/>
      <c r="CE65" s="656"/>
      <c r="CF65" s="656"/>
      <c r="CG65" s="656"/>
      <c r="CH65" s="656"/>
      <c r="CI65" s="656"/>
      <c r="CJ65" s="656"/>
      <c r="CK65" s="656"/>
      <c r="CL65" s="656"/>
      <c r="CM65" s="656"/>
      <c r="CN65" s="656"/>
      <c r="CO65" s="656"/>
      <c r="CP65" s="656"/>
      <c r="CQ65" s="656"/>
      <c r="CR65" s="656"/>
      <c r="CS65" s="656">
        <v>0</v>
      </c>
      <c r="CT65" s="656">
        <v>0</v>
      </c>
      <c r="CU65" s="656">
        <v>0</v>
      </c>
      <c r="CV65" s="656">
        <v>0</v>
      </c>
      <c r="CW65" s="656">
        <v>0</v>
      </c>
      <c r="CX65" s="656">
        <v>0</v>
      </c>
      <c r="CZ65" s="656" t="e">
        <v>#NAME?</v>
      </c>
      <c r="DB65" s="156" t="s">
        <v>448</v>
      </c>
      <c r="DG65" s="156" t="e">
        <v>#VALUE!</v>
      </c>
    </row>
    <row r="66" spans="1:111" ht="12.75">
      <c r="A66" s="165" t="s">
        <v>447</v>
      </c>
      <c r="B66" s="656"/>
      <c r="C66" s="656"/>
      <c r="D66" s="656"/>
      <c r="E66" s="656"/>
      <c r="F66" s="656"/>
      <c r="G66" s="656"/>
      <c r="H66" s="656"/>
      <c r="I66" s="656"/>
      <c r="J66" s="656"/>
      <c r="K66" s="656"/>
      <c r="L66" s="656"/>
      <c r="M66" s="656"/>
      <c r="N66" s="656"/>
      <c r="O66" s="656"/>
      <c r="P66" s="656"/>
      <c r="Q66" s="656"/>
      <c r="R66" s="656"/>
      <c r="S66" s="656"/>
      <c r="T66" s="656"/>
      <c r="U66" s="656"/>
      <c r="V66" s="656"/>
      <c r="W66" s="656"/>
      <c r="X66" s="656"/>
      <c r="Y66" s="656"/>
      <c r="Z66" s="656"/>
      <c r="AA66" s="656"/>
      <c r="AB66" s="656">
        <v>0</v>
      </c>
      <c r="AC66" s="656"/>
      <c r="AD66" s="158"/>
      <c r="AE66" s="158"/>
      <c r="AF66" s="656"/>
      <c r="AG66" s="656"/>
      <c r="AH66" s="656"/>
      <c r="AI66" s="656"/>
      <c r="AJ66" s="656"/>
      <c r="AK66" s="656"/>
      <c r="AL66" s="656"/>
      <c r="AM66" s="656"/>
      <c r="AN66" s="656"/>
      <c r="AO66" s="656"/>
      <c r="AP66" s="656"/>
      <c r="AQ66" s="656"/>
      <c r="AR66" s="656"/>
      <c r="AS66" s="656"/>
      <c r="AT66" s="656"/>
      <c r="AU66" s="656"/>
      <c r="AV66" s="656"/>
      <c r="AW66" s="656"/>
      <c r="AX66" s="656"/>
      <c r="AY66" s="656"/>
      <c r="AZ66" s="656"/>
      <c r="BA66" s="656"/>
      <c r="BB66" s="656"/>
      <c r="BC66" s="656"/>
      <c r="BD66" s="656"/>
      <c r="BE66" s="656"/>
      <c r="BF66" s="656"/>
      <c r="BG66" s="656"/>
      <c r="BH66" s="656"/>
      <c r="BI66" s="656"/>
      <c r="BJ66" s="656"/>
      <c r="BK66" s="656"/>
      <c r="BL66" s="656"/>
      <c r="BM66" s="656"/>
      <c r="BN66" s="656"/>
      <c r="BO66" s="656"/>
      <c r="BP66" s="656"/>
      <c r="BQ66" s="656"/>
      <c r="BR66" s="656"/>
      <c r="BS66" s="656"/>
      <c r="BT66" s="656"/>
      <c r="BU66" s="656"/>
      <c r="BV66" s="656"/>
      <c r="BW66" s="656"/>
      <c r="BX66" s="656"/>
      <c r="BY66" s="656"/>
      <c r="BZ66" s="656"/>
      <c r="CA66" s="656"/>
      <c r="CB66" s="656"/>
      <c r="CC66" s="656"/>
      <c r="CD66" s="656"/>
      <c r="CE66" s="656"/>
      <c r="CF66" s="656"/>
      <c r="CG66" s="656"/>
      <c r="CH66" s="656"/>
      <c r="CI66" s="656"/>
      <c r="CJ66" s="656"/>
      <c r="CK66" s="656"/>
      <c r="CL66" s="656"/>
      <c r="CM66" s="656"/>
      <c r="CN66" s="656"/>
      <c r="CO66" s="656"/>
      <c r="CP66" s="656"/>
      <c r="CQ66" s="656"/>
      <c r="CR66" s="656"/>
      <c r="CS66" s="656">
        <v>0</v>
      </c>
      <c r="CT66" s="656">
        <v>0</v>
      </c>
      <c r="CU66" s="656">
        <v>0</v>
      </c>
      <c r="CV66" s="656">
        <v>0</v>
      </c>
      <c r="CW66" s="656">
        <v>0</v>
      </c>
      <c r="CX66" s="656">
        <v>0</v>
      </c>
      <c r="CZ66" s="656" t="e">
        <v>#NAME?</v>
      </c>
      <c r="DB66" s="156" t="s">
        <v>447</v>
      </c>
      <c r="DG66" s="156">
        <v>12705.62</v>
      </c>
    </row>
    <row r="67" spans="1:111" ht="12.75">
      <c r="A67" s="165" t="s">
        <v>446</v>
      </c>
      <c r="B67" s="656"/>
      <c r="C67" s="656"/>
      <c r="D67" s="656"/>
      <c r="E67" s="656"/>
      <c r="F67" s="656"/>
      <c r="G67" s="656"/>
      <c r="H67" s="656"/>
      <c r="I67" s="656"/>
      <c r="J67" s="656"/>
      <c r="K67" s="656"/>
      <c r="L67" s="656"/>
      <c r="M67" s="656"/>
      <c r="N67" s="656"/>
      <c r="O67" s="656"/>
      <c r="P67" s="656"/>
      <c r="Q67" s="656"/>
      <c r="R67" s="656"/>
      <c r="S67" s="656"/>
      <c r="T67" s="656"/>
      <c r="U67" s="656"/>
      <c r="V67" s="656"/>
      <c r="W67" s="656"/>
      <c r="X67" s="656"/>
      <c r="Y67" s="656"/>
      <c r="Z67" s="656"/>
      <c r="AA67" s="656"/>
      <c r="AB67" s="656">
        <v>0</v>
      </c>
      <c r="AC67" s="656"/>
      <c r="AD67" s="158"/>
      <c r="AE67" s="158"/>
      <c r="AF67" s="656"/>
      <c r="AG67" s="656"/>
      <c r="AH67" s="656"/>
      <c r="AI67" s="656"/>
      <c r="AJ67" s="656"/>
      <c r="AK67" s="656"/>
      <c r="AL67" s="656"/>
      <c r="AM67" s="656"/>
      <c r="AN67" s="656"/>
      <c r="AO67" s="656"/>
      <c r="AP67" s="656"/>
      <c r="AQ67" s="656"/>
      <c r="AR67" s="656"/>
      <c r="AS67" s="656"/>
      <c r="AT67" s="656"/>
      <c r="AU67" s="656"/>
      <c r="AV67" s="656"/>
      <c r="AW67" s="656"/>
      <c r="AX67" s="656"/>
      <c r="AY67" s="656"/>
      <c r="AZ67" s="656"/>
      <c r="BA67" s="656"/>
      <c r="BB67" s="656"/>
      <c r="BC67" s="656"/>
      <c r="BD67" s="656"/>
      <c r="BE67" s="656"/>
      <c r="BF67" s="656"/>
      <c r="BG67" s="656"/>
      <c r="BH67" s="656"/>
      <c r="BI67" s="656"/>
      <c r="BJ67" s="656"/>
      <c r="BK67" s="656"/>
      <c r="BL67" s="656"/>
      <c r="BM67" s="656"/>
      <c r="BN67" s="656"/>
      <c r="BO67" s="656"/>
      <c r="BP67" s="656"/>
      <c r="BQ67" s="656"/>
      <c r="BR67" s="656"/>
      <c r="BS67" s="656"/>
      <c r="BT67" s="656"/>
      <c r="BU67" s="656"/>
      <c r="BV67" s="656"/>
      <c r="BW67" s="656"/>
      <c r="BX67" s="656"/>
      <c r="BY67" s="656"/>
      <c r="BZ67" s="656"/>
      <c r="CA67" s="656"/>
      <c r="CB67" s="656"/>
      <c r="CC67" s="656"/>
      <c r="CD67" s="656"/>
      <c r="CE67" s="656"/>
      <c r="CF67" s="656"/>
      <c r="CG67" s="656"/>
      <c r="CH67" s="656"/>
      <c r="CI67" s="656"/>
      <c r="CJ67" s="656"/>
      <c r="CK67" s="656"/>
      <c r="CL67" s="656"/>
      <c r="CM67" s="656"/>
      <c r="CN67" s="656"/>
      <c r="CO67" s="656"/>
      <c r="CP67" s="656"/>
      <c r="CQ67" s="656"/>
      <c r="CR67" s="656"/>
      <c r="CS67" s="656">
        <v>0</v>
      </c>
      <c r="CT67" s="656">
        <v>0</v>
      </c>
      <c r="CU67" s="656">
        <v>0</v>
      </c>
      <c r="CV67" s="656">
        <v>0</v>
      </c>
      <c r="CW67" s="656">
        <v>0</v>
      </c>
      <c r="CX67" s="656">
        <v>0</v>
      </c>
      <c r="CZ67" s="656" t="e">
        <v>#NAME?</v>
      </c>
      <c r="DB67" s="156" t="s">
        <v>446</v>
      </c>
    </row>
    <row r="68" spans="1:111" ht="12.75">
      <c r="A68" s="165" t="s">
        <v>445</v>
      </c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6"/>
      <c r="P68" s="656"/>
      <c r="Q68" s="656"/>
      <c r="R68" s="656"/>
      <c r="S68" s="656"/>
      <c r="T68" s="656"/>
      <c r="U68" s="656"/>
      <c r="V68" s="656"/>
      <c r="W68" s="656"/>
      <c r="X68" s="656"/>
      <c r="Y68" s="656"/>
      <c r="Z68" s="656"/>
      <c r="AA68" s="656"/>
      <c r="AB68" s="656">
        <v>0</v>
      </c>
      <c r="AC68" s="656"/>
      <c r="AD68" s="158"/>
      <c r="AE68" s="158"/>
      <c r="AF68" s="656"/>
      <c r="AG68" s="656"/>
      <c r="AH68" s="656"/>
      <c r="AI68" s="656"/>
      <c r="AJ68" s="656"/>
      <c r="AK68" s="656"/>
      <c r="AL68" s="656"/>
      <c r="AM68" s="656"/>
      <c r="AN68" s="656"/>
      <c r="AO68" s="656"/>
      <c r="AP68" s="656"/>
      <c r="AQ68" s="656"/>
      <c r="AR68" s="656"/>
      <c r="AS68" s="656"/>
      <c r="AT68" s="656"/>
      <c r="AU68" s="656"/>
      <c r="AV68" s="656"/>
      <c r="AW68" s="656"/>
      <c r="AX68" s="656"/>
      <c r="AY68" s="656"/>
      <c r="AZ68" s="656"/>
      <c r="BA68" s="656"/>
      <c r="BB68" s="656"/>
      <c r="BC68" s="656"/>
      <c r="BD68" s="656"/>
      <c r="BE68" s="656"/>
      <c r="BF68" s="656"/>
      <c r="BG68" s="656"/>
      <c r="BH68" s="656"/>
      <c r="BI68" s="656"/>
      <c r="BJ68" s="656"/>
      <c r="BK68" s="656"/>
      <c r="BL68" s="656"/>
      <c r="BM68" s="656"/>
      <c r="BN68" s="656"/>
      <c r="BO68" s="656"/>
      <c r="BP68" s="656"/>
      <c r="BQ68" s="656"/>
      <c r="BR68" s="656"/>
      <c r="BS68" s="656"/>
      <c r="BT68" s="656"/>
      <c r="BU68" s="656"/>
      <c r="BV68" s="656"/>
      <c r="BW68" s="656"/>
      <c r="BX68" s="656"/>
      <c r="BY68" s="656"/>
      <c r="BZ68" s="656"/>
      <c r="CA68" s="656"/>
      <c r="CB68" s="656"/>
      <c r="CC68" s="656"/>
      <c r="CD68" s="656"/>
      <c r="CE68" s="656"/>
      <c r="CF68" s="656"/>
      <c r="CG68" s="656"/>
      <c r="CH68" s="656"/>
      <c r="CI68" s="656"/>
      <c r="CJ68" s="656"/>
      <c r="CK68" s="656"/>
      <c r="CL68" s="656"/>
      <c r="CM68" s="656"/>
      <c r="CN68" s="656"/>
      <c r="CO68" s="656"/>
      <c r="CP68" s="656"/>
      <c r="CQ68" s="656"/>
      <c r="CR68" s="656"/>
      <c r="CS68" s="656">
        <v>0</v>
      </c>
      <c r="CT68" s="656">
        <v>0</v>
      </c>
      <c r="CU68" s="656">
        <v>0</v>
      </c>
      <c r="CV68" s="656">
        <v>0</v>
      </c>
      <c r="CW68" s="656">
        <v>0</v>
      </c>
      <c r="CX68" s="656">
        <v>0</v>
      </c>
      <c r="CZ68" s="656" t="e">
        <v>#NAME?</v>
      </c>
      <c r="DB68" s="156" t="s">
        <v>445</v>
      </c>
      <c r="DG68" s="156" t="e">
        <v>#VALUE!</v>
      </c>
    </row>
    <row r="69" spans="1:111" ht="12.75">
      <c r="A69" s="165" t="s">
        <v>444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>
        <v>23.54</v>
      </c>
      <c r="V69" s="656">
        <v>29.348600000000001</v>
      </c>
      <c r="W69" s="656">
        <v>17.4605</v>
      </c>
      <c r="X69" s="656">
        <v>15.0214</v>
      </c>
      <c r="Y69" s="656">
        <v>18.48354277</v>
      </c>
      <c r="Z69" s="656">
        <v>16.020219009999998</v>
      </c>
      <c r="AA69" s="656">
        <v>22.274725719999999</v>
      </c>
      <c r="AB69" s="656">
        <v>28.431867499999999</v>
      </c>
      <c r="AC69" s="656"/>
      <c r="AD69" s="158"/>
      <c r="AE69" s="158"/>
      <c r="AF69" s="656"/>
      <c r="AG69" s="656"/>
      <c r="AH69" s="656"/>
      <c r="AI69" s="656"/>
      <c r="AJ69" s="656"/>
      <c r="AK69" s="656"/>
      <c r="AL69" s="656"/>
      <c r="AM69" s="656"/>
      <c r="AN69" s="656"/>
      <c r="AO69" s="656"/>
      <c r="AP69" s="656"/>
      <c r="AQ69" s="656"/>
      <c r="AR69" s="656"/>
      <c r="AS69" s="656"/>
      <c r="AT69" s="656"/>
      <c r="AU69" s="656"/>
      <c r="AV69" s="656"/>
      <c r="AW69" s="656"/>
      <c r="AX69" s="656"/>
      <c r="AY69" s="656"/>
      <c r="AZ69" s="656"/>
      <c r="BA69" s="656"/>
      <c r="BB69" s="656"/>
      <c r="BC69" s="656"/>
      <c r="BD69" s="656"/>
      <c r="BE69" s="656"/>
      <c r="BF69" s="656"/>
      <c r="BG69" s="656"/>
      <c r="BH69" s="656"/>
      <c r="BI69" s="656"/>
      <c r="BJ69" s="656"/>
      <c r="BK69" s="656"/>
      <c r="BL69" s="656"/>
      <c r="BM69" s="656"/>
      <c r="BN69" s="656"/>
      <c r="BO69" s="656"/>
      <c r="BP69" s="656"/>
      <c r="BQ69" s="656"/>
      <c r="BR69" s="656"/>
      <c r="BS69" s="656"/>
      <c r="BT69" s="656"/>
      <c r="BU69" s="656"/>
      <c r="BV69" s="656"/>
      <c r="BW69" s="656"/>
      <c r="BX69" s="656"/>
      <c r="BY69" s="656"/>
      <c r="BZ69" s="656"/>
      <c r="CA69" s="656"/>
      <c r="CB69" s="656"/>
      <c r="CC69" s="656">
        <v>20.7</v>
      </c>
      <c r="CD69" s="656"/>
      <c r="CE69" s="656">
        <v>15.02</v>
      </c>
      <c r="CF69" s="656">
        <v>16.12</v>
      </c>
      <c r="CG69" s="656">
        <v>17.396772600000002</v>
      </c>
      <c r="CH69" s="656">
        <v>64.5</v>
      </c>
      <c r="CI69" s="656">
        <v>18.48354277</v>
      </c>
      <c r="CJ69" s="656"/>
      <c r="CK69" s="656">
        <v>13.09447714</v>
      </c>
      <c r="CL69" s="656"/>
      <c r="CM69" s="656">
        <v>16.020219009999998</v>
      </c>
      <c r="CN69" s="656"/>
      <c r="CO69" s="656">
        <v>31.09415401</v>
      </c>
      <c r="CP69" s="656"/>
      <c r="CQ69" s="656">
        <v>22.274725719999999</v>
      </c>
      <c r="CR69" s="656"/>
      <c r="CS69" s="656">
        <v>32.817339699999998</v>
      </c>
      <c r="CT69" s="656">
        <v>0</v>
      </c>
      <c r="CU69" s="656">
        <v>28.431867499999999</v>
      </c>
      <c r="CV69" s="656">
        <v>0</v>
      </c>
      <c r="CW69" s="656">
        <v>61.157394250000003</v>
      </c>
      <c r="CX69" s="656">
        <v>0</v>
      </c>
      <c r="CZ69" s="656" t="e">
        <v>#NAME?</v>
      </c>
      <c r="DB69" s="156" t="s">
        <v>444</v>
      </c>
      <c r="DG69" s="156" t="e">
        <v>#VALUE!</v>
      </c>
    </row>
    <row r="70" spans="1:111" ht="12.75">
      <c r="A70" s="165" t="s">
        <v>443</v>
      </c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6"/>
      <c r="P70" s="656"/>
      <c r="Q70" s="656"/>
      <c r="R70" s="656"/>
      <c r="S70" s="656"/>
      <c r="T70" s="656"/>
      <c r="U70" s="656"/>
      <c r="V70" s="656"/>
      <c r="W70" s="656"/>
      <c r="X70" s="656"/>
      <c r="Y70" s="656"/>
      <c r="Z70" s="656"/>
      <c r="AA70" s="656"/>
      <c r="AB70" s="656">
        <v>0</v>
      </c>
      <c r="AC70" s="656"/>
      <c r="AD70" s="158"/>
      <c r="AE70" s="158"/>
      <c r="AF70" s="656"/>
      <c r="AG70" s="656"/>
      <c r="AH70" s="656"/>
      <c r="AI70" s="656"/>
      <c r="AJ70" s="656"/>
      <c r="AK70" s="656"/>
      <c r="AL70" s="656"/>
      <c r="AM70" s="656"/>
      <c r="AN70" s="656"/>
      <c r="AO70" s="656"/>
      <c r="AP70" s="656"/>
      <c r="AQ70" s="656"/>
      <c r="AR70" s="656"/>
      <c r="AS70" s="656"/>
      <c r="AT70" s="656"/>
      <c r="AU70" s="656"/>
      <c r="AV70" s="656"/>
      <c r="AW70" s="656"/>
      <c r="AX70" s="656"/>
      <c r="AY70" s="656"/>
      <c r="AZ70" s="656"/>
      <c r="BA70" s="656"/>
      <c r="BB70" s="656"/>
      <c r="BC70" s="656"/>
      <c r="BD70" s="656"/>
      <c r="BE70" s="656"/>
      <c r="BF70" s="656"/>
      <c r="BG70" s="656"/>
      <c r="BH70" s="656"/>
      <c r="BI70" s="656"/>
      <c r="BJ70" s="656"/>
      <c r="BK70" s="656"/>
      <c r="BL70" s="656"/>
      <c r="BM70" s="656"/>
      <c r="BN70" s="656"/>
      <c r="BO70" s="656"/>
      <c r="BP70" s="656"/>
      <c r="BQ70" s="656"/>
      <c r="BR70" s="656"/>
      <c r="BS70" s="656"/>
      <c r="BT70" s="656"/>
      <c r="BU70" s="656"/>
      <c r="BV70" s="656"/>
      <c r="BW70" s="656"/>
      <c r="BX70" s="656"/>
      <c r="BY70" s="656"/>
      <c r="BZ70" s="656"/>
      <c r="CA70" s="656"/>
      <c r="CB70" s="656"/>
      <c r="CC70" s="656"/>
      <c r="CD70" s="656"/>
      <c r="CE70" s="656"/>
      <c r="CF70" s="656"/>
      <c r="CG70" s="656"/>
      <c r="CH70" s="656"/>
      <c r="CI70" s="656"/>
      <c r="CJ70" s="656"/>
      <c r="CK70" s="656"/>
      <c r="CL70" s="656"/>
      <c r="CM70" s="656"/>
      <c r="CN70" s="656"/>
      <c r="CO70" s="656"/>
      <c r="CP70" s="656"/>
      <c r="CQ70" s="656"/>
      <c r="CR70" s="656"/>
      <c r="CS70" s="656">
        <v>5.3627513899999997</v>
      </c>
      <c r="CT70" s="656">
        <v>11.276472699999999</v>
      </c>
      <c r="CU70" s="656">
        <v>0</v>
      </c>
      <c r="CV70" s="656">
        <v>0</v>
      </c>
      <c r="CW70" s="656">
        <v>0</v>
      </c>
      <c r="CX70" s="656">
        <v>0</v>
      </c>
      <c r="CZ70" s="656" t="e">
        <v>#NAME?</v>
      </c>
      <c r="DB70" s="156" t="s">
        <v>443</v>
      </c>
      <c r="DG70" s="156" t="e">
        <v>#VALUE!</v>
      </c>
    </row>
    <row r="71" spans="1:111" ht="12.75">
      <c r="A71" s="165" t="s">
        <v>442</v>
      </c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6"/>
      <c r="P71" s="656"/>
      <c r="Q71" s="656"/>
      <c r="R71" s="656"/>
      <c r="S71" s="656"/>
      <c r="T71" s="656"/>
      <c r="U71" s="656"/>
      <c r="V71" s="656"/>
      <c r="W71" s="656"/>
      <c r="X71" s="656"/>
      <c r="Y71" s="656"/>
      <c r="Z71" s="656"/>
      <c r="AA71" s="656"/>
      <c r="AB71" s="656">
        <v>0</v>
      </c>
      <c r="AC71" s="656"/>
      <c r="AD71" s="158"/>
      <c r="AE71" s="158"/>
      <c r="AF71" s="656"/>
      <c r="AG71" s="656"/>
      <c r="AH71" s="656"/>
      <c r="AI71" s="656"/>
      <c r="AJ71" s="656"/>
      <c r="AK71" s="656"/>
      <c r="AL71" s="656"/>
      <c r="AM71" s="656"/>
      <c r="AN71" s="656"/>
      <c r="AO71" s="656"/>
      <c r="AP71" s="656"/>
      <c r="AQ71" s="656"/>
      <c r="AR71" s="656"/>
      <c r="AS71" s="656"/>
      <c r="AT71" s="656"/>
      <c r="AU71" s="656"/>
      <c r="AV71" s="656"/>
      <c r="AW71" s="656"/>
      <c r="AX71" s="656"/>
      <c r="AY71" s="656"/>
      <c r="AZ71" s="656"/>
      <c r="BA71" s="656"/>
      <c r="BB71" s="656"/>
      <c r="BC71" s="656"/>
      <c r="BD71" s="656"/>
      <c r="BE71" s="656"/>
      <c r="BF71" s="656"/>
      <c r="BG71" s="656"/>
      <c r="BH71" s="656"/>
      <c r="BI71" s="656"/>
      <c r="BJ71" s="656"/>
      <c r="BK71" s="656"/>
      <c r="BL71" s="656"/>
      <c r="BM71" s="656"/>
      <c r="BN71" s="656"/>
      <c r="BO71" s="656"/>
      <c r="BP71" s="656"/>
      <c r="BQ71" s="656"/>
      <c r="BR71" s="656"/>
      <c r="BS71" s="656"/>
      <c r="BT71" s="656"/>
      <c r="BU71" s="656"/>
      <c r="BV71" s="656"/>
      <c r="BW71" s="656"/>
      <c r="BX71" s="656"/>
      <c r="BY71" s="656"/>
      <c r="BZ71" s="656"/>
      <c r="CA71" s="656"/>
      <c r="CB71" s="656"/>
      <c r="CC71" s="656"/>
      <c r="CD71" s="656"/>
      <c r="CE71" s="656"/>
      <c r="CF71" s="656"/>
      <c r="CG71" s="656"/>
      <c r="CH71" s="656"/>
      <c r="CI71" s="656"/>
      <c r="CJ71" s="656"/>
      <c r="CK71" s="656"/>
      <c r="CL71" s="656"/>
      <c r="CM71" s="656"/>
      <c r="CN71" s="656"/>
      <c r="CO71" s="656"/>
      <c r="CP71" s="656"/>
      <c r="CQ71" s="656"/>
      <c r="CR71" s="656"/>
      <c r="CS71" s="656">
        <v>0</v>
      </c>
      <c r="CT71" s="656">
        <v>0</v>
      </c>
      <c r="CU71" s="656">
        <v>0</v>
      </c>
      <c r="CV71" s="656">
        <v>0</v>
      </c>
      <c r="CW71" s="656">
        <v>0</v>
      </c>
      <c r="CX71" s="656">
        <v>0</v>
      </c>
      <c r="CZ71" s="656" t="e">
        <v>#NAME?</v>
      </c>
      <c r="DB71" s="156" t="s">
        <v>442</v>
      </c>
      <c r="DG71" s="156" t="e">
        <v>#VALUE!</v>
      </c>
    </row>
    <row r="72" spans="1:111" ht="12.75">
      <c r="A72" s="165" t="s">
        <v>441</v>
      </c>
      <c r="B72" s="656"/>
      <c r="C72" s="656"/>
      <c r="D72" s="656"/>
      <c r="E72" s="656"/>
      <c r="F72" s="656"/>
      <c r="G72" s="656"/>
      <c r="H72" s="656"/>
      <c r="I72" s="656"/>
      <c r="J72" s="656"/>
      <c r="K72" s="656"/>
      <c r="L72" s="656"/>
      <c r="M72" s="656"/>
      <c r="N72" s="656"/>
      <c r="O72" s="656"/>
      <c r="P72" s="656"/>
      <c r="Q72" s="656"/>
      <c r="R72" s="656"/>
      <c r="S72" s="656"/>
      <c r="T72" s="656"/>
      <c r="U72" s="656">
        <v>134.75049999999999</v>
      </c>
      <c r="V72" s="656">
        <v>119.62862948</v>
      </c>
      <c r="W72" s="656">
        <v>214.22814141999999</v>
      </c>
      <c r="X72" s="656">
        <v>272.70129147</v>
      </c>
      <c r="Y72" s="656">
        <v>340.03603963</v>
      </c>
      <c r="Z72" s="656">
        <v>394.21987751</v>
      </c>
      <c r="AA72" s="656">
        <v>568.60120574999996</v>
      </c>
      <c r="AB72" s="656">
        <v>1068.08370694</v>
      </c>
      <c r="AC72" s="656"/>
      <c r="AD72" s="158"/>
      <c r="AE72" s="158"/>
      <c r="AF72" s="656"/>
      <c r="AG72" s="656"/>
      <c r="AH72" s="656"/>
      <c r="AI72" s="656"/>
      <c r="AJ72" s="656"/>
      <c r="AK72" s="656"/>
      <c r="AL72" s="656"/>
      <c r="AM72" s="656"/>
      <c r="AN72" s="656"/>
      <c r="AO72" s="656"/>
      <c r="AP72" s="656"/>
      <c r="AQ72" s="656"/>
      <c r="AR72" s="656"/>
      <c r="AS72" s="656"/>
      <c r="AT72" s="656"/>
      <c r="AU72" s="656"/>
      <c r="AV72" s="656"/>
      <c r="AW72" s="656"/>
      <c r="AX72" s="656"/>
      <c r="AY72" s="656"/>
      <c r="AZ72" s="656"/>
      <c r="BA72" s="656"/>
      <c r="BB72" s="656"/>
      <c r="BC72" s="656"/>
      <c r="BD72" s="656"/>
      <c r="BE72" s="656"/>
      <c r="BF72" s="656"/>
      <c r="BG72" s="656"/>
      <c r="BH72" s="656"/>
      <c r="BI72" s="656"/>
      <c r="BJ72" s="656"/>
      <c r="BK72" s="656"/>
      <c r="BL72" s="656"/>
      <c r="BM72" s="656"/>
      <c r="BN72" s="656"/>
      <c r="BO72" s="656"/>
      <c r="BP72" s="656"/>
      <c r="BQ72" s="656"/>
      <c r="BR72" s="656"/>
      <c r="BS72" s="656"/>
      <c r="BT72" s="656"/>
      <c r="BU72" s="656"/>
      <c r="BV72" s="656"/>
      <c r="BW72" s="656"/>
      <c r="BX72" s="656"/>
      <c r="BY72" s="656"/>
      <c r="BZ72" s="656"/>
      <c r="CA72" s="656"/>
      <c r="CB72" s="656"/>
      <c r="CC72" s="656">
        <v>231.5035</v>
      </c>
      <c r="CD72" s="656"/>
      <c r="CE72" s="656">
        <v>272.70129147</v>
      </c>
      <c r="CF72" s="656">
        <v>241.68933347999999</v>
      </c>
      <c r="CG72" s="656">
        <v>274.28615908999996</v>
      </c>
      <c r="CH72" s="656">
        <v>229.62850805000002</v>
      </c>
      <c r="CI72" s="656">
        <v>340.03603963</v>
      </c>
      <c r="CJ72" s="656">
        <v>381.38070114999999</v>
      </c>
      <c r="CK72" s="656">
        <v>392.42296155000002</v>
      </c>
      <c r="CL72" s="656">
        <v>318.88445995000001</v>
      </c>
      <c r="CM72" s="656">
        <v>394.21987751</v>
      </c>
      <c r="CN72" s="656">
        <v>342.72416232999996</v>
      </c>
      <c r="CO72" s="656">
        <v>362.36816312000002</v>
      </c>
      <c r="CP72" s="656">
        <v>265.84845988999996</v>
      </c>
      <c r="CQ72" s="656">
        <v>568.60120574999996</v>
      </c>
      <c r="CR72" s="656">
        <v>447.99797912999998</v>
      </c>
      <c r="CS72" s="656">
        <v>456.87630218999999</v>
      </c>
      <c r="CT72" s="656">
        <v>391.10255369999999</v>
      </c>
      <c r="CU72" s="656">
        <v>1068.08370694</v>
      </c>
      <c r="CV72" s="656">
        <v>856.06890021000004</v>
      </c>
      <c r="CW72" s="656">
        <v>678.32126533000007</v>
      </c>
      <c r="CX72" s="656">
        <v>551.85015487999999</v>
      </c>
      <c r="CZ72" s="656" t="e">
        <v>#NAME?</v>
      </c>
      <c r="DB72" s="156" t="s">
        <v>441</v>
      </c>
      <c r="DG72" s="156" t="e">
        <v>#VALUE!</v>
      </c>
    </row>
    <row r="73" spans="1:111" ht="12.75">
      <c r="A73" s="165" t="s">
        <v>440</v>
      </c>
      <c r="B73" s="656"/>
      <c r="C73" s="656"/>
      <c r="D73" s="656"/>
      <c r="E73" s="656"/>
      <c r="F73" s="656"/>
      <c r="G73" s="656"/>
      <c r="H73" s="656"/>
      <c r="I73" s="656"/>
      <c r="J73" s="656"/>
      <c r="K73" s="656"/>
      <c r="L73" s="656"/>
      <c r="M73" s="656"/>
      <c r="N73" s="656"/>
      <c r="O73" s="656"/>
      <c r="P73" s="656"/>
      <c r="Q73" s="656"/>
      <c r="R73" s="656"/>
      <c r="S73" s="656"/>
      <c r="T73" s="656"/>
      <c r="U73" s="656"/>
      <c r="V73" s="656"/>
      <c r="W73" s="656"/>
      <c r="X73" s="656"/>
      <c r="Y73" s="656"/>
      <c r="Z73" s="656"/>
      <c r="AA73" s="656"/>
      <c r="AB73" s="656">
        <v>0</v>
      </c>
      <c r="AC73" s="656"/>
      <c r="AD73" s="158"/>
      <c r="AE73" s="158"/>
      <c r="AF73" s="656"/>
      <c r="AG73" s="656"/>
      <c r="AH73" s="656"/>
      <c r="AI73" s="656"/>
      <c r="AJ73" s="656"/>
      <c r="AK73" s="656"/>
      <c r="AL73" s="656"/>
      <c r="AM73" s="656"/>
      <c r="AN73" s="656"/>
      <c r="AO73" s="656"/>
      <c r="AP73" s="656"/>
      <c r="AQ73" s="656"/>
      <c r="AR73" s="656"/>
      <c r="AS73" s="656"/>
      <c r="AT73" s="656"/>
      <c r="AU73" s="656"/>
      <c r="AV73" s="656"/>
      <c r="AW73" s="656"/>
      <c r="AX73" s="656"/>
      <c r="AY73" s="656"/>
      <c r="AZ73" s="656"/>
      <c r="BA73" s="656"/>
      <c r="BB73" s="656"/>
      <c r="BC73" s="656"/>
      <c r="BD73" s="656"/>
      <c r="BE73" s="656"/>
      <c r="BF73" s="656"/>
      <c r="BG73" s="656"/>
      <c r="BH73" s="656"/>
      <c r="BI73" s="656"/>
      <c r="BJ73" s="656"/>
      <c r="BK73" s="656"/>
      <c r="BL73" s="656"/>
      <c r="BM73" s="656"/>
      <c r="BN73" s="656"/>
      <c r="BO73" s="656"/>
      <c r="BP73" s="656"/>
      <c r="BQ73" s="656"/>
      <c r="BR73" s="656"/>
      <c r="BS73" s="656"/>
      <c r="BT73" s="656"/>
      <c r="BU73" s="656"/>
      <c r="BV73" s="656"/>
      <c r="BW73" s="656"/>
      <c r="BX73" s="656"/>
      <c r="BY73" s="656"/>
      <c r="BZ73" s="656"/>
      <c r="CA73" s="656"/>
      <c r="CB73" s="656"/>
      <c r="CC73" s="656"/>
      <c r="CD73" s="656"/>
      <c r="CE73" s="656"/>
      <c r="CF73" s="656"/>
      <c r="CG73" s="656"/>
      <c r="CH73" s="656"/>
      <c r="CI73" s="656"/>
      <c r="CJ73" s="656"/>
      <c r="CK73" s="656"/>
      <c r="CL73" s="656"/>
      <c r="CM73" s="656"/>
      <c r="CN73" s="656"/>
      <c r="CO73" s="656"/>
      <c r="CP73" s="656"/>
      <c r="CQ73" s="656"/>
      <c r="CR73" s="656"/>
      <c r="CS73" s="656">
        <v>0</v>
      </c>
      <c r="CT73" s="656">
        <v>0</v>
      </c>
      <c r="CU73" s="656">
        <v>0</v>
      </c>
      <c r="CV73" s="656">
        <v>0</v>
      </c>
      <c r="CW73" s="656">
        <v>0</v>
      </c>
      <c r="CX73" s="656">
        <v>0</v>
      </c>
      <c r="CZ73" s="656" t="e">
        <v>#NAME?</v>
      </c>
      <c r="DB73" s="156" t="s">
        <v>440</v>
      </c>
      <c r="DG73" s="156">
        <v>3669.66</v>
      </c>
    </row>
    <row r="74" spans="1:111" ht="12.75">
      <c r="A74" s="165" t="s">
        <v>439</v>
      </c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6"/>
      <c r="P74" s="656"/>
      <c r="Q74" s="656"/>
      <c r="R74" s="656"/>
      <c r="S74" s="656"/>
      <c r="T74" s="656"/>
      <c r="U74" s="656"/>
      <c r="V74" s="656"/>
      <c r="W74" s="656"/>
      <c r="X74" s="656">
        <v>80</v>
      </c>
      <c r="Y74" s="656">
        <v>986.25234932000001</v>
      </c>
      <c r="Z74" s="656">
        <v>1655.0936225999999</v>
      </c>
      <c r="AA74" s="656">
        <v>419.74221391000003</v>
      </c>
      <c r="AB74" s="656">
        <v>183.56808212999999</v>
      </c>
      <c r="AC74" s="656"/>
      <c r="AD74" s="158"/>
      <c r="AE74" s="158"/>
      <c r="AF74" s="656"/>
      <c r="AG74" s="656"/>
      <c r="AH74" s="656"/>
      <c r="AI74" s="656"/>
      <c r="AJ74" s="656"/>
      <c r="AK74" s="656"/>
      <c r="AL74" s="656"/>
      <c r="AM74" s="656"/>
      <c r="AN74" s="656"/>
      <c r="AO74" s="656"/>
      <c r="AP74" s="656"/>
      <c r="AQ74" s="656"/>
      <c r="AR74" s="656"/>
      <c r="AS74" s="656"/>
      <c r="AT74" s="656"/>
      <c r="AU74" s="656"/>
      <c r="AV74" s="656"/>
      <c r="AW74" s="656"/>
      <c r="AX74" s="656"/>
      <c r="AY74" s="656"/>
      <c r="AZ74" s="656"/>
      <c r="BA74" s="656"/>
      <c r="BB74" s="656"/>
      <c r="BC74" s="656"/>
      <c r="BD74" s="656"/>
      <c r="BE74" s="656"/>
      <c r="BF74" s="656"/>
      <c r="BG74" s="656"/>
      <c r="BH74" s="656"/>
      <c r="BI74" s="656"/>
      <c r="BJ74" s="656"/>
      <c r="BK74" s="656"/>
      <c r="BL74" s="656"/>
      <c r="BM74" s="656"/>
      <c r="BN74" s="656"/>
      <c r="BO74" s="656"/>
      <c r="BP74" s="656"/>
      <c r="BQ74" s="656"/>
      <c r="BR74" s="656"/>
      <c r="BS74" s="656"/>
      <c r="BT74" s="656"/>
      <c r="BU74" s="656"/>
      <c r="BV74" s="656"/>
      <c r="BW74" s="656"/>
      <c r="BX74" s="656"/>
      <c r="BY74" s="656"/>
      <c r="BZ74" s="656"/>
      <c r="CA74" s="656"/>
      <c r="CB74" s="656"/>
      <c r="CC74" s="656"/>
      <c r="CD74" s="656"/>
      <c r="CE74" s="656">
        <v>80</v>
      </c>
      <c r="CF74" s="656">
        <v>80</v>
      </c>
      <c r="CG74" s="656">
        <v>331.03260274000002</v>
      </c>
      <c r="CH74" s="656">
        <v>863.94343150999998</v>
      </c>
      <c r="CI74" s="656">
        <v>986.25234932000001</v>
      </c>
      <c r="CJ74" s="656">
        <v>1491.4543665799999</v>
      </c>
      <c r="CK74" s="656">
        <v>1718.0388749599999</v>
      </c>
      <c r="CL74" s="656">
        <v>1642.6149722999999</v>
      </c>
      <c r="CM74" s="656">
        <v>1655.0936225999999</v>
      </c>
      <c r="CN74" s="656">
        <v>1359.0935578499998</v>
      </c>
      <c r="CO74" s="656">
        <v>1122.14025571</v>
      </c>
      <c r="CP74" s="656">
        <v>678.58902845</v>
      </c>
      <c r="CQ74" s="656">
        <v>419.74221391000003</v>
      </c>
      <c r="CR74" s="656">
        <v>208.28</v>
      </c>
      <c r="CS74" s="656">
        <v>202.14649309999999</v>
      </c>
      <c r="CT74" s="656">
        <v>182.12002734000001</v>
      </c>
      <c r="CU74" s="656">
        <v>183.56808212999999</v>
      </c>
      <c r="CV74" s="656">
        <v>376.89075263999996</v>
      </c>
      <c r="CW74" s="656">
        <v>1243.1453494899999</v>
      </c>
      <c r="CX74" s="656">
        <v>1358.42654356</v>
      </c>
      <c r="CZ74" s="656" t="e">
        <v>#NAME?</v>
      </c>
      <c r="DB74" s="156" t="s">
        <v>439</v>
      </c>
      <c r="DG74" s="156">
        <v>554.07000000000005</v>
      </c>
    </row>
    <row r="75" spans="1:111" ht="12.75">
      <c r="A75" s="165" t="s">
        <v>438</v>
      </c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6"/>
      <c r="P75" s="656"/>
      <c r="Q75" s="656"/>
      <c r="R75" s="656"/>
      <c r="S75" s="656"/>
      <c r="T75" s="656"/>
      <c r="U75" s="656"/>
      <c r="V75" s="656"/>
      <c r="W75" s="656"/>
      <c r="X75" s="656"/>
      <c r="Y75" s="656"/>
      <c r="Z75" s="656"/>
      <c r="AA75" s="656"/>
      <c r="AB75" s="656">
        <v>0</v>
      </c>
      <c r="AC75" s="656"/>
      <c r="AD75" s="158"/>
      <c r="AE75" s="158"/>
      <c r="AF75" s="656"/>
      <c r="AG75" s="656"/>
      <c r="AH75" s="656"/>
      <c r="AI75" s="656"/>
      <c r="AJ75" s="656"/>
      <c r="AK75" s="656"/>
      <c r="AL75" s="656"/>
      <c r="AM75" s="656"/>
      <c r="AN75" s="656"/>
      <c r="AO75" s="656"/>
      <c r="AP75" s="656"/>
      <c r="AQ75" s="656"/>
      <c r="AR75" s="656"/>
      <c r="AS75" s="656"/>
      <c r="AT75" s="656"/>
      <c r="AU75" s="656"/>
      <c r="AV75" s="656"/>
      <c r="AW75" s="656"/>
      <c r="AX75" s="656"/>
      <c r="AY75" s="656"/>
      <c r="AZ75" s="656"/>
      <c r="BA75" s="656"/>
      <c r="BB75" s="656"/>
      <c r="BC75" s="656"/>
      <c r="BD75" s="656"/>
      <c r="BE75" s="656"/>
      <c r="BF75" s="656"/>
      <c r="BG75" s="656"/>
      <c r="BH75" s="656"/>
      <c r="BI75" s="656"/>
      <c r="BJ75" s="656"/>
      <c r="BK75" s="656"/>
      <c r="BL75" s="656"/>
      <c r="BM75" s="656"/>
      <c r="BN75" s="656"/>
      <c r="BO75" s="656"/>
      <c r="BP75" s="656"/>
      <c r="BQ75" s="656"/>
      <c r="BR75" s="656"/>
      <c r="BS75" s="656"/>
      <c r="BT75" s="656"/>
      <c r="BU75" s="656"/>
      <c r="BV75" s="656"/>
      <c r="BW75" s="656"/>
      <c r="BX75" s="656"/>
      <c r="BY75" s="656"/>
      <c r="BZ75" s="656"/>
      <c r="CA75" s="656"/>
      <c r="CB75" s="656"/>
      <c r="CC75" s="656"/>
      <c r="CD75" s="656"/>
      <c r="CE75" s="656"/>
      <c r="CF75" s="656"/>
      <c r="CG75" s="656"/>
      <c r="CH75" s="656"/>
      <c r="CI75" s="656"/>
      <c r="CJ75" s="656"/>
      <c r="CK75" s="656"/>
      <c r="CL75" s="656"/>
      <c r="CM75" s="656"/>
      <c r="CN75" s="656"/>
      <c r="CO75" s="656"/>
      <c r="CP75" s="656"/>
      <c r="CQ75" s="656"/>
      <c r="CR75" s="656"/>
      <c r="CS75" s="656">
        <v>0</v>
      </c>
      <c r="CT75" s="656">
        <v>0</v>
      </c>
      <c r="CU75" s="656">
        <v>0</v>
      </c>
      <c r="CV75" s="656">
        <v>0</v>
      </c>
      <c r="CW75" s="656">
        <v>0</v>
      </c>
      <c r="CX75" s="656">
        <v>0</v>
      </c>
      <c r="CZ75" s="656" t="e">
        <v>#NAME?</v>
      </c>
      <c r="DB75" s="156" t="s">
        <v>438</v>
      </c>
      <c r="DG75" s="156" t="e">
        <v>#VALUE!</v>
      </c>
    </row>
    <row r="76" spans="1:111" ht="12.75">
      <c r="A76" s="165" t="s">
        <v>437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>
        <v>270.57760000000002</v>
      </c>
      <c r="V76" s="656">
        <v>78.179511109999993</v>
      </c>
      <c r="W76" s="656">
        <v>89.903657490000001</v>
      </c>
      <c r="X76" s="656">
        <v>124.79585264000001</v>
      </c>
      <c r="Y76" s="656">
        <v>105.01998478</v>
      </c>
      <c r="Z76" s="656">
        <v>834.27051061999998</v>
      </c>
      <c r="AA76" s="656">
        <v>236.99183386999999</v>
      </c>
      <c r="AB76" s="656">
        <v>567.35790444000008</v>
      </c>
      <c r="AC76" s="656"/>
      <c r="AD76" s="158"/>
      <c r="AE76" s="158"/>
      <c r="AF76" s="656"/>
      <c r="AG76" s="656"/>
      <c r="AH76" s="656"/>
      <c r="AI76" s="656"/>
      <c r="AJ76" s="656"/>
      <c r="AK76" s="656"/>
      <c r="AL76" s="656"/>
      <c r="AM76" s="656"/>
      <c r="AN76" s="656"/>
      <c r="AO76" s="656"/>
      <c r="AP76" s="656"/>
      <c r="AQ76" s="656"/>
      <c r="AR76" s="656"/>
      <c r="AS76" s="656"/>
      <c r="AT76" s="656"/>
      <c r="AU76" s="656"/>
      <c r="AV76" s="656"/>
      <c r="AW76" s="656"/>
      <c r="AX76" s="656"/>
      <c r="AY76" s="656"/>
      <c r="AZ76" s="656"/>
      <c r="BA76" s="656"/>
      <c r="BB76" s="656"/>
      <c r="BC76" s="656"/>
      <c r="BD76" s="656"/>
      <c r="BE76" s="656"/>
      <c r="BF76" s="656"/>
      <c r="BG76" s="656"/>
      <c r="BH76" s="656"/>
      <c r="BI76" s="656"/>
      <c r="BJ76" s="656"/>
      <c r="BK76" s="656"/>
      <c r="BL76" s="656"/>
      <c r="BM76" s="656"/>
      <c r="BN76" s="656"/>
      <c r="BO76" s="656"/>
      <c r="BP76" s="656"/>
      <c r="BQ76" s="656"/>
      <c r="BR76" s="656"/>
      <c r="BS76" s="656"/>
      <c r="BT76" s="656"/>
      <c r="BU76" s="656"/>
      <c r="BV76" s="656"/>
      <c r="BW76" s="656"/>
      <c r="BX76" s="656"/>
      <c r="BY76" s="656"/>
      <c r="BZ76" s="656"/>
      <c r="CA76" s="656"/>
      <c r="CB76" s="656"/>
      <c r="CC76" s="656">
        <v>77.513099999999994</v>
      </c>
      <c r="CD76" s="656"/>
      <c r="CE76" s="656">
        <v>124.79585264000001</v>
      </c>
      <c r="CF76" s="656">
        <v>92.683572290000001</v>
      </c>
      <c r="CG76" s="656">
        <v>64.589020739999995</v>
      </c>
      <c r="CH76" s="656">
        <v>74.97695551999999</v>
      </c>
      <c r="CI76" s="656">
        <v>105.01998478</v>
      </c>
      <c r="CJ76" s="656">
        <v>103.55906877</v>
      </c>
      <c r="CK76" s="656">
        <v>771.36970492</v>
      </c>
      <c r="CL76" s="656">
        <v>793.86910491999993</v>
      </c>
      <c r="CM76" s="656">
        <v>834.27051061999998</v>
      </c>
      <c r="CN76" s="656">
        <v>786.06574270999999</v>
      </c>
      <c r="CO76" s="656">
        <v>250.13632651</v>
      </c>
      <c r="CP76" s="656">
        <v>573.62453171000004</v>
      </c>
      <c r="CQ76" s="656">
        <v>236.99183386999999</v>
      </c>
      <c r="CR76" s="656">
        <v>156.22669844999999</v>
      </c>
      <c r="CS76" s="656">
        <v>224.18024431000001</v>
      </c>
      <c r="CT76" s="656">
        <v>428.96572316999999</v>
      </c>
      <c r="CU76" s="656">
        <v>567.35790444000008</v>
      </c>
      <c r="CV76" s="656">
        <v>512.40344209</v>
      </c>
      <c r="CW76" s="656">
        <v>690.72491990000003</v>
      </c>
      <c r="CX76" s="656">
        <v>752.79970072000003</v>
      </c>
      <c r="CZ76" s="656" t="e">
        <v>#NAME?</v>
      </c>
      <c r="DB76" s="156" t="s">
        <v>437</v>
      </c>
      <c r="DG76" s="156" t="e">
        <v>#VALUE!</v>
      </c>
    </row>
    <row r="77" spans="1:111" ht="12.75">
      <c r="A77" s="165" t="s">
        <v>436</v>
      </c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6"/>
      <c r="P77" s="656"/>
      <c r="Q77" s="656"/>
      <c r="R77" s="656"/>
      <c r="S77" s="656"/>
      <c r="T77" s="656"/>
      <c r="U77" s="656"/>
      <c r="V77" s="656"/>
      <c r="W77" s="656"/>
      <c r="X77" s="656"/>
      <c r="Y77" s="656"/>
      <c r="Z77" s="656"/>
      <c r="AA77" s="656"/>
      <c r="AB77" s="656">
        <v>0</v>
      </c>
      <c r="AC77" s="656"/>
      <c r="AD77" s="158"/>
      <c r="AE77" s="158"/>
      <c r="AF77" s="656"/>
      <c r="AG77" s="656"/>
      <c r="AH77" s="656"/>
      <c r="AI77" s="656"/>
      <c r="AJ77" s="656"/>
      <c r="AK77" s="656"/>
      <c r="AL77" s="656"/>
      <c r="AM77" s="656"/>
      <c r="AN77" s="656"/>
      <c r="AO77" s="656"/>
      <c r="AP77" s="656"/>
      <c r="AQ77" s="656"/>
      <c r="AR77" s="656"/>
      <c r="AS77" s="656"/>
      <c r="AT77" s="656"/>
      <c r="AU77" s="656"/>
      <c r="AV77" s="656"/>
      <c r="AW77" s="656"/>
      <c r="AX77" s="656"/>
      <c r="AY77" s="656"/>
      <c r="AZ77" s="656"/>
      <c r="BA77" s="656"/>
      <c r="BB77" s="656"/>
      <c r="BC77" s="656"/>
      <c r="BD77" s="656"/>
      <c r="BE77" s="656"/>
      <c r="BF77" s="656"/>
      <c r="BG77" s="656"/>
      <c r="BH77" s="656"/>
      <c r="BI77" s="656"/>
      <c r="BJ77" s="656"/>
      <c r="BK77" s="656"/>
      <c r="BL77" s="656"/>
      <c r="BM77" s="656"/>
      <c r="BN77" s="656"/>
      <c r="BO77" s="656"/>
      <c r="BP77" s="656"/>
      <c r="BQ77" s="656"/>
      <c r="BR77" s="656"/>
      <c r="BS77" s="656"/>
      <c r="BT77" s="656"/>
      <c r="BU77" s="656"/>
      <c r="BV77" s="656"/>
      <c r="BW77" s="656"/>
      <c r="BX77" s="656"/>
      <c r="BY77" s="656"/>
      <c r="BZ77" s="656"/>
      <c r="CA77" s="656"/>
      <c r="CB77" s="656"/>
      <c r="CC77" s="656"/>
      <c r="CD77" s="656"/>
      <c r="CE77" s="656"/>
      <c r="CF77" s="656"/>
      <c r="CG77" s="656"/>
      <c r="CH77" s="656"/>
      <c r="CI77" s="656"/>
      <c r="CJ77" s="656"/>
      <c r="CK77" s="656"/>
      <c r="CL77" s="656"/>
      <c r="CM77" s="656"/>
      <c r="CN77" s="656"/>
      <c r="CO77" s="656"/>
      <c r="CP77" s="656"/>
      <c r="CQ77" s="656"/>
      <c r="CR77" s="656"/>
      <c r="CS77" s="656">
        <v>0</v>
      </c>
      <c r="CT77" s="656">
        <v>0</v>
      </c>
      <c r="CU77" s="656">
        <v>0</v>
      </c>
      <c r="CV77" s="656">
        <v>0</v>
      </c>
      <c r="CW77" s="656">
        <v>0</v>
      </c>
      <c r="CX77" s="656">
        <v>0</v>
      </c>
      <c r="CZ77" s="656" t="e">
        <v>#NAME?</v>
      </c>
      <c r="DB77" s="156" t="s">
        <v>436</v>
      </c>
      <c r="DG77" s="156" t="e">
        <v>#VALUE!</v>
      </c>
    </row>
    <row r="78" spans="1:111" ht="12.75">
      <c r="A78" s="165" t="s">
        <v>435</v>
      </c>
      <c r="B78" s="656"/>
      <c r="C78" s="656"/>
      <c r="D78" s="656"/>
      <c r="E78" s="656"/>
      <c r="F78" s="656"/>
      <c r="G78" s="656"/>
      <c r="H78" s="656"/>
      <c r="I78" s="656"/>
      <c r="J78" s="656"/>
      <c r="K78" s="656"/>
      <c r="L78" s="656"/>
      <c r="M78" s="656"/>
      <c r="N78" s="656"/>
      <c r="O78" s="656"/>
      <c r="P78" s="656"/>
      <c r="Q78" s="656"/>
      <c r="R78" s="656"/>
      <c r="S78" s="656"/>
      <c r="T78" s="656"/>
      <c r="U78" s="656"/>
      <c r="V78" s="656"/>
      <c r="W78" s="656"/>
      <c r="X78" s="656"/>
      <c r="Y78" s="656"/>
      <c r="Z78" s="656"/>
      <c r="AA78" s="656"/>
      <c r="AB78" s="656">
        <v>0</v>
      </c>
      <c r="AC78" s="656"/>
      <c r="AD78" s="158"/>
      <c r="AE78" s="158"/>
      <c r="AF78" s="656"/>
      <c r="AG78" s="656"/>
      <c r="AH78" s="656"/>
      <c r="AI78" s="656"/>
      <c r="AJ78" s="656"/>
      <c r="AK78" s="656"/>
      <c r="AL78" s="656"/>
      <c r="AM78" s="656"/>
      <c r="AN78" s="656"/>
      <c r="AO78" s="656"/>
      <c r="AP78" s="656"/>
      <c r="AQ78" s="656"/>
      <c r="AR78" s="656"/>
      <c r="AS78" s="656"/>
      <c r="AT78" s="656"/>
      <c r="AU78" s="656"/>
      <c r="AV78" s="656"/>
      <c r="AW78" s="656"/>
      <c r="AX78" s="656"/>
      <c r="AY78" s="656"/>
      <c r="AZ78" s="656"/>
      <c r="BA78" s="656"/>
      <c r="BB78" s="656"/>
      <c r="BC78" s="656"/>
      <c r="BD78" s="656"/>
      <c r="BE78" s="656"/>
      <c r="BF78" s="656"/>
      <c r="BG78" s="656"/>
      <c r="BH78" s="656"/>
      <c r="BI78" s="656"/>
      <c r="BJ78" s="656"/>
      <c r="BK78" s="656"/>
      <c r="BL78" s="656"/>
      <c r="BM78" s="656"/>
      <c r="BN78" s="656"/>
      <c r="BO78" s="656"/>
      <c r="BP78" s="656"/>
      <c r="BQ78" s="656"/>
      <c r="BR78" s="656"/>
      <c r="BS78" s="656"/>
      <c r="BT78" s="656"/>
      <c r="BU78" s="656"/>
      <c r="BV78" s="656"/>
      <c r="BW78" s="656"/>
      <c r="BX78" s="656"/>
      <c r="BY78" s="656"/>
      <c r="BZ78" s="656"/>
      <c r="CA78" s="656"/>
      <c r="CB78" s="656"/>
      <c r="CC78" s="656"/>
      <c r="CD78" s="656"/>
      <c r="CE78" s="656"/>
      <c r="CF78" s="656"/>
      <c r="CG78" s="656"/>
      <c r="CH78" s="656"/>
      <c r="CI78" s="656"/>
      <c r="CJ78" s="656"/>
      <c r="CK78" s="656"/>
      <c r="CL78" s="656"/>
      <c r="CM78" s="656"/>
      <c r="CN78" s="656"/>
      <c r="CO78" s="656"/>
      <c r="CP78" s="656"/>
      <c r="CQ78" s="656"/>
      <c r="CR78" s="656"/>
      <c r="CS78" s="656">
        <v>0</v>
      </c>
      <c r="CT78" s="656">
        <v>0</v>
      </c>
      <c r="CU78" s="656">
        <v>0</v>
      </c>
      <c r="CV78" s="656">
        <v>0</v>
      </c>
      <c r="CW78" s="656">
        <v>0</v>
      </c>
      <c r="CX78" s="656">
        <v>0</v>
      </c>
      <c r="CZ78" s="656" t="e">
        <v>#NAME?</v>
      </c>
      <c r="DB78" s="156" t="s">
        <v>435</v>
      </c>
      <c r="DG78" s="156" t="e">
        <v>#VALUE!</v>
      </c>
    </row>
    <row r="79" spans="1:111" ht="12.75">
      <c r="A79" s="167" t="s">
        <v>434</v>
      </c>
      <c r="B79" s="655"/>
      <c r="C79" s="655"/>
      <c r="D79" s="655"/>
      <c r="E79" s="655"/>
      <c r="F79" s="655"/>
      <c r="G79" s="655"/>
      <c r="H79" s="655"/>
      <c r="I79" s="655"/>
      <c r="J79" s="655"/>
      <c r="K79" s="655"/>
      <c r="L79" s="655"/>
      <c r="M79" s="655"/>
      <c r="N79" s="655"/>
      <c r="O79" s="655"/>
      <c r="P79" s="655"/>
      <c r="Q79" s="655"/>
      <c r="R79" s="655"/>
      <c r="S79" s="655"/>
      <c r="T79" s="655"/>
      <c r="U79" s="655">
        <v>1005.1745</v>
      </c>
      <c r="V79" s="655">
        <v>682.48665453000001</v>
      </c>
      <c r="W79" s="655">
        <v>1451.5399829</v>
      </c>
      <c r="X79" s="655">
        <v>1958.9771959100001</v>
      </c>
      <c r="Y79" s="655">
        <v>2851.52679261</v>
      </c>
      <c r="Z79" s="655">
        <v>7246.1910938700003</v>
      </c>
      <c r="AA79" s="655">
        <v>8768.5617601000013</v>
      </c>
      <c r="AB79" s="655">
        <v>12705.62345777</v>
      </c>
      <c r="AC79" s="655"/>
      <c r="AD79" s="158"/>
      <c r="AE79" s="158"/>
      <c r="AF79" s="655"/>
      <c r="AG79" s="655"/>
      <c r="AH79" s="655"/>
      <c r="AI79" s="655"/>
      <c r="AJ79" s="655"/>
      <c r="AK79" s="655"/>
      <c r="AL79" s="655"/>
      <c r="AM79" s="655"/>
      <c r="AN79" s="655"/>
      <c r="AO79" s="655"/>
      <c r="AP79" s="655"/>
      <c r="AQ79" s="655"/>
      <c r="AR79" s="655"/>
      <c r="AS79" s="655"/>
      <c r="AT79" s="655"/>
      <c r="AU79" s="655"/>
      <c r="AV79" s="655"/>
      <c r="AW79" s="655"/>
      <c r="AX79" s="655"/>
      <c r="AY79" s="655"/>
      <c r="AZ79" s="655"/>
      <c r="BA79" s="655"/>
      <c r="BB79" s="655"/>
      <c r="BC79" s="655"/>
      <c r="BD79" s="655"/>
      <c r="BE79" s="655"/>
      <c r="BF79" s="655"/>
      <c r="BG79" s="655"/>
      <c r="BH79" s="655"/>
      <c r="BI79" s="655"/>
      <c r="BJ79" s="655"/>
      <c r="BK79" s="655"/>
      <c r="BL79" s="655"/>
      <c r="BM79" s="655"/>
      <c r="BN79" s="655"/>
      <c r="BO79" s="655"/>
      <c r="BP79" s="655"/>
      <c r="BQ79" s="655"/>
      <c r="BR79" s="655"/>
      <c r="BS79" s="655"/>
      <c r="BT79" s="655"/>
      <c r="BU79" s="655"/>
      <c r="BV79" s="655"/>
      <c r="BW79" s="655"/>
      <c r="BX79" s="655"/>
      <c r="BY79" s="655"/>
      <c r="BZ79" s="655"/>
      <c r="CA79" s="655"/>
      <c r="CB79" s="655"/>
      <c r="CC79" s="655">
        <v>1440.6986999999999</v>
      </c>
      <c r="CD79" s="655"/>
      <c r="CE79" s="655">
        <v>1958.9771959100001</v>
      </c>
      <c r="CF79" s="655">
        <v>1993.2252270399999</v>
      </c>
      <c r="CG79" s="655">
        <v>3978.7347501300001</v>
      </c>
      <c r="CH79" s="655">
        <v>2942.7217668799999</v>
      </c>
      <c r="CI79" s="655">
        <v>2851.52679261</v>
      </c>
      <c r="CJ79" s="655">
        <v>4319.6204544900002</v>
      </c>
      <c r="CK79" s="655">
        <v>5143.9257067799999</v>
      </c>
      <c r="CL79" s="655">
        <v>5786.9666360699994</v>
      </c>
      <c r="CM79" s="655">
        <v>7246.1910938700003</v>
      </c>
      <c r="CN79" s="655">
        <v>7570.7942613699997</v>
      </c>
      <c r="CO79" s="655">
        <v>7840.6717515399996</v>
      </c>
      <c r="CP79" s="655">
        <v>8805.0460109100004</v>
      </c>
      <c r="CQ79" s="655">
        <v>8768.5617601000013</v>
      </c>
      <c r="CR79" s="655">
        <v>9464.4426274199996</v>
      </c>
      <c r="CS79" s="655">
        <v>10282.673930340001</v>
      </c>
      <c r="CT79" s="655">
        <v>10714.680590049999</v>
      </c>
      <c r="CU79" s="655">
        <v>12705.62345777</v>
      </c>
      <c r="CV79" s="655">
        <v>11826.22677954</v>
      </c>
      <c r="CW79" s="655">
        <v>12279.537332079999</v>
      </c>
      <c r="CX79" s="655">
        <v>12341.02158835</v>
      </c>
      <c r="CZ79" s="655" t="e">
        <v>#NAME?</v>
      </c>
      <c r="DB79" s="156" t="s">
        <v>434</v>
      </c>
      <c r="DG79" s="156">
        <v>746.12</v>
      </c>
    </row>
    <row r="80" spans="1:111">
      <c r="A80" s="167" t="s">
        <v>433</v>
      </c>
      <c r="B80" s="658"/>
      <c r="C80" s="658"/>
      <c r="D80" s="658"/>
      <c r="E80" s="658"/>
      <c r="F80" s="658"/>
      <c r="G80" s="658"/>
      <c r="H80" s="658"/>
      <c r="I80" s="658"/>
      <c r="J80" s="658"/>
      <c r="K80" s="658"/>
      <c r="L80" s="658"/>
      <c r="M80" s="658"/>
      <c r="N80" s="658"/>
      <c r="O80" s="658"/>
      <c r="P80" s="658"/>
      <c r="Q80" s="658"/>
      <c r="R80" s="658"/>
      <c r="S80" s="658"/>
      <c r="T80" s="658"/>
      <c r="U80" s="658"/>
      <c r="V80" s="658"/>
      <c r="W80" s="658"/>
      <c r="X80" s="658"/>
      <c r="Y80" s="658"/>
      <c r="Z80" s="658"/>
      <c r="AA80" s="658"/>
      <c r="AB80" s="658"/>
      <c r="AC80" s="658"/>
      <c r="AD80" s="158"/>
      <c r="AE80" s="158"/>
      <c r="AF80" s="658"/>
      <c r="AG80" s="658"/>
      <c r="AH80" s="658"/>
      <c r="AI80" s="658"/>
      <c r="AJ80" s="658"/>
      <c r="AK80" s="658"/>
      <c r="AL80" s="658"/>
      <c r="AM80" s="658"/>
      <c r="AN80" s="658"/>
      <c r="AO80" s="658"/>
      <c r="AP80" s="658"/>
      <c r="AQ80" s="658"/>
      <c r="AR80" s="658"/>
      <c r="AS80" s="658"/>
      <c r="AT80" s="658"/>
      <c r="AU80" s="658"/>
      <c r="AV80" s="658"/>
      <c r="AW80" s="658"/>
      <c r="AX80" s="658"/>
      <c r="AY80" s="658"/>
      <c r="AZ80" s="658"/>
      <c r="BA80" s="658"/>
      <c r="BB80" s="658"/>
      <c r="BC80" s="658"/>
      <c r="BD80" s="658"/>
      <c r="BE80" s="658"/>
      <c r="BF80" s="658"/>
      <c r="BG80" s="658"/>
      <c r="BH80" s="658"/>
      <c r="BI80" s="658"/>
      <c r="BJ80" s="658"/>
      <c r="BK80" s="658"/>
      <c r="BL80" s="658"/>
      <c r="BM80" s="658"/>
      <c r="BN80" s="658"/>
      <c r="BO80" s="658"/>
      <c r="BP80" s="658"/>
      <c r="BQ80" s="658"/>
      <c r="BR80" s="658"/>
      <c r="BS80" s="658"/>
      <c r="BT80" s="658"/>
      <c r="BU80" s="658"/>
      <c r="BV80" s="658"/>
      <c r="BW80" s="658"/>
      <c r="BX80" s="658"/>
      <c r="BY80" s="658"/>
      <c r="BZ80" s="658"/>
      <c r="CA80" s="658"/>
      <c r="CB80" s="658"/>
      <c r="CC80" s="658"/>
      <c r="CD80" s="658"/>
      <c r="CE80" s="658"/>
      <c r="CF80" s="658"/>
      <c r="CG80" s="658"/>
      <c r="CH80" s="658"/>
      <c r="CI80" s="658"/>
      <c r="CJ80" s="658"/>
      <c r="CK80" s="658"/>
      <c r="CL80" s="658"/>
      <c r="CM80" s="658"/>
      <c r="CN80" s="658"/>
      <c r="CO80" s="658"/>
      <c r="CP80" s="658"/>
      <c r="CQ80" s="658"/>
      <c r="CR80" s="658"/>
      <c r="CS80" s="658"/>
      <c r="CT80" s="658"/>
      <c r="CU80" s="658"/>
      <c r="CV80" s="658"/>
      <c r="CW80" s="658"/>
      <c r="CX80" s="658"/>
      <c r="CZ80" s="658"/>
      <c r="DB80" s="156" t="s">
        <v>433</v>
      </c>
      <c r="DG80" s="156" t="e">
        <v>#VALUE!</v>
      </c>
    </row>
    <row r="81" spans="1:111" ht="12.75">
      <c r="A81" s="165" t="s">
        <v>432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56"/>
      <c r="AB81" s="656">
        <v>0</v>
      </c>
      <c r="AC81" s="656"/>
      <c r="AD81" s="158"/>
      <c r="AE81" s="158"/>
      <c r="AF81" s="656"/>
      <c r="AG81" s="656"/>
      <c r="AH81" s="656"/>
      <c r="AI81" s="656"/>
      <c r="AJ81" s="656"/>
      <c r="AK81" s="656"/>
      <c r="AL81" s="656"/>
      <c r="AM81" s="656"/>
      <c r="AN81" s="656"/>
      <c r="AO81" s="656"/>
      <c r="AP81" s="656"/>
      <c r="AQ81" s="656"/>
      <c r="AR81" s="656"/>
      <c r="AS81" s="656"/>
      <c r="AT81" s="656"/>
      <c r="AU81" s="656"/>
      <c r="AV81" s="656"/>
      <c r="AW81" s="656"/>
      <c r="AX81" s="656"/>
      <c r="AY81" s="656"/>
      <c r="AZ81" s="656"/>
      <c r="BA81" s="656"/>
      <c r="BB81" s="656"/>
      <c r="BC81" s="656"/>
      <c r="BD81" s="656"/>
      <c r="BE81" s="656"/>
      <c r="BF81" s="656"/>
      <c r="BG81" s="656"/>
      <c r="BH81" s="656"/>
      <c r="BI81" s="656"/>
      <c r="BJ81" s="656"/>
      <c r="BK81" s="656"/>
      <c r="BL81" s="656"/>
      <c r="BM81" s="656"/>
      <c r="BN81" s="656"/>
      <c r="BO81" s="656"/>
      <c r="BP81" s="656"/>
      <c r="BQ81" s="656"/>
      <c r="BR81" s="656"/>
      <c r="BS81" s="656"/>
      <c r="BT81" s="656"/>
      <c r="BU81" s="656"/>
      <c r="BV81" s="656"/>
      <c r="BW81" s="656"/>
      <c r="BX81" s="656"/>
      <c r="BY81" s="656"/>
      <c r="BZ81" s="656"/>
      <c r="CA81" s="656"/>
      <c r="CB81" s="656"/>
      <c r="CC81" s="656"/>
      <c r="CD81" s="656"/>
      <c r="CE81" s="656"/>
      <c r="CF81" s="656"/>
      <c r="CG81" s="656"/>
      <c r="CH81" s="656"/>
      <c r="CI81" s="656"/>
      <c r="CJ81" s="656"/>
      <c r="CK81" s="656"/>
      <c r="CL81" s="656"/>
      <c r="CM81" s="656"/>
      <c r="CN81" s="656"/>
      <c r="CO81" s="656"/>
      <c r="CP81" s="656"/>
      <c r="CQ81" s="656"/>
      <c r="CR81" s="656"/>
      <c r="CS81" s="656">
        <v>0</v>
      </c>
      <c r="CT81" s="656">
        <v>0</v>
      </c>
      <c r="CU81" s="656">
        <v>0</v>
      </c>
      <c r="CV81" s="656">
        <v>0</v>
      </c>
      <c r="CW81" s="656">
        <v>0</v>
      </c>
      <c r="CX81" s="656">
        <v>0</v>
      </c>
      <c r="CZ81" s="656" t="e">
        <v>#NAME?</v>
      </c>
      <c r="DB81" s="156" t="s">
        <v>432</v>
      </c>
      <c r="DG81" s="156" t="e">
        <v>#VALUE!</v>
      </c>
    </row>
    <row r="82" spans="1:111" ht="12.75">
      <c r="A82" s="165" t="s">
        <v>1080</v>
      </c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6"/>
      <c r="P82" s="656"/>
      <c r="Q82" s="656"/>
      <c r="R82" s="656"/>
      <c r="S82" s="656"/>
      <c r="T82" s="656"/>
      <c r="U82" s="656" t="s">
        <v>1181</v>
      </c>
      <c r="V82" s="656" t="s">
        <v>1181</v>
      </c>
      <c r="W82" s="656">
        <v>130</v>
      </c>
      <c r="X82" s="656">
        <v>100</v>
      </c>
      <c r="Y82" s="656">
        <v>150</v>
      </c>
      <c r="Z82" s="656">
        <v>382.97883561000003</v>
      </c>
      <c r="AA82" s="656">
        <v>1220.0778355799998</v>
      </c>
      <c r="AB82" s="656">
        <v>3671.6018966900001</v>
      </c>
      <c r="AC82" s="656"/>
      <c r="AD82" s="158"/>
      <c r="AE82" s="158"/>
      <c r="AF82" s="656"/>
      <c r="AG82" s="656"/>
      <c r="AH82" s="656"/>
      <c r="AI82" s="656"/>
      <c r="AJ82" s="656"/>
      <c r="AK82" s="656"/>
      <c r="AL82" s="656"/>
      <c r="AM82" s="656"/>
      <c r="AN82" s="656"/>
      <c r="AO82" s="656"/>
      <c r="AP82" s="656"/>
      <c r="AQ82" s="656"/>
      <c r="AR82" s="656"/>
      <c r="AS82" s="656"/>
      <c r="AT82" s="656"/>
      <c r="AU82" s="656"/>
      <c r="AV82" s="656"/>
      <c r="AW82" s="656"/>
      <c r="AX82" s="656"/>
      <c r="AY82" s="656"/>
      <c r="AZ82" s="656"/>
      <c r="BA82" s="656"/>
      <c r="BB82" s="656"/>
      <c r="BC82" s="656"/>
      <c r="BD82" s="656"/>
      <c r="BE82" s="656"/>
      <c r="BF82" s="656"/>
      <c r="BG82" s="656"/>
      <c r="BH82" s="656"/>
      <c r="BI82" s="656"/>
      <c r="BJ82" s="656"/>
      <c r="BK82" s="656"/>
      <c r="BL82" s="656"/>
      <c r="BM82" s="656"/>
      <c r="BN82" s="656"/>
      <c r="BO82" s="656"/>
      <c r="BP82" s="656"/>
      <c r="BQ82" s="656"/>
      <c r="BR82" s="656"/>
      <c r="BS82" s="656"/>
      <c r="BT82" s="656"/>
      <c r="BU82" s="656"/>
      <c r="BV82" s="656"/>
      <c r="BW82" s="656"/>
      <c r="BX82" s="656"/>
      <c r="BY82" s="656"/>
      <c r="BZ82" s="656"/>
      <c r="CA82" s="656"/>
      <c r="CB82" s="656" t="s">
        <v>1181</v>
      </c>
      <c r="CC82" s="656">
        <v>130</v>
      </c>
      <c r="CD82" s="656" t="s">
        <v>1181</v>
      </c>
      <c r="CE82" s="656">
        <v>100</v>
      </c>
      <c r="CF82" s="656">
        <v>200</v>
      </c>
      <c r="CG82" s="656">
        <v>150</v>
      </c>
      <c r="CH82" s="656">
        <v>150</v>
      </c>
      <c r="CI82" s="656">
        <v>150</v>
      </c>
      <c r="CJ82" s="656">
        <v>150</v>
      </c>
      <c r="CK82" s="656">
        <v>426.57160273</v>
      </c>
      <c r="CL82" s="656">
        <v>379.77521918999997</v>
      </c>
      <c r="CM82" s="656">
        <v>382.97883561000003</v>
      </c>
      <c r="CN82" s="656">
        <v>759.82149124</v>
      </c>
      <c r="CO82" s="656">
        <v>1301.28275678</v>
      </c>
      <c r="CP82" s="656">
        <v>1311.8024386900001</v>
      </c>
      <c r="CQ82" s="656">
        <v>1220.0778355799998</v>
      </c>
      <c r="CR82" s="656">
        <v>1432.9418922</v>
      </c>
      <c r="CS82" s="656">
        <v>3258.46953725</v>
      </c>
      <c r="CT82" s="656">
        <v>3645.0914680199999</v>
      </c>
      <c r="CU82" s="656">
        <v>3671.6018966900001</v>
      </c>
      <c r="CV82" s="656">
        <v>3521.4916789099998</v>
      </c>
      <c r="CW82" s="656">
        <v>2260.0987212</v>
      </c>
      <c r="CX82" s="656">
        <v>2169.6497729499997</v>
      </c>
      <c r="CZ82" s="656" t="e">
        <v>#NAME?</v>
      </c>
      <c r="DG82" s="156">
        <v>55.32</v>
      </c>
    </row>
    <row r="83" spans="1:111" ht="12.75">
      <c r="A83" s="165" t="s">
        <v>431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56"/>
      <c r="AB83" s="656">
        <v>0</v>
      </c>
      <c r="AC83" s="656"/>
      <c r="AD83" s="158"/>
      <c r="AE83" s="158"/>
      <c r="AF83" s="656"/>
      <c r="AG83" s="656"/>
      <c r="AH83" s="656"/>
      <c r="AI83" s="656"/>
      <c r="AJ83" s="656"/>
      <c r="AK83" s="656"/>
      <c r="AL83" s="656"/>
      <c r="AM83" s="656"/>
      <c r="AN83" s="656"/>
      <c r="AO83" s="656"/>
      <c r="AP83" s="656"/>
      <c r="AQ83" s="656"/>
      <c r="AR83" s="656"/>
      <c r="AS83" s="656"/>
      <c r="AT83" s="656"/>
      <c r="AU83" s="656"/>
      <c r="AV83" s="656"/>
      <c r="AW83" s="656"/>
      <c r="AX83" s="656"/>
      <c r="AY83" s="656"/>
      <c r="AZ83" s="656"/>
      <c r="BA83" s="656"/>
      <c r="BB83" s="656"/>
      <c r="BC83" s="656"/>
      <c r="BD83" s="656"/>
      <c r="BE83" s="656"/>
      <c r="BF83" s="656"/>
      <c r="BG83" s="656"/>
      <c r="BH83" s="656"/>
      <c r="BI83" s="656"/>
      <c r="BJ83" s="656"/>
      <c r="BK83" s="656"/>
      <c r="BL83" s="656"/>
      <c r="BM83" s="656"/>
      <c r="BN83" s="656"/>
      <c r="BO83" s="656"/>
      <c r="BP83" s="656"/>
      <c r="BQ83" s="656"/>
      <c r="BR83" s="656"/>
      <c r="BS83" s="656"/>
      <c r="BT83" s="656"/>
      <c r="BU83" s="656"/>
      <c r="BV83" s="656"/>
      <c r="BW83" s="656"/>
      <c r="BX83" s="656"/>
      <c r="BY83" s="656"/>
      <c r="BZ83" s="656"/>
      <c r="CA83" s="656"/>
      <c r="CB83" s="656"/>
      <c r="CC83" s="656"/>
      <c r="CD83" s="656"/>
      <c r="CE83" s="656"/>
      <c r="CF83" s="656"/>
      <c r="CG83" s="656"/>
      <c r="CH83" s="656"/>
      <c r="CI83" s="656"/>
      <c r="CJ83" s="656"/>
      <c r="CK83" s="656"/>
      <c r="CL83" s="656"/>
      <c r="CM83" s="656"/>
      <c r="CN83" s="656"/>
      <c r="CO83" s="656"/>
      <c r="CP83" s="656"/>
      <c r="CQ83" s="656"/>
      <c r="CR83" s="656"/>
      <c r="CS83" s="656">
        <v>0</v>
      </c>
      <c r="CT83" s="656">
        <v>0</v>
      </c>
      <c r="CU83" s="656">
        <v>0</v>
      </c>
      <c r="CV83" s="656">
        <v>0</v>
      </c>
      <c r="CW83" s="656">
        <v>0</v>
      </c>
      <c r="CX83" s="656">
        <v>0</v>
      </c>
      <c r="CZ83" s="656" t="e">
        <v>#NAME?</v>
      </c>
      <c r="DB83" s="156" t="s">
        <v>431</v>
      </c>
      <c r="DG83" s="156">
        <v>459.84</v>
      </c>
    </row>
    <row r="84" spans="1:111" ht="12.75">
      <c r="A84" s="165" t="s">
        <v>430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56"/>
      <c r="AB84" s="656">
        <v>0</v>
      </c>
      <c r="AC84" s="656"/>
      <c r="AD84" s="158"/>
      <c r="AE84" s="158"/>
      <c r="AF84" s="656"/>
      <c r="AG84" s="656"/>
      <c r="AH84" s="656"/>
      <c r="AI84" s="656"/>
      <c r="AJ84" s="656"/>
      <c r="AK84" s="656"/>
      <c r="AL84" s="656"/>
      <c r="AM84" s="656"/>
      <c r="AN84" s="656"/>
      <c r="AO84" s="656"/>
      <c r="AP84" s="656"/>
      <c r="AQ84" s="656"/>
      <c r="AR84" s="656"/>
      <c r="AS84" s="656"/>
      <c r="AT84" s="656"/>
      <c r="AU84" s="656"/>
      <c r="AV84" s="656"/>
      <c r="AW84" s="656"/>
      <c r="AX84" s="656"/>
      <c r="AY84" s="656"/>
      <c r="AZ84" s="656"/>
      <c r="BA84" s="656"/>
      <c r="BB84" s="656"/>
      <c r="BC84" s="656"/>
      <c r="BD84" s="656"/>
      <c r="BE84" s="656"/>
      <c r="BF84" s="656"/>
      <c r="BG84" s="656"/>
      <c r="BH84" s="656"/>
      <c r="BI84" s="656"/>
      <c r="BJ84" s="656"/>
      <c r="BK84" s="656"/>
      <c r="BL84" s="656"/>
      <c r="BM84" s="656"/>
      <c r="BN84" s="656"/>
      <c r="BO84" s="656"/>
      <c r="BP84" s="656"/>
      <c r="BQ84" s="656"/>
      <c r="BR84" s="656"/>
      <c r="BS84" s="656"/>
      <c r="BT84" s="656"/>
      <c r="BU84" s="656"/>
      <c r="BV84" s="656"/>
      <c r="BW84" s="656"/>
      <c r="BX84" s="656"/>
      <c r="BY84" s="656"/>
      <c r="BZ84" s="656"/>
      <c r="CA84" s="656"/>
      <c r="CB84" s="656"/>
      <c r="CC84" s="656"/>
      <c r="CD84" s="656"/>
      <c r="CE84" s="656"/>
      <c r="CF84" s="656"/>
      <c r="CG84" s="656"/>
      <c r="CH84" s="656"/>
      <c r="CI84" s="656"/>
      <c r="CJ84" s="656"/>
      <c r="CK84" s="656"/>
      <c r="CL84" s="656"/>
      <c r="CM84" s="656"/>
      <c r="CN84" s="656"/>
      <c r="CO84" s="656"/>
      <c r="CP84" s="656"/>
      <c r="CQ84" s="656"/>
      <c r="CR84" s="656"/>
      <c r="CS84" s="656">
        <v>0</v>
      </c>
      <c r="CT84" s="656">
        <v>0</v>
      </c>
      <c r="CU84" s="656">
        <v>0</v>
      </c>
      <c r="CV84" s="656">
        <v>0</v>
      </c>
      <c r="CW84" s="656">
        <v>0</v>
      </c>
      <c r="CX84" s="656">
        <v>0</v>
      </c>
      <c r="CZ84" s="656" t="e">
        <v>#NAME?</v>
      </c>
      <c r="DB84" s="156" t="s">
        <v>430</v>
      </c>
      <c r="DG84" s="156">
        <v>350.07</v>
      </c>
    </row>
    <row r="85" spans="1:111" s="808" customFormat="1" ht="12.75">
      <c r="A85" s="806" t="s">
        <v>1110</v>
      </c>
      <c r="B85" s="736"/>
      <c r="C85" s="736"/>
      <c r="D85" s="736"/>
      <c r="E85" s="736"/>
      <c r="F85" s="736"/>
      <c r="G85" s="736"/>
      <c r="H85" s="736"/>
      <c r="I85" s="736"/>
      <c r="J85" s="736"/>
      <c r="K85" s="736"/>
      <c r="L85" s="736"/>
      <c r="M85" s="736"/>
      <c r="N85" s="736"/>
      <c r="O85" s="736"/>
      <c r="P85" s="736"/>
      <c r="Q85" s="736"/>
      <c r="R85" s="736"/>
      <c r="S85" s="736"/>
      <c r="T85" s="736"/>
      <c r="U85" s="736" t="s">
        <v>1181</v>
      </c>
      <c r="V85" s="736" t="s">
        <v>1181</v>
      </c>
      <c r="W85" s="736" t="s">
        <v>1181</v>
      </c>
      <c r="X85" s="736" t="s">
        <v>1181</v>
      </c>
      <c r="Y85" s="736">
        <v>0</v>
      </c>
      <c r="Z85" s="736" t="s">
        <v>1181</v>
      </c>
      <c r="AA85" s="736" t="s">
        <v>1181</v>
      </c>
      <c r="AB85" s="736">
        <v>0</v>
      </c>
      <c r="AC85" s="736"/>
      <c r="AD85" s="807"/>
      <c r="AE85" s="807"/>
      <c r="AF85" s="736"/>
      <c r="AG85" s="736"/>
      <c r="AH85" s="736"/>
      <c r="AI85" s="736"/>
      <c r="AJ85" s="736"/>
      <c r="AK85" s="736"/>
      <c r="AL85" s="736"/>
      <c r="AM85" s="736"/>
      <c r="AN85" s="736"/>
      <c r="AO85" s="736"/>
      <c r="AP85" s="736"/>
      <c r="AQ85" s="736"/>
      <c r="AR85" s="736"/>
      <c r="AS85" s="736"/>
      <c r="AT85" s="736"/>
      <c r="AU85" s="736"/>
      <c r="AV85" s="736"/>
      <c r="AW85" s="736"/>
      <c r="AX85" s="736"/>
      <c r="AY85" s="736"/>
      <c r="AZ85" s="736"/>
      <c r="BA85" s="736"/>
      <c r="BB85" s="736"/>
      <c r="BC85" s="736"/>
      <c r="BD85" s="736"/>
      <c r="BE85" s="736"/>
      <c r="BF85" s="736"/>
      <c r="BG85" s="736"/>
      <c r="BH85" s="736"/>
      <c r="BI85" s="736"/>
      <c r="BJ85" s="736"/>
      <c r="BK85" s="736"/>
      <c r="BL85" s="736"/>
      <c r="BM85" s="736"/>
      <c r="BN85" s="736"/>
      <c r="BO85" s="736"/>
      <c r="BP85" s="736"/>
      <c r="BQ85" s="736"/>
      <c r="BR85" s="736"/>
      <c r="BS85" s="736"/>
      <c r="BT85" s="736"/>
      <c r="BU85" s="736"/>
      <c r="BV85" s="736"/>
      <c r="BW85" s="736"/>
      <c r="BX85" s="736"/>
      <c r="BY85" s="736"/>
      <c r="BZ85" s="736"/>
      <c r="CA85" s="736"/>
      <c r="CB85" s="736" t="s">
        <v>1181</v>
      </c>
      <c r="CC85" s="736" t="s">
        <v>1181</v>
      </c>
      <c r="CD85" s="736" t="s">
        <v>1181</v>
      </c>
      <c r="CE85" s="736" t="s">
        <v>1181</v>
      </c>
      <c r="CF85" s="736" t="s">
        <v>1181</v>
      </c>
      <c r="CG85" s="736" t="s">
        <v>1181</v>
      </c>
      <c r="CH85" s="736">
        <v>300</v>
      </c>
      <c r="CI85" s="736">
        <v>0</v>
      </c>
      <c r="CJ85" s="736" t="s">
        <v>1181</v>
      </c>
      <c r="CK85" s="736" t="s">
        <v>1181</v>
      </c>
      <c r="CL85" s="736" t="s">
        <v>1181</v>
      </c>
      <c r="CM85" s="736" t="s">
        <v>1181</v>
      </c>
      <c r="CN85" s="736" t="s">
        <v>1181</v>
      </c>
      <c r="CO85" s="736" t="s">
        <v>1181</v>
      </c>
      <c r="CP85" s="736" t="s">
        <v>1181</v>
      </c>
      <c r="CQ85" s="736" t="s">
        <v>1181</v>
      </c>
      <c r="CR85" s="736" t="s">
        <v>1181</v>
      </c>
      <c r="CS85" s="656">
        <v>0</v>
      </c>
      <c r="CT85" s="656" t="s">
        <v>1181</v>
      </c>
      <c r="CU85" s="656">
        <v>0</v>
      </c>
      <c r="CV85" s="656" t="s">
        <v>1181</v>
      </c>
      <c r="CW85" s="656">
        <v>0</v>
      </c>
      <c r="CX85" s="656">
        <v>0</v>
      </c>
      <c r="CZ85" s="656" t="e">
        <v>#NAME?</v>
      </c>
      <c r="DG85" s="808" t="e">
        <v>#VALUE!</v>
      </c>
    </row>
    <row r="86" spans="1:111" s="808" customFormat="1" ht="12.75">
      <c r="A86" s="806" t="s">
        <v>1111</v>
      </c>
      <c r="B86" s="736"/>
      <c r="C86" s="736"/>
      <c r="D86" s="736"/>
      <c r="E86" s="736"/>
      <c r="F86" s="736"/>
      <c r="G86" s="736"/>
      <c r="H86" s="736"/>
      <c r="I86" s="736"/>
      <c r="J86" s="736"/>
      <c r="K86" s="736"/>
      <c r="L86" s="736"/>
      <c r="M86" s="736"/>
      <c r="N86" s="736"/>
      <c r="O86" s="736"/>
      <c r="P86" s="736"/>
      <c r="Q86" s="736"/>
      <c r="R86" s="736"/>
      <c r="S86" s="736"/>
      <c r="T86" s="736"/>
      <c r="U86" s="736" t="s">
        <v>1181</v>
      </c>
      <c r="V86" s="736" t="s">
        <v>1181</v>
      </c>
      <c r="W86" s="736" t="s">
        <v>1181</v>
      </c>
      <c r="X86" s="736" t="s">
        <v>1181</v>
      </c>
      <c r="Y86" s="736">
        <v>1926.1558227999999</v>
      </c>
      <c r="Z86" s="736">
        <v>616.70375221000006</v>
      </c>
      <c r="AA86" s="736">
        <v>342.61233933999995</v>
      </c>
      <c r="AB86" s="736">
        <v>377.15304693000002</v>
      </c>
      <c r="AC86" s="736"/>
      <c r="AD86" s="807"/>
      <c r="AE86" s="807"/>
      <c r="AF86" s="736"/>
      <c r="AG86" s="736"/>
      <c r="AH86" s="736"/>
      <c r="AI86" s="736"/>
      <c r="AJ86" s="736"/>
      <c r="AK86" s="736"/>
      <c r="AL86" s="736"/>
      <c r="AM86" s="736"/>
      <c r="AN86" s="736"/>
      <c r="AO86" s="736"/>
      <c r="AP86" s="736"/>
      <c r="AQ86" s="736"/>
      <c r="AR86" s="736"/>
      <c r="AS86" s="736"/>
      <c r="AT86" s="736"/>
      <c r="AU86" s="736"/>
      <c r="AV86" s="736"/>
      <c r="AW86" s="736"/>
      <c r="AX86" s="736"/>
      <c r="AY86" s="736"/>
      <c r="AZ86" s="736"/>
      <c r="BA86" s="736"/>
      <c r="BB86" s="736"/>
      <c r="BC86" s="736"/>
      <c r="BD86" s="736"/>
      <c r="BE86" s="736"/>
      <c r="BF86" s="736"/>
      <c r="BG86" s="736"/>
      <c r="BH86" s="736"/>
      <c r="BI86" s="736"/>
      <c r="BJ86" s="736"/>
      <c r="BK86" s="736"/>
      <c r="BL86" s="736"/>
      <c r="BM86" s="736"/>
      <c r="BN86" s="736"/>
      <c r="BO86" s="736"/>
      <c r="BP86" s="736"/>
      <c r="BQ86" s="736"/>
      <c r="BR86" s="736"/>
      <c r="BS86" s="736"/>
      <c r="BT86" s="736"/>
      <c r="BU86" s="736"/>
      <c r="BV86" s="736"/>
      <c r="BW86" s="736"/>
      <c r="BX86" s="736"/>
      <c r="BY86" s="736"/>
      <c r="BZ86" s="736"/>
      <c r="CA86" s="736"/>
      <c r="CB86" s="736" t="s">
        <v>1181</v>
      </c>
      <c r="CC86" s="736" t="s">
        <v>1181</v>
      </c>
      <c r="CD86" s="736" t="s">
        <v>1181</v>
      </c>
      <c r="CE86" s="736" t="s">
        <v>1181</v>
      </c>
      <c r="CF86" s="736" t="s">
        <v>1181</v>
      </c>
      <c r="CG86" s="736">
        <v>446.37742466000003</v>
      </c>
      <c r="CH86" s="736">
        <v>678.39549177999993</v>
      </c>
      <c r="CI86" s="736">
        <v>1926.1558227999999</v>
      </c>
      <c r="CJ86" s="736">
        <v>1429.2568248599998</v>
      </c>
      <c r="CK86" s="736">
        <v>883.06767523999997</v>
      </c>
      <c r="CL86" s="736">
        <v>886.94447761000004</v>
      </c>
      <c r="CM86" s="736">
        <v>616.70375221000006</v>
      </c>
      <c r="CN86" s="736">
        <v>718.85875222000004</v>
      </c>
      <c r="CO86" s="736">
        <v>392.83662486999998</v>
      </c>
      <c r="CP86" s="736">
        <v>371.82484482999996</v>
      </c>
      <c r="CQ86" s="736">
        <v>342.61233933999995</v>
      </c>
      <c r="CR86" s="736">
        <v>342.61233933999995</v>
      </c>
      <c r="CS86" s="656">
        <v>320.56282503</v>
      </c>
      <c r="CT86" s="656">
        <v>409.59320164999997</v>
      </c>
      <c r="CU86" s="656">
        <v>377.15304693000002</v>
      </c>
      <c r="CV86" s="656">
        <v>377.89044418999998</v>
      </c>
      <c r="CW86" s="656">
        <v>666.43109339</v>
      </c>
      <c r="CX86" s="656">
        <v>1032.9307692</v>
      </c>
      <c r="CZ86" s="656" t="e">
        <v>#NAME?</v>
      </c>
      <c r="DG86" s="808" t="e">
        <v>#VALUE!</v>
      </c>
    </row>
    <row r="87" spans="1:111" ht="12.75">
      <c r="A87" s="165" t="s">
        <v>429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>
        <v>0</v>
      </c>
      <c r="Z87" s="656"/>
      <c r="AA87" s="656"/>
      <c r="AB87" s="656">
        <v>0</v>
      </c>
      <c r="AC87" s="656"/>
      <c r="AD87" s="158"/>
      <c r="AE87" s="158"/>
      <c r="AF87" s="656"/>
      <c r="AG87" s="656"/>
      <c r="AH87" s="656"/>
      <c r="AI87" s="656"/>
      <c r="AJ87" s="656"/>
      <c r="AK87" s="656"/>
      <c r="AL87" s="656"/>
      <c r="AM87" s="656"/>
      <c r="AN87" s="656"/>
      <c r="AO87" s="656"/>
      <c r="AP87" s="656"/>
      <c r="AQ87" s="656"/>
      <c r="AR87" s="656"/>
      <c r="AS87" s="656"/>
      <c r="AT87" s="656"/>
      <c r="AU87" s="656"/>
      <c r="AV87" s="656"/>
      <c r="AW87" s="656"/>
      <c r="AX87" s="656"/>
      <c r="AY87" s="656"/>
      <c r="AZ87" s="656"/>
      <c r="BA87" s="656"/>
      <c r="BB87" s="656"/>
      <c r="BC87" s="656"/>
      <c r="BD87" s="656"/>
      <c r="BE87" s="656"/>
      <c r="BF87" s="656"/>
      <c r="BG87" s="656"/>
      <c r="BH87" s="656"/>
      <c r="BI87" s="656"/>
      <c r="BJ87" s="656"/>
      <c r="BK87" s="656"/>
      <c r="BL87" s="656"/>
      <c r="BM87" s="656"/>
      <c r="BN87" s="656"/>
      <c r="BO87" s="656"/>
      <c r="BP87" s="656"/>
      <c r="BQ87" s="656"/>
      <c r="BR87" s="656"/>
      <c r="BS87" s="656"/>
      <c r="BT87" s="656"/>
      <c r="BU87" s="656"/>
      <c r="BV87" s="656"/>
      <c r="BW87" s="656"/>
      <c r="BX87" s="656"/>
      <c r="BY87" s="656"/>
      <c r="BZ87" s="656"/>
      <c r="CA87" s="656"/>
      <c r="CB87" s="656"/>
      <c r="CC87" s="656"/>
      <c r="CD87" s="656"/>
      <c r="CE87" s="656"/>
      <c r="CF87" s="656"/>
      <c r="CG87" s="656"/>
      <c r="CH87" s="656"/>
      <c r="CI87" s="656"/>
      <c r="CJ87" s="656"/>
      <c r="CK87" s="656"/>
      <c r="CL87" s="656"/>
      <c r="CM87" s="656"/>
      <c r="CN87" s="656"/>
      <c r="CO87" s="656"/>
      <c r="CP87" s="656"/>
      <c r="CQ87" s="656"/>
      <c r="CR87" s="656"/>
      <c r="CS87" s="656">
        <v>0</v>
      </c>
      <c r="CT87" s="656">
        <v>0</v>
      </c>
      <c r="CU87" s="656">
        <v>0</v>
      </c>
      <c r="CV87" s="656">
        <v>0</v>
      </c>
      <c r="CW87" s="656">
        <v>0</v>
      </c>
      <c r="CX87" s="656">
        <v>0</v>
      </c>
      <c r="CZ87" s="656" t="e">
        <v>#NAME?</v>
      </c>
      <c r="DB87" s="156" t="s">
        <v>429</v>
      </c>
      <c r="DG87" s="156">
        <v>9970.67</v>
      </c>
    </row>
    <row r="88" spans="1:111" ht="12.75">
      <c r="A88" s="165" t="s">
        <v>428</v>
      </c>
      <c r="B88" s="656"/>
      <c r="C88" s="656"/>
      <c r="D88" s="656"/>
      <c r="E88" s="656"/>
      <c r="F88" s="656"/>
      <c r="G88" s="656"/>
      <c r="H88" s="656"/>
      <c r="I88" s="656"/>
      <c r="J88" s="656"/>
      <c r="K88" s="656"/>
      <c r="L88" s="656"/>
      <c r="M88" s="656"/>
      <c r="N88" s="656"/>
      <c r="O88" s="656"/>
      <c r="P88" s="656"/>
      <c r="Q88" s="656"/>
      <c r="R88" s="656"/>
      <c r="S88" s="656"/>
      <c r="T88" s="656"/>
      <c r="U88" s="656"/>
      <c r="V88" s="656"/>
      <c r="W88" s="656"/>
      <c r="X88" s="656"/>
      <c r="Y88" s="656">
        <v>0</v>
      </c>
      <c r="Z88" s="656"/>
      <c r="AA88" s="656"/>
      <c r="AB88" s="656">
        <v>0</v>
      </c>
      <c r="AC88" s="656"/>
      <c r="AD88" s="158"/>
      <c r="AE88" s="158"/>
      <c r="AF88" s="656"/>
      <c r="AG88" s="656"/>
      <c r="AH88" s="656"/>
      <c r="AI88" s="656"/>
      <c r="AJ88" s="656"/>
      <c r="AK88" s="656"/>
      <c r="AL88" s="656"/>
      <c r="AM88" s="656"/>
      <c r="AN88" s="656"/>
      <c r="AO88" s="656"/>
      <c r="AP88" s="656"/>
      <c r="AQ88" s="656"/>
      <c r="AR88" s="656"/>
      <c r="AS88" s="656"/>
      <c r="AT88" s="656"/>
      <c r="AU88" s="656"/>
      <c r="AV88" s="656"/>
      <c r="AW88" s="656"/>
      <c r="AX88" s="656"/>
      <c r="AY88" s="656"/>
      <c r="AZ88" s="656"/>
      <c r="BA88" s="656"/>
      <c r="BB88" s="656"/>
      <c r="BC88" s="656"/>
      <c r="BD88" s="656"/>
      <c r="BE88" s="656"/>
      <c r="BF88" s="656"/>
      <c r="BG88" s="656"/>
      <c r="BH88" s="656"/>
      <c r="BI88" s="656"/>
      <c r="BJ88" s="656"/>
      <c r="BK88" s="656"/>
      <c r="BL88" s="656"/>
      <c r="BM88" s="656"/>
      <c r="BN88" s="656"/>
      <c r="BO88" s="656"/>
      <c r="BP88" s="656"/>
      <c r="BQ88" s="656"/>
      <c r="BR88" s="656"/>
      <c r="BS88" s="656"/>
      <c r="BT88" s="656"/>
      <c r="BU88" s="656"/>
      <c r="BV88" s="656"/>
      <c r="BW88" s="656"/>
      <c r="BX88" s="656"/>
      <c r="BY88" s="656"/>
      <c r="BZ88" s="656"/>
      <c r="CA88" s="656"/>
      <c r="CB88" s="656"/>
      <c r="CC88" s="656"/>
      <c r="CD88" s="656"/>
      <c r="CE88" s="656"/>
      <c r="CF88" s="656"/>
      <c r="CG88" s="656"/>
      <c r="CH88" s="656"/>
      <c r="CI88" s="656"/>
      <c r="CJ88" s="656"/>
      <c r="CK88" s="656"/>
      <c r="CL88" s="656"/>
      <c r="CM88" s="656"/>
      <c r="CN88" s="656"/>
      <c r="CO88" s="656"/>
      <c r="CP88" s="656"/>
      <c r="CQ88" s="656"/>
      <c r="CR88" s="656"/>
      <c r="CS88" s="656">
        <v>0</v>
      </c>
      <c r="CT88" s="656">
        <v>0</v>
      </c>
      <c r="CU88" s="656">
        <v>0</v>
      </c>
      <c r="CV88" s="656">
        <v>0</v>
      </c>
      <c r="CW88" s="656">
        <v>0</v>
      </c>
      <c r="CX88" s="656">
        <v>0</v>
      </c>
      <c r="CZ88" s="656" t="e">
        <v>#NAME?</v>
      </c>
      <c r="DB88" s="156" t="s">
        <v>428</v>
      </c>
      <c r="DG88" s="156" t="e">
        <v>#VALUE!</v>
      </c>
    </row>
    <row r="89" spans="1:111" ht="12.75">
      <c r="A89" s="165" t="s">
        <v>427</v>
      </c>
      <c r="B89" s="656"/>
      <c r="C89" s="656"/>
      <c r="D89" s="656"/>
      <c r="E89" s="656"/>
      <c r="F89" s="656"/>
      <c r="G89" s="656"/>
      <c r="H89" s="656"/>
      <c r="I89" s="656"/>
      <c r="J89" s="656"/>
      <c r="K89" s="656"/>
      <c r="L89" s="656"/>
      <c r="M89" s="656"/>
      <c r="N89" s="656"/>
      <c r="O89" s="656"/>
      <c r="P89" s="656"/>
      <c r="Q89" s="656"/>
      <c r="R89" s="656"/>
      <c r="S89" s="656"/>
      <c r="T89" s="656"/>
      <c r="U89" s="656"/>
      <c r="V89" s="656"/>
      <c r="W89" s="656"/>
      <c r="X89" s="656"/>
      <c r="Y89" s="656">
        <v>0</v>
      </c>
      <c r="Z89" s="656"/>
      <c r="AA89" s="656"/>
      <c r="AB89" s="656">
        <v>0</v>
      </c>
      <c r="AC89" s="656"/>
      <c r="AD89" s="158"/>
      <c r="AE89" s="158"/>
      <c r="AF89" s="656"/>
      <c r="AG89" s="656"/>
      <c r="AH89" s="656"/>
      <c r="AI89" s="656"/>
      <c r="AJ89" s="656"/>
      <c r="AK89" s="656"/>
      <c r="AL89" s="656"/>
      <c r="AM89" s="656"/>
      <c r="AN89" s="656"/>
      <c r="AO89" s="656"/>
      <c r="AP89" s="656"/>
      <c r="AQ89" s="656"/>
      <c r="AR89" s="656"/>
      <c r="AS89" s="656"/>
      <c r="AT89" s="656"/>
      <c r="AU89" s="656"/>
      <c r="AV89" s="656"/>
      <c r="AW89" s="656"/>
      <c r="AX89" s="656"/>
      <c r="AY89" s="656"/>
      <c r="AZ89" s="656"/>
      <c r="BA89" s="656"/>
      <c r="BB89" s="656"/>
      <c r="BC89" s="656"/>
      <c r="BD89" s="656"/>
      <c r="BE89" s="656"/>
      <c r="BF89" s="656"/>
      <c r="BG89" s="656"/>
      <c r="BH89" s="656"/>
      <c r="BI89" s="656"/>
      <c r="BJ89" s="656"/>
      <c r="BK89" s="656"/>
      <c r="BL89" s="656"/>
      <c r="BM89" s="656"/>
      <c r="BN89" s="656"/>
      <c r="BO89" s="656"/>
      <c r="BP89" s="656"/>
      <c r="BQ89" s="656"/>
      <c r="BR89" s="656"/>
      <c r="BS89" s="656"/>
      <c r="BT89" s="656"/>
      <c r="BU89" s="656"/>
      <c r="BV89" s="656"/>
      <c r="BW89" s="656"/>
      <c r="BX89" s="656"/>
      <c r="BY89" s="656"/>
      <c r="BZ89" s="656"/>
      <c r="CA89" s="656"/>
      <c r="CB89" s="656"/>
      <c r="CC89" s="656"/>
      <c r="CD89" s="656"/>
      <c r="CE89" s="656"/>
      <c r="CF89" s="656"/>
      <c r="CG89" s="656"/>
      <c r="CH89" s="656"/>
      <c r="CI89" s="656"/>
      <c r="CJ89" s="656"/>
      <c r="CK89" s="656"/>
      <c r="CL89" s="656"/>
      <c r="CM89" s="656"/>
      <c r="CN89" s="656"/>
      <c r="CO89" s="656"/>
      <c r="CP89" s="656"/>
      <c r="CQ89" s="656"/>
      <c r="CR89" s="656"/>
      <c r="CS89" s="656">
        <v>0</v>
      </c>
      <c r="CT89" s="656">
        <v>0</v>
      </c>
      <c r="CU89" s="656">
        <v>0</v>
      </c>
      <c r="CV89" s="656">
        <v>0</v>
      </c>
      <c r="CW89" s="656">
        <v>0</v>
      </c>
      <c r="CX89" s="656">
        <v>0</v>
      </c>
      <c r="CZ89" s="656" t="e">
        <v>#NAME?</v>
      </c>
      <c r="DB89" s="156" t="s">
        <v>427</v>
      </c>
      <c r="DG89" s="156" t="e">
        <v>#VALUE!</v>
      </c>
    </row>
    <row r="90" spans="1:111" ht="12.75">
      <c r="A90" s="165" t="s">
        <v>426</v>
      </c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6"/>
      <c r="P90" s="656"/>
      <c r="Q90" s="656"/>
      <c r="R90" s="656"/>
      <c r="S90" s="656"/>
      <c r="T90" s="656"/>
      <c r="U90" s="656">
        <v>584.84289999999999</v>
      </c>
      <c r="V90" s="656">
        <v>930.85284625999998</v>
      </c>
      <c r="W90" s="656">
        <v>1048.9747383399999</v>
      </c>
      <c r="X90" s="656">
        <v>1404.3770111600002</v>
      </c>
      <c r="Y90" s="656">
        <v>1909.13007315</v>
      </c>
      <c r="Z90" s="656">
        <v>2232.1625387499998</v>
      </c>
      <c r="AA90" s="656">
        <v>2916.2201320200002</v>
      </c>
      <c r="AB90" s="656">
        <v>3669.66300383</v>
      </c>
      <c r="AC90" s="656"/>
      <c r="AD90" s="158"/>
      <c r="AE90" s="158"/>
      <c r="AF90" s="656"/>
      <c r="AG90" s="656"/>
      <c r="AH90" s="656"/>
      <c r="AI90" s="656"/>
      <c r="AJ90" s="656"/>
      <c r="AK90" s="656"/>
      <c r="AL90" s="656"/>
      <c r="AM90" s="656"/>
      <c r="AN90" s="656"/>
      <c r="AO90" s="656"/>
      <c r="AP90" s="656"/>
      <c r="AQ90" s="656"/>
      <c r="AR90" s="656"/>
      <c r="AS90" s="656"/>
      <c r="AT90" s="656"/>
      <c r="AU90" s="656"/>
      <c r="AV90" s="656"/>
      <c r="AW90" s="656"/>
      <c r="AX90" s="656"/>
      <c r="AY90" s="656"/>
      <c r="AZ90" s="656"/>
      <c r="BA90" s="656"/>
      <c r="BB90" s="656"/>
      <c r="BC90" s="656"/>
      <c r="BD90" s="656"/>
      <c r="BE90" s="656"/>
      <c r="BF90" s="656"/>
      <c r="BG90" s="656"/>
      <c r="BH90" s="656"/>
      <c r="BI90" s="656"/>
      <c r="BJ90" s="656"/>
      <c r="BK90" s="656"/>
      <c r="BL90" s="656"/>
      <c r="BM90" s="656"/>
      <c r="BN90" s="656"/>
      <c r="BO90" s="656"/>
      <c r="BP90" s="656"/>
      <c r="BQ90" s="656"/>
      <c r="BR90" s="656"/>
      <c r="BS90" s="656"/>
      <c r="BT90" s="656"/>
      <c r="BU90" s="656"/>
      <c r="BV90" s="656"/>
      <c r="BW90" s="656"/>
      <c r="BX90" s="656"/>
      <c r="BY90" s="656"/>
      <c r="BZ90" s="656"/>
      <c r="CA90" s="656"/>
      <c r="CB90" s="656"/>
      <c r="CC90" s="656">
        <v>1036.6786999999999</v>
      </c>
      <c r="CD90" s="656"/>
      <c r="CE90" s="656">
        <v>1404.3770111600002</v>
      </c>
      <c r="CF90" s="656">
        <v>1508.3707657800001</v>
      </c>
      <c r="CG90" s="656">
        <v>1886.4503537000001</v>
      </c>
      <c r="CH90" s="656">
        <v>1870.0969510999998</v>
      </c>
      <c r="CI90" s="656">
        <v>1909.13007315</v>
      </c>
      <c r="CJ90" s="656">
        <v>1920.9583605299999</v>
      </c>
      <c r="CK90" s="656">
        <v>2091.0381168399999</v>
      </c>
      <c r="CL90" s="656">
        <v>2135.3455490400002</v>
      </c>
      <c r="CM90" s="656">
        <v>2232.1625387499998</v>
      </c>
      <c r="CN90" s="656">
        <v>2199.5379821699999</v>
      </c>
      <c r="CO90" s="656">
        <v>2219.4951496999997</v>
      </c>
      <c r="CP90" s="656">
        <v>2321.3938352099999</v>
      </c>
      <c r="CQ90" s="656">
        <v>2916.2201320200002</v>
      </c>
      <c r="CR90" s="656">
        <v>3253.94594723</v>
      </c>
      <c r="CS90" s="656">
        <v>3495.8262901500002</v>
      </c>
      <c r="CT90" s="656">
        <v>3440.6262352199997</v>
      </c>
      <c r="CU90" s="656">
        <v>3669.66300383</v>
      </c>
      <c r="CV90" s="656">
        <v>4308.4873156700005</v>
      </c>
      <c r="CW90" s="656">
        <v>4303.8532066400003</v>
      </c>
      <c r="CX90" s="656">
        <v>4206.6487141500002</v>
      </c>
      <c r="CZ90" s="656" t="e">
        <v>#NAME?</v>
      </c>
      <c r="DB90" s="156" t="s">
        <v>426</v>
      </c>
      <c r="DG90" s="156">
        <v>22676.3</v>
      </c>
    </row>
    <row r="91" spans="1:111" ht="12.75">
      <c r="A91" s="165" t="s">
        <v>425</v>
      </c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6"/>
      <c r="P91" s="656"/>
      <c r="Q91" s="656"/>
      <c r="R91" s="656"/>
      <c r="S91" s="656"/>
      <c r="T91" s="656"/>
      <c r="U91" s="656">
        <v>189.07040000000001</v>
      </c>
      <c r="V91" s="656">
        <v>177.02884763</v>
      </c>
      <c r="W91" s="656">
        <v>340.58052476999995</v>
      </c>
      <c r="X91" s="656">
        <v>456.27121001999996</v>
      </c>
      <c r="Y91" s="656">
        <v>187.12917363999998</v>
      </c>
      <c r="Z91" s="656">
        <v>529.41339077999999</v>
      </c>
      <c r="AA91" s="656">
        <v>385.04610743000001</v>
      </c>
      <c r="AB91" s="656">
        <v>554.06611830999998</v>
      </c>
      <c r="AC91" s="656"/>
      <c r="AD91" s="158"/>
      <c r="AE91" s="158"/>
      <c r="AF91" s="656"/>
      <c r="AG91" s="656"/>
      <c r="AH91" s="656"/>
      <c r="AI91" s="656"/>
      <c r="AJ91" s="656"/>
      <c r="AK91" s="656"/>
      <c r="AL91" s="656"/>
      <c r="AM91" s="656"/>
      <c r="AN91" s="656"/>
      <c r="AO91" s="656"/>
      <c r="AP91" s="656"/>
      <c r="AQ91" s="656"/>
      <c r="AR91" s="656"/>
      <c r="AS91" s="656"/>
      <c r="AT91" s="656"/>
      <c r="AU91" s="656"/>
      <c r="AV91" s="656"/>
      <c r="AW91" s="656"/>
      <c r="AX91" s="656"/>
      <c r="AY91" s="656"/>
      <c r="AZ91" s="656"/>
      <c r="BA91" s="656"/>
      <c r="BB91" s="656"/>
      <c r="BC91" s="656"/>
      <c r="BD91" s="656"/>
      <c r="BE91" s="656"/>
      <c r="BF91" s="656"/>
      <c r="BG91" s="656"/>
      <c r="BH91" s="656"/>
      <c r="BI91" s="656"/>
      <c r="BJ91" s="656"/>
      <c r="BK91" s="656"/>
      <c r="BL91" s="656"/>
      <c r="BM91" s="656"/>
      <c r="BN91" s="656"/>
      <c r="BO91" s="656"/>
      <c r="BP91" s="656"/>
      <c r="BQ91" s="656"/>
      <c r="BR91" s="656"/>
      <c r="BS91" s="656"/>
      <c r="BT91" s="656"/>
      <c r="BU91" s="656"/>
      <c r="BV91" s="656"/>
      <c r="BW91" s="656"/>
      <c r="BX91" s="656"/>
      <c r="BY91" s="656"/>
      <c r="BZ91" s="656"/>
      <c r="CA91" s="656"/>
      <c r="CB91" s="656"/>
      <c r="CC91" s="656">
        <v>642.23429999999996</v>
      </c>
      <c r="CD91" s="656"/>
      <c r="CE91" s="656">
        <v>456.27121001999996</v>
      </c>
      <c r="CF91" s="656">
        <v>412.76959914999998</v>
      </c>
      <c r="CG91" s="656">
        <v>58.57152559</v>
      </c>
      <c r="CH91" s="656">
        <v>81.539928540000005</v>
      </c>
      <c r="CI91" s="656">
        <v>187.12917363999998</v>
      </c>
      <c r="CJ91" s="656">
        <v>242.22891468</v>
      </c>
      <c r="CK91" s="656">
        <v>218.38110846999999</v>
      </c>
      <c r="CL91" s="656">
        <v>347.53659926</v>
      </c>
      <c r="CM91" s="656">
        <v>529.41339077999999</v>
      </c>
      <c r="CN91" s="656">
        <v>646.83195626999998</v>
      </c>
      <c r="CO91" s="656">
        <v>826.14841997999997</v>
      </c>
      <c r="CP91" s="656">
        <v>850.38293664999992</v>
      </c>
      <c r="CQ91" s="656">
        <v>385.04610743000001</v>
      </c>
      <c r="CR91" s="656">
        <v>194.27628133000002</v>
      </c>
      <c r="CS91" s="656">
        <v>190.05757384999998</v>
      </c>
      <c r="CT91" s="656">
        <v>432.68565383999999</v>
      </c>
      <c r="CU91" s="656">
        <v>554.06611830999998</v>
      </c>
      <c r="CV91" s="656">
        <v>654.97562836999998</v>
      </c>
      <c r="CW91" s="656">
        <v>944.96561829999996</v>
      </c>
      <c r="CX91" s="656">
        <v>1782.33318091</v>
      </c>
      <c r="CZ91" s="656" t="e">
        <v>#NAME?</v>
      </c>
      <c r="DB91" s="156" t="s">
        <v>425</v>
      </c>
    </row>
    <row r="92" spans="1:111" ht="12.75">
      <c r="A92" s="165" t="s">
        <v>424</v>
      </c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6"/>
      <c r="P92" s="656"/>
      <c r="Q92" s="656"/>
      <c r="R92" s="656"/>
      <c r="S92" s="656"/>
      <c r="T92" s="656"/>
      <c r="U92" s="656"/>
      <c r="V92" s="656"/>
      <c r="W92" s="656"/>
      <c r="X92" s="656"/>
      <c r="Y92" s="656">
        <v>0</v>
      </c>
      <c r="Z92" s="656"/>
      <c r="AA92" s="656"/>
      <c r="AB92" s="656">
        <v>0</v>
      </c>
      <c r="AC92" s="656"/>
      <c r="AD92" s="158"/>
      <c r="AE92" s="158"/>
      <c r="AF92" s="656"/>
      <c r="AG92" s="656"/>
      <c r="AH92" s="656"/>
      <c r="AI92" s="656"/>
      <c r="AJ92" s="656"/>
      <c r="AK92" s="656"/>
      <c r="AL92" s="656"/>
      <c r="AM92" s="656"/>
      <c r="AN92" s="656"/>
      <c r="AO92" s="656"/>
      <c r="AP92" s="656"/>
      <c r="AQ92" s="656"/>
      <c r="AR92" s="656"/>
      <c r="AS92" s="656"/>
      <c r="AT92" s="656"/>
      <c r="AU92" s="656"/>
      <c r="AV92" s="656"/>
      <c r="AW92" s="656"/>
      <c r="AX92" s="656"/>
      <c r="AY92" s="656"/>
      <c r="AZ92" s="656"/>
      <c r="BA92" s="656"/>
      <c r="BB92" s="656"/>
      <c r="BC92" s="656"/>
      <c r="BD92" s="656"/>
      <c r="BE92" s="656"/>
      <c r="BF92" s="656"/>
      <c r="BG92" s="656"/>
      <c r="BH92" s="656"/>
      <c r="BI92" s="656"/>
      <c r="BJ92" s="656"/>
      <c r="BK92" s="656"/>
      <c r="BL92" s="656"/>
      <c r="BM92" s="656"/>
      <c r="BN92" s="656"/>
      <c r="BO92" s="656"/>
      <c r="BP92" s="656"/>
      <c r="BQ92" s="656"/>
      <c r="BR92" s="656"/>
      <c r="BS92" s="656"/>
      <c r="BT92" s="656"/>
      <c r="BU92" s="656"/>
      <c r="BV92" s="656"/>
      <c r="BW92" s="656"/>
      <c r="BX92" s="656"/>
      <c r="BY92" s="656"/>
      <c r="BZ92" s="656"/>
      <c r="CA92" s="656"/>
      <c r="CB92" s="656"/>
      <c r="CC92" s="656"/>
      <c r="CD92" s="656"/>
      <c r="CE92" s="656"/>
      <c r="CF92" s="656"/>
      <c r="CG92" s="656"/>
      <c r="CH92" s="656"/>
      <c r="CI92" s="656"/>
      <c r="CJ92" s="656"/>
      <c r="CK92" s="656"/>
      <c r="CL92" s="656"/>
      <c r="CM92" s="656"/>
      <c r="CN92" s="656"/>
      <c r="CO92" s="656"/>
      <c r="CP92" s="656"/>
      <c r="CQ92" s="656"/>
      <c r="CR92" s="656"/>
      <c r="CS92" s="656">
        <v>0</v>
      </c>
      <c r="CT92" s="656">
        <v>0</v>
      </c>
      <c r="CU92" s="656">
        <v>0</v>
      </c>
      <c r="CV92" s="656">
        <v>0</v>
      </c>
      <c r="CW92" s="656">
        <v>0</v>
      </c>
      <c r="CX92" s="656">
        <v>0</v>
      </c>
      <c r="CZ92" s="656" t="e">
        <v>#NAME?</v>
      </c>
      <c r="DB92" s="156" t="s">
        <v>424</v>
      </c>
      <c r="DG92" s="156">
        <v>6551.34</v>
      </c>
    </row>
    <row r="93" spans="1:111" ht="12.75">
      <c r="A93" s="165" t="s">
        <v>423</v>
      </c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6"/>
      <c r="P93" s="656"/>
      <c r="Q93" s="656"/>
      <c r="R93" s="656"/>
      <c r="S93" s="656"/>
      <c r="T93" s="656"/>
      <c r="U93" s="656"/>
      <c r="V93" s="656"/>
      <c r="W93" s="656"/>
      <c r="X93" s="656"/>
      <c r="Y93" s="656">
        <v>0</v>
      </c>
      <c r="Z93" s="656"/>
      <c r="AA93" s="656"/>
      <c r="AB93" s="656">
        <v>0</v>
      </c>
      <c r="AC93" s="656"/>
      <c r="AD93" s="158"/>
      <c r="AE93" s="158"/>
      <c r="AF93" s="656"/>
      <c r="AG93" s="656"/>
      <c r="AH93" s="656"/>
      <c r="AI93" s="656"/>
      <c r="AJ93" s="656"/>
      <c r="AK93" s="656"/>
      <c r="AL93" s="656"/>
      <c r="AM93" s="656"/>
      <c r="AN93" s="656"/>
      <c r="AO93" s="656"/>
      <c r="AP93" s="656"/>
      <c r="AQ93" s="656"/>
      <c r="AR93" s="656"/>
      <c r="AS93" s="656"/>
      <c r="AT93" s="656"/>
      <c r="AU93" s="656"/>
      <c r="AV93" s="656"/>
      <c r="AW93" s="656"/>
      <c r="AX93" s="656"/>
      <c r="AY93" s="656"/>
      <c r="AZ93" s="656"/>
      <c r="BA93" s="656"/>
      <c r="BB93" s="656"/>
      <c r="BC93" s="656"/>
      <c r="BD93" s="656"/>
      <c r="BE93" s="656"/>
      <c r="BF93" s="656"/>
      <c r="BG93" s="656"/>
      <c r="BH93" s="656"/>
      <c r="BI93" s="656"/>
      <c r="BJ93" s="656"/>
      <c r="BK93" s="656"/>
      <c r="BL93" s="656"/>
      <c r="BM93" s="656"/>
      <c r="BN93" s="656"/>
      <c r="BO93" s="656"/>
      <c r="BP93" s="656"/>
      <c r="BQ93" s="656"/>
      <c r="BR93" s="656"/>
      <c r="BS93" s="656"/>
      <c r="BT93" s="656"/>
      <c r="BU93" s="656"/>
      <c r="BV93" s="656"/>
      <c r="BW93" s="656"/>
      <c r="BX93" s="656"/>
      <c r="BY93" s="656"/>
      <c r="BZ93" s="656"/>
      <c r="CA93" s="656"/>
      <c r="CB93" s="656"/>
      <c r="CC93" s="656"/>
      <c r="CD93" s="656"/>
      <c r="CE93" s="656"/>
      <c r="CF93" s="656"/>
      <c r="CG93" s="656"/>
      <c r="CH93" s="656"/>
      <c r="CI93" s="656"/>
      <c r="CJ93" s="656"/>
      <c r="CK93" s="656"/>
      <c r="CL93" s="656"/>
      <c r="CM93" s="656"/>
      <c r="CN93" s="656"/>
      <c r="CO93" s="656"/>
      <c r="CP93" s="656"/>
      <c r="CQ93" s="656"/>
      <c r="CR93" s="656"/>
      <c r="CS93" s="656">
        <v>0</v>
      </c>
      <c r="CT93" s="656">
        <v>0</v>
      </c>
      <c r="CU93" s="656">
        <v>0</v>
      </c>
      <c r="CV93" s="656">
        <v>0</v>
      </c>
      <c r="CW93" s="656">
        <v>3.4821879999999999E-2</v>
      </c>
      <c r="CX93" s="656">
        <v>0</v>
      </c>
      <c r="CZ93" s="656" t="e">
        <v>#NAME?</v>
      </c>
      <c r="DB93" s="156" t="s">
        <v>423</v>
      </c>
      <c r="DG93" s="156">
        <v>10</v>
      </c>
    </row>
    <row r="94" spans="1:111" ht="12.75">
      <c r="A94" s="165" t="s">
        <v>422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>
        <v>0</v>
      </c>
      <c r="Z94" s="656"/>
      <c r="AA94" s="656"/>
      <c r="AB94" s="656">
        <v>0</v>
      </c>
      <c r="AC94" s="656"/>
      <c r="AD94" s="158"/>
      <c r="AE94" s="158"/>
      <c r="AF94" s="656"/>
      <c r="AG94" s="656"/>
      <c r="AH94" s="656"/>
      <c r="AI94" s="656"/>
      <c r="AJ94" s="656"/>
      <c r="AK94" s="656"/>
      <c r="AL94" s="656"/>
      <c r="AM94" s="656"/>
      <c r="AN94" s="656"/>
      <c r="AO94" s="656"/>
      <c r="AP94" s="656"/>
      <c r="AQ94" s="656"/>
      <c r="AR94" s="656"/>
      <c r="AS94" s="656"/>
      <c r="AT94" s="656"/>
      <c r="AU94" s="656"/>
      <c r="AV94" s="656"/>
      <c r="AW94" s="656"/>
      <c r="AX94" s="656"/>
      <c r="AY94" s="656"/>
      <c r="AZ94" s="656"/>
      <c r="BA94" s="656"/>
      <c r="BB94" s="656"/>
      <c r="BC94" s="656"/>
      <c r="BD94" s="656"/>
      <c r="BE94" s="656"/>
      <c r="BF94" s="656"/>
      <c r="BG94" s="656"/>
      <c r="BH94" s="656"/>
      <c r="BI94" s="656"/>
      <c r="BJ94" s="656"/>
      <c r="BK94" s="656"/>
      <c r="BL94" s="656"/>
      <c r="BM94" s="656"/>
      <c r="BN94" s="656"/>
      <c r="BO94" s="656"/>
      <c r="BP94" s="656"/>
      <c r="BQ94" s="656"/>
      <c r="BR94" s="656"/>
      <c r="BS94" s="656"/>
      <c r="BT94" s="656"/>
      <c r="BU94" s="656"/>
      <c r="BV94" s="656"/>
      <c r="BW94" s="656"/>
      <c r="BX94" s="656"/>
      <c r="BY94" s="656"/>
      <c r="BZ94" s="656"/>
      <c r="CA94" s="656"/>
      <c r="CB94" s="656"/>
      <c r="CC94" s="656"/>
      <c r="CD94" s="656"/>
      <c r="CE94" s="656"/>
      <c r="CF94" s="656"/>
      <c r="CG94" s="656"/>
      <c r="CH94" s="656"/>
      <c r="CI94" s="656"/>
      <c r="CJ94" s="656"/>
      <c r="CK94" s="656"/>
      <c r="CL94" s="656"/>
      <c r="CM94" s="656"/>
      <c r="CN94" s="656"/>
      <c r="CO94" s="656"/>
      <c r="CP94" s="656"/>
      <c r="CQ94" s="656"/>
      <c r="CR94" s="656"/>
      <c r="CS94" s="656">
        <v>0</v>
      </c>
      <c r="CT94" s="656">
        <v>0</v>
      </c>
      <c r="CU94" s="656">
        <v>0</v>
      </c>
      <c r="CV94" s="656">
        <v>0</v>
      </c>
      <c r="CW94" s="656">
        <v>0</v>
      </c>
      <c r="CX94" s="656">
        <v>0</v>
      </c>
      <c r="CZ94" s="656" t="e">
        <v>#NAME?</v>
      </c>
      <c r="DB94" s="156" t="s">
        <v>422</v>
      </c>
      <c r="DG94" s="156">
        <v>1255.33</v>
      </c>
    </row>
    <row r="95" spans="1:111" ht="12.75">
      <c r="A95" s="165" t="s">
        <v>421</v>
      </c>
      <c r="B95" s="656"/>
      <c r="C95" s="656"/>
      <c r="D95" s="656"/>
      <c r="E95" s="656"/>
      <c r="F95" s="656"/>
      <c r="G95" s="656"/>
      <c r="H95" s="656"/>
      <c r="I95" s="656"/>
      <c r="J95" s="656"/>
      <c r="K95" s="656"/>
      <c r="L95" s="656"/>
      <c r="M95" s="656"/>
      <c r="N95" s="656"/>
      <c r="O95" s="656"/>
      <c r="P95" s="656"/>
      <c r="Q95" s="656"/>
      <c r="R95" s="656"/>
      <c r="S95" s="656"/>
      <c r="T95" s="656"/>
      <c r="U95" s="656"/>
      <c r="V95" s="656"/>
      <c r="W95" s="656"/>
      <c r="X95" s="656"/>
      <c r="Y95" s="656">
        <v>0</v>
      </c>
      <c r="Z95" s="656"/>
      <c r="AA95" s="656"/>
      <c r="AB95" s="656">
        <v>0</v>
      </c>
      <c r="AC95" s="656"/>
      <c r="AD95" s="158"/>
      <c r="AE95" s="158"/>
      <c r="AF95" s="656"/>
      <c r="AG95" s="656"/>
      <c r="AH95" s="656"/>
      <c r="AI95" s="656"/>
      <c r="AJ95" s="656"/>
      <c r="AK95" s="656"/>
      <c r="AL95" s="656"/>
      <c r="AM95" s="656"/>
      <c r="AN95" s="656"/>
      <c r="AO95" s="656"/>
      <c r="AP95" s="656"/>
      <c r="AQ95" s="656"/>
      <c r="AR95" s="656"/>
      <c r="AS95" s="656"/>
      <c r="AT95" s="656"/>
      <c r="AU95" s="656"/>
      <c r="AV95" s="656"/>
      <c r="AW95" s="656"/>
      <c r="AX95" s="656"/>
      <c r="AY95" s="656"/>
      <c r="AZ95" s="656"/>
      <c r="BA95" s="656"/>
      <c r="BB95" s="656"/>
      <c r="BC95" s="656"/>
      <c r="BD95" s="656"/>
      <c r="BE95" s="656"/>
      <c r="BF95" s="656"/>
      <c r="BG95" s="656"/>
      <c r="BH95" s="656"/>
      <c r="BI95" s="656"/>
      <c r="BJ95" s="656"/>
      <c r="BK95" s="656"/>
      <c r="BL95" s="656"/>
      <c r="BM95" s="656"/>
      <c r="BN95" s="656"/>
      <c r="BO95" s="656"/>
      <c r="BP95" s="656"/>
      <c r="BQ95" s="656"/>
      <c r="BR95" s="656"/>
      <c r="BS95" s="656"/>
      <c r="BT95" s="656"/>
      <c r="BU95" s="656"/>
      <c r="BV95" s="656"/>
      <c r="BW95" s="656"/>
      <c r="BX95" s="656"/>
      <c r="BY95" s="656"/>
      <c r="BZ95" s="656"/>
      <c r="CA95" s="656"/>
      <c r="CB95" s="656"/>
      <c r="CC95" s="656"/>
      <c r="CD95" s="656"/>
      <c r="CE95" s="656"/>
      <c r="CF95" s="656"/>
      <c r="CG95" s="656"/>
      <c r="CH95" s="656"/>
      <c r="CI95" s="656"/>
      <c r="CJ95" s="656"/>
      <c r="CK95" s="656"/>
      <c r="CL95" s="656"/>
      <c r="CM95" s="656"/>
      <c r="CN95" s="656"/>
      <c r="CO95" s="656"/>
      <c r="CP95" s="656"/>
      <c r="CQ95" s="656"/>
      <c r="CR95" s="656"/>
      <c r="CS95" s="656">
        <v>0</v>
      </c>
      <c r="CT95" s="656">
        <v>0</v>
      </c>
      <c r="CU95" s="656">
        <v>0</v>
      </c>
      <c r="CV95" s="656">
        <v>0</v>
      </c>
      <c r="CW95" s="656">
        <v>0</v>
      </c>
      <c r="CX95" s="656">
        <v>0</v>
      </c>
      <c r="CZ95" s="656" t="e">
        <v>#NAME?</v>
      </c>
      <c r="DB95" s="156" t="s">
        <v>421</v>
      </c>
      <c r="DG95" s="156" t="e">
        <v>#VALUE!</v>
      </c>
    </row>
    <row r="96" spans="1:111" s="808" customFormat="1" ht="12.75">
      <c r="A96" s="806" t="s">
        <v>1112</v>
      </c>
      <c r="B96" s="736"/>
      <c r="C96" s="736"/>
      <c r="D96" s="736"/>
      <c r="E96" s="736"/>
      <c r="F96" s="736"/>
      <c r="G96" s="736"/>
      <c r="H96" s="736"/>
      <c r="I96" s="736"/>
      <c r="J96" s="736"/>
      <c r="K96" s="736"/>
      <c r="L96" s="736"/>
      <c r="M96" s="736"/>
      <c r="N96" s="736"/>
      <c r="O96" s="736"/>
      <c r="P96" s="736"/>
      <c r="Q96" s="736"/>
      <c r="R96" s="736"/>
      <c r="S96" s="736"/>
      <c r="T96" s="736"/>
      <c r="U96" s="736" t="s">
        <v>1181</v>
      </c>
      <c r="V96" s="736" t="s">
        <v>1181</v>
      </c>
      <c r="W96" s="736" t="s">
        <v>1181</v>
      </c>
      <c r="X96" s="736" t="s">
        <v>1181</v>
      </c>
      <c r="Y96" s="1346">
        <v>102.80730881999999</v>
      </c>
      <c r="Z96" s="1346">
        <v>90.980455620000001</v>
      </c>
      <c r="AA96" s="1346">
        <v>98.17493626000001</v>
      </c>
      <c r="AB96" s="1346">
        <v>86.836117389999998</v>
      </c>
      <c r="AC96" s="736"/>
      <c r="AD96" s="807"/>
      <c r="AE96" s="807"/>
      <c r="AF96" s="736"/>
      <c r="AG96" s="736"/>
      <c r="AH96" s="736"/>
      <c r="AI96" s="736"/>
      <c r="AJ96" s="736"/>
      <c r="AK96" s="736"/>
      <c r="AL96" s="736"/>
      <c r="AM96" s="736"/>
      <c r="AN96" s="736"/>
      <c r="AO96" s="736"/>
      <c r="AP96" s="736"/>
      <c r="AQ96" s="736"/>
      <c r="AR96" s="736"/>
      <c r="AS96" s="736"/>
      <c r="AT96" s="736"/>
      <c r="AU96" s="736"/>
      <c r="AV96" s="736"/>
      <c r="AW96" s="736"/>
      <c r="AX96" s="736"/>
      <c r="AY96" s="736"/>
      <c r="AZ96" s="736"/>
      <c r="BA96" s="736"/>
      <c r="BB96" s="736"/>
      <c r="BC96" s="736"/>
      <c r="BD96" s="736"/>
      <c r="BE96" s="736"/>
      <c r="BF96" s="736"/>
      <c r="BG96" s="736"/>
      <c r="BH96" s="736"/>
      <c r="BI96" s="736"/>
      <c r="BJ96" s="736"/>
      <c r="BK96" s="736"/>
      <c r="BL96" s="736"/>
      <c r="BM96" s="736"/>
      <c r="BN96" s="736"/>
      <c r="BO96" s="736"/>
      <c r="BP96" s="736"/>
      <c r="BQ96" s="736"/>
      <c r="BR96" s="736"/>
      <c r="BS96" s="736"/>
      <c r="BT96" s="736"/>
      <c r="BU96" s="736"/>
      <c r="BV96" s="736"/>
      <c r="BW96" s="736"/>
      <c r="BX96" s="736"/>
      <c r="BY96" s="736"/>
      <c r="BZ96" s="736"/>
      <c r="CA96" s="736"/>
      <c r="CB96" s="736" t="s">
        <v>1181</v>
      </c>
      <c r="CC96" s="736" t="s">
        <v>1181</v>
      </c>
      <c r="CD96" s="736" t="s">
        <v>1181</v>
      </c>
      <c r="CE96" s="736" t="s">
        <v>1181</v>
      </c>
      <c r="CF96" s="736">
        <v>79.782956810000002</v>
      </c>
      <c r="CG96" s="736">
        <v>80.980095689999999</v>
      </c>
      <c r="CH96" s="736">
        <v>106.64445729000001</v>
      </c>
      <c r="CI96" s="736">
        <v>102.80730881999999</v>
      </c>
      <c r="CJ96" s="736">
        <v>98.97016035</v>
      </c>
      <c r="CK96" s="736">
        <v>95.147910840000009</v>
      </c>
      <c r="CL96" s="736">
        <v>91.325661330000003</v>
      </c>
      <c r="CM96" s="736">
        <v>90.980455620000001</v>
      </c>
      <c r="CN96" s="736">
        <v>89.319353769999992</v>
      </c>
      <c r="CO96" s="736">
        <v>85.321492140000004</v>
      </c>
      <c r="CP96" s="736">
        <v>81.370503970000001</v>
      </c>
      <c r="CQ96" s="736">
        <v>98.17493626000001</v>
      </c>
      <c r="CR96" s="736">
        <v>96.077124900000001</v>
      </c>
      <c r="CS96" s="656">
        <v>94.027426540000008</v>
      </c>
      <c r="CT96" s="656">
        <v>90.017660620000001</v>
      </c>
      <c r="CU96" s="656">
        <v>86.836117389999998</v>
      </c>
      <c r="CV96" s="656">
        <v>82.793854150000001</v>
      </c>
      <c r="CW96" s="656">
        <v>408.43046297000001</v>
      </c>
      <c r="CX96" s="656">
        <v>399.87002193000001</v>
      </c>
      <c r="CZ96" s="656" t="e">
        <v>#NAME?</v>
      </c>
      <c r="DG96" s="808">
        <v>4760.55</v>
      </c>
    </row>
    <row r="97" spans="1:111" s="808" customFormat="1" ht="12.75">
      <c r="A97" s="806" t="s">
        <v>420</v>
      </c>
      <c r="B97" s="736"/>
      <c r="C97" s="736"/>
      <c r="D97" s="736"/>
      <c r="E97" s="736"/>
      <c r="F97" s="736"/>
      <c r="G97" s="736"/>
      <c r="H97" s="736"/>
      <c r="I97" s="736"/>
      <c r="J97" s="736"/>
      <c r="K97" s="736"/>
      <c r="L97" s="736"/>
      <c r="M97" s="736"/>
      <c r="N97" s="736"/>
      <c r="O97" s="736"/>
      <c r="P97" s="736"/>
      <c r="Q97" s="736"/>
      <c r="R97" s="736"/>
      <c r="S97" s="736"/>
      <c r="T97" s="736"/>
      <c r="U97" s="736">
        <v>158.21</v>
      </c>
      <c r="V97" s="736">
        <v>154.96627644</v>
      </c>
      <c r="W97" s="736">
        <v>163.55302633000002</v>
      </c>
      <c r="X97" s="736">
        <v>236.5791964</v>
      </c>
      <c r="Y97" s="736">
        <v>322.56716619999997</v>
      </c>
      <c r="Z97" s="736">
        <v>357.34638054000004</v>
      </c>
      <c r="AA97" s="736">
        <v>484.83955269</v>
      </c>
      <c r="AB97" s="736">
        <v>746.11945772000001</v>
      </c>
      <c r="AC97" s="736"/>
      <c r="AD97" s="807"/>
      <c r="AE97" s="807"/>
      <c r="AF97" s="736"/>
      <c r="AG97" s="736"/>
      <c r="AH97" s="736"/>
      <c r="AI97" s="736"/>
      <c r="AJ97" s="736"/>
      <c r="AK97" s="736"/>
      <c r="AL97" s="736"/>
      <c r="AM97" s="736"/>
      <c r="AN97" s="736"/>
      <c r="AO97" s="736"/>
      <c r="AP97" s="736"/>
      <c r="AQ97" s="736"/>
      <c r="AR97" s="736"/>
      <c r="AS97" s="736"/>
      <c r="AT97" s="736"/>
      <c r="AU97" s="736"/>
      <c r="AV97" s="736"/>
      <c r="AW97" s="736"/>
      <c r="AX97" s="736"/>
      <c r="AY97" s="736"/>
      <c r="AZ97" s="736"/>
      <c r="BA97" s="736"/>
      <c r="BB97" s="736"/>
      <c r="BC97" s="736"/>
      <c r="BD97" s="736"/>
      <c r="BE97" s="736"/>
      <c r="BF97" s="736"/>
      <c r="BG97" s="736"/>
      <c r="BH97" s="736"/>
      <c r="BI97" s="736"/>
      <c r="BJ97" s="736"/>
      <c r="BK97" s="736"/>
      <c r="BL97" s="736"/>
      <c r="BM97" s="736"/>
      <c r="BN97" s="736"/>
      <c r="BO97" s="736"/>
      <c r="BP97" s="736"/>
      <c r="BQ97" s="736"/>
      <c r="BR97" s="736"/>
      <c r="BS97" s="736"/>
      <c r="BT97" s="736"/>
      <c r="BU97" s="736"/>
      <c r="BV97" s="736"/>
      <c r="BW97" s="736"/>
      <c r="BX97" s="736"/>
      <c r="BY97" s="736"/>
      <c r="BZ97" s="736"/>
      <c r="CA97" s="736"/>
      <c r="CB97" s="736"/>
      <c r="CC97" s="736">
        <v>238.14429999999999</v>
      </c>
      <c r="CD97" s="736"/>
      <c r="CE97" s="736">
        <v>236.5791964</v>
      </c>
      <c r="CF97" s="736">
        <v>234.52157027000001</v>
      </c>
      <c r="CG97" s="736">
        <v>232.50463492</v>
      </c>
      <c r="CH97" s="736">
        <v>230.31794413</v>
      </c>
      <c r="CI97" s="736">
        <v>322.56716619999997</v>
      </c>
      <c r="CJ97" s="736">
        <v>356.46775781000002</v>
      </c>
      <c r="CK97" s="736">
        <v>363.60958670999997</v>
      </c>
      <c r="CL97" s="736">
        <v>359.94676883</v>
      </c>
      <c r="CM97" s="736">
        <v>357.34638054000004</v>
      </c>
      <c r="CN97" s="736">
        <v>354.24522397999999</v>
      </c>
      <c r="CO97" s="736">
        <v>351.63168686</v>
      </c>
      <c r="CP97" s="736">
        <v>349.27086731000003</v>
      </c>
      <c r="CQ97" s="736">
        <v>484.83955269</v>
      </c>
      <c r="CR97" s="736">
        <v>481.56454201999998</v>
      </c>
      <c r="CS97" s="736">
        <v>480.49914631000001</v>
      </c>
      <c r="CT97" s="736">
        <v>545.05249465999998</v>
      </c>
      <c r="CU97" s="736">
        <v>746.11945772000001</v>
      </c>
      <c r="CV97" s="736">
        <v>1079.2555168800002</v>
      </c>
      <c r="CW97" s="736">
        <v>1069.86060423</v>
      </c>
      <c r="CX97" s="736">
        <v>1065.2281104799999</v>
      </c>
      <c r="CZ97" s="736" t="e">
        <v>#NAME?</v>
      </c>
      <c r="DB97" s="808" t="s">
        <v>420</v>
      </c>
      <c r="DG97" s="808" t="e">
        <v>#VALUE!</v>
      </c>
    </row>
    <row r="98" spans="1:111" ht="12.75">
      <c r="A98" s="165" t="s">
        <v>419</v>
      </c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6"/>
      <c r="P98" s="656"/>
      <c r="Q98" s="656"/>
      <c r="R98" s="656"/>
      <c r="S98" s="656"/>
      <c r="T98" s="656"/>
      <c r="U98" s="656"/>
      <c r="V98" s="656"/>
      <c r="W98" s="656"/>
      <c r="X98" s="656"/>
      <c r="Y98" s="656">
        <v>0</v>
      </c>
      <c r="Z98" s="656"/>
      <c r="AA98" s="656"/>
      <c r="AB98" s="656">
        <v>0</v>
      </c>
      <c r="AC98" s="656"/>
      <c r="AD98" s="158"/>
      <c r="AE98" s="158"/>
      <c r="AF98" s="656"/>
      <c r="AG98" s="656"/>
      <c r="AH98" s="656"/>
      <c r="AI98" s="656"/>
      <c r="AJ98" s="656"/>
      <c r="AK98" s="656"/>
      <c r="AL98" s="656"/>
      <c r="AM98" s="656"/>
      <c r="AN98" s="656"/>
      <c r="AO98" s="656"/>
      <c r="AP98" s="656"/>
      <c r="AQ98" s="656"/>
      <c r="AR98" s="656"/>
      <c r="AS98" s="656"/>
      <c r="AT98" s="656"/>
      <c r="AU98" s="656"/>
      <c r="AV98" s="656"/>
      <c r="AW98" s="656"/>
      <c r="AX98" s="656"/>
      <c r="AY98" s="656"/>
      <c r="AZ98" s="656"/>
      <c r="BA98" s="656"/>
      <c r="BB98" s="656"/>
      <c r="BC98" s="656"/>
      <c r="BD98" s="656"/>
      <c r="BE98" s="656"/>
      <c r="BF98" s="656"/>
      <c r="BG98" s="656"/>
      <c r="BH98" s="656"/>
      <c r="BI98" s="656"/>
      <c r="BJ98" s="656"/>
      <c r="BK98" s="656"/>
      <c r="BL98" s="656"/>
      <c r="BM98" s="656"/>
      <c r="BN98" s="656"/>
      <c r="BO98" s="656"/>
      <c r="BP98" s="656"/>
      <c r="BQ98" s="656"/>
      <c r="BR98" s="656"/>
      <c r="BS98" s="656"/>
      <c r="BT98" s="656"/>
      <c r="BU98" s="656"/>
      <c r="BV98" s="656"/>
      <c r="BW98" s="656"/>
      <c r="BX98" s="656"/>
      <c r="BY98" s="656"/>
      <c r="BZ98" s="656"/>
      <c r="CA98" s="656"/>
      <c r="CB98" s="656"/>
      <c r="CC98" s="656"/>
      <c r="CD98" s="656"/>
      <c r="CE98" s="656"/>
      <c r="CF98" s="656"/>
      <c r="CG98" s="656"/>
      <c r="CH98" s="656"/>
      <c r="CI98" s="656"/>
      <c r="CJ98" s="656"/>
      <c r="CK98" s="656"/>
      <c r="CL98" s="656"/>
      <c r="CM98" s="656"/>
      <c r="CN98" s="656"/>
      <c r="CO98" s="656"/>
      <c r="CP98" s="656"/>
      <c r="CQ98" s="656"/>
      <c r="CR98" s="656"/>
      <c r="CS98" s="656">
        <v>0</v>
      </c>
      <c r="CT98" s="656">
        <v>0</v>
      </c>
      <c r="CU98" s="656">
        <v>0</v>
      </c>
      <c r="CV98" s="656">
        <v>0</v>
      </c>
      <c r="CW98" s="656">
        <v>0</v>
      </c>
      <c r="CX98" s="656">
        <v>0</v>
      </c>
      <c r="CZ98" s="656" t="e">
        <v>#NAME?</v>
      </c>
      <c r="DB98" s="156" t="s">
        <v>419</v>
      </c>
      <c r="DG98" s="156" t="e">
        <v>#VALUE!</v>
      </c>
    </row>
    <row r="99" spans="1:111" ht="12.75">
      <c r="A99" s="165" t="s">
        <v>418</v>
      </c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6"/>
      <c r="P99" s="656"/>
      <c r="Q99" s="656"/>
      <c r="R99" s="656"/>
      <c r="S99" s="656"/>
      <c r="T99" s="656"/>
      <c r="U99" s="656"/>
      <c r="V99" s="656"/>
      <c r="W99" s="656"/>
      <c r="X99" s="656"/>
      <c r="Y99" s="656">
        <v>0</v>
      </c>
      <c r="Z99" s="656"/>
      <c r="AA99" s="656"/>
      <c r="AB99" s="656">
        <v>0</v>
      </c>
      <c r="AC99" s="656"/>
      <c r="AD99" s="158"/>
      <c r="AE99" s="158"/>
      <c r="AF99" s="656"/>
      <c r="AG99" s="656"/>
      <c r="AH99" s="656"/>
      <c r="AI99" s="656"/>
      <c r="AJ99" s="656"/>
      <c r="AK99" s="656"/>
      <c r="AL99" s="656"/>
      <c r="AM99" s="656"/>
      <c r="AN99" s="656"/>
      <c r="AO99" s="656"/>
      <c r="AP99" s="656"/>
      <c r="AQ99" s="656"/>
      <c r="AR99" s="656"/>
      <c r="AS99" s="656"/>
      <c r="AT99" s="656"/>
      <c r="AU99" s="656"/>
      <c r="AV99" s="656"/>
      <c r="AW99" s="656"/>
      <c r="AX99" s="656"/>
      <c r="AY99" s="656"/>
      <c r="AZ99" s="656"/>
      <c r="BA99" s="656"/>
      <c r="BB99" s="656"/>
      <c r="BC99" s="656"/>
      <c r="BD99" s="656"/>
      <c r="BE99" s="656"/>
      <c r="BF99" s="656"/>
      <c r="BG99" s="656"/>
      <c r="BH99" s="656"/>
      <c r="BI99" s="656"/>
      <c r="BJ99" s="656"/>
      <c r="BK99" s="656"/>
      <c r="BL99" s="656"/>
      <c r="BM99" s="656"/>
      <c r="BN99" s="656"/>
      <c r="BO99" s="656"/>
      <c r="BP99" s="656"/>
      <c r="BQ99" s="656"/>
      <c r="BR99" s="656"/>
      <c r="BS99" s="656"/>
      <c r="BT99" s="656"/>
      <c r="BU99" s="656"/>
      <c r="BV99" s="656"/>
      <c r="BW99" s="656"/>
      <c r="BX99" s="656"/>
      <c r="BY99" s="656"/>
      <c r="BZ99" s="656"/>
      <c r="CA99" s="656"/>
      <c r="CB99" s="656"/>
      <c r="CC99" s="656"/>
      <c r="CD99" s="656"/>
      <c r="CE99" s="656"/>
      <c r="CF99" s="656"/>
      <c r="CG99" s="656"/>
      <c r="CH99" s="656"/>
      <c r="CI99" s="656"/>
      <c r="CJ99" s="656"/>
      <c r="CK99" s="656"/>
      <c r="CL99" s="656"/>
      <c r="CM99" s="656"/>
      <c r="CN99" s="656"/>
      <c r="CO99" s="656"/>
      <c r="CP99" s="656"/>
      <c r="CQ99" s="656"/>
      <c r="CR99" s="656"/>
      <c r="CS99" s="656">
        <v>0</v>
      </c>
      <c r="CT99" s="656">
        <v>0</v>
      </c>
      <c r="CU99" s="656">
        <v>0</v>
      </c>
      <c r="CV99" s="656">
        <v>0</v>
      </c>
      <c r="CW99" s="656">
        <v>0</v>
      </c>
      <c r="CX99" s="656">
        <v>0</v>
      </c>
      <c r="CZ99" s="656" t="e">
        <v>#NAME?</v>
      </c>
      <c r="DB99" s="156" t="s">
        <v>418</v>
      </c>
      <c r="DG99" s="156">
        <v>415.05</v>
      </c>
    </row>
    <row r="100" spans="1:111" ht="12.75">
      <c r="A100" s="165" t="s">
        <v>417</v>
      </c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6"/>
      <c r="P100" s="656"/>
      <c r="Q100" s="656"/>
      <c r="R100" s="656"/>
      <c r="S100" s="656"/>
      <c r="T100" s="656"/>
      <c r="U100" s="656">
        <v>21.882400000000001</v>
      </c>
      <c r="V100" s="656">
        <v>20.351342120000002</v>
      </c>
      <c r="W100" s="656">
        <v>23.138811030000003</v>
      </c>
      <c r="X100" s="656">
        <v>24.809067350000003</v>
      </c>
      <c r="Y100" s="656">
        <v>23.59733482</v>
      </c>
      <c r="Z100" s="656">
        <v>28.074852780000001</v>
      </c>
      <c r="AA100" s="656">
        <v>32.552245399999997</v>
      </c>
      <c r="AB100" s="656">
        <v>55.322003469999999</v>
      </c>
      <c r="AC100" s="656"/>
      <c r="AD100" s="158"/>
      <c r="AE100" s="158"/>
      <c r="AF100" s="656"/>
      <c r="AG100" s="656"/>
      <c r="AH100" s="656"/>
      <c r="AI100" s="656"/>
      <c r="AJ100" s="656"/>
      <c r="AK100" s="656"/>
      <c r="AL100" s="656"/>
      <c r="AM100" s="656"/>
      <c r="AN100" s="656"/>
      <c r="AO100" s="656"/>
      <c r="AP100" s="656"/>
      <c r="AQ100" s="656"/>
      <c r="AR100" s="656"/>
      <c r="AS100" s="656"/>
      <c r="AT100" s="656"/>
      <c r="AU100" s="656"/>
      <c r="AV100" s="656"/>
      <c r="AW100" s="656"/>
      <c r="AX100" s="656"/>
      <c r="AY100" s="656"/>
      <c r="AZ100" s="656"/>
      <c r="BA100" s="656"/>
      <c r="BB100" s="656"/>
      <c r="BC100" s="656"/>
      <c r="BD100" s="656"/>
      <c r="BE100" s="656"/>
      <c r="BF100" s="656"/>
      <c r="BG100" s="656"/>
      <c r="BH100" s="656"/>
      <c r="BI100" s="656"/>
      <c r="BJ100" s="656"/>
      <c r="BK100" s="656"/>
      <c r="BL100" s="656"/>
      <c r="BM100" s="656"/>
      <c r="BN100" s="656"/>
      <c r="BO100" s="656"/>
      <c r="BP100" s="656"/>
      <c r="BQ100" s="656"/>
      <c r="BR100" s="656"/>
      <c r="BS100" s="656"/>
      <c r="BT100" s="656"/>
      <c r="BU100" s="656"/>
      <c r="BV100" s="656"/>
      <c r="BW100" s="656"/>
      <c r="BX100" s="656"/>
      <c r="BY100" s="656"/>
      <c r="BZ100" s="656"/>
      <c r="CA100" s="656"/>
      <c r="CB100" s="656"/>
      <c r="CC100" s="656">
        <v>22.4542</v>
      </c>
      <c r="CD100" s="656"/>
      <c r="CE100" s="656">
        <v>24.809067350000003</v>
      </c>
      <c r="CF100" s="656">
        <v>24.018930000000001</v>
      </c>
      <c r="CG100" s="656">
        <v>23.995914800000001</v>
      </c>
      <c r="CH100" s="656">
        <v>23.246624530000002</v>
      </c>
      <c r="CI100" s="656">
        <v>23.59733482</v>
      </c>
      <c r="CJ100" s="656">
        <v>24.466581120000001</v>
      </c>
      <c r="CK100" s="656">
        <v>26.453274960000002</v>
      </c>
      <c r="CL100" s="656">
        <v>29.552826289999999</v>
      </c>
      <c r="CM100" s="656">
        <v>28.074852780000001</v>
      </c>
      <c r="CN100" s="656">
        <v>30.738033390000002</v>
      </c>
      <c r="CO100" s="656">
        <v>30.131002949999999</v>
      </c>
      <c r="CP100" s="656">
        <v>32.163427939999998</v>
      </c>
      <c r="CQ100" s="656">
        <v>32.552245399999997</v>
      </c>
      <c r="CR100" s="656">
        <v>31.63586038</v>
      </c>
      <c r="CS100" s="656">
        <v>31.41621555</v>
      </c>
      <c r="CT100" s="656">
        <v>30.843668229999999</v>
      </c>
      <c r="CU100" s="656">
        <v>55.322003469999999</v>
      </c>
      <c r="CV100" s="656">
        <v>74.28857026</v>
      </c>
      <c r="CW100" s="656">
        <v>86.939394230000005</v>
      </c>
      <c r="CX100" s="656">
        <v>88.62070331999999</v>
      </c>
      <c r="CZ100" s="656" t="e">
        <v>#NAME?</v>
      </c>
      <c r="DB100" s="156" t="s">
        <v>417</v>
      </c>
      <c r="DG100" s="156">
        <v>378.82</v>
      </c>
    </row>
    <row r="101" spans="1:111" ht="12.75">
      <c r="A101" s="165" t="s">
        <v>416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>
        <v>65.308199999999999</v>
      </c>
      <c r="V101" s="656">
        <v>42.826352610000001</v>
      </c>
      <c r="W101" s="656">
        <v>82.033001689999992</v>
      </c>
      <c r="X101" s="656">
        <v>133.60161679999999</v>
      </c>
      <c r="Y101" s="656">
        <v>179.66692344000001</v>
      </c>
      <c r="Z101" s="656">
        <v>321.15027935000001</v>
      </c>
      <c r="AA101" s="656">
        <v>359.18486888000001</v>
      </c>
      <c r="AB101" s="656">
        <v>459.83867513000001</v>
      </c>
      <c r="AC101" s="656"/>
      <c r="AD101" s="158"/>
      <c r="AE101" s="158"/>
      <c r="AF101" s="656"/>
      <c r="AG101" s="656"/>
      <c r="AH101" s="656"/>
      <c r="AI101" s="656"/>
      <c r="AJ101" s="656"/>
      <c r="AK101" s="656"/>
      <c r="AL101" s="656"/>
      <c r="AM101" s="656"/>
      <c r="AN101" s="656"/>
      <c r="AO101" s="656"/>
      <c r="AP101" s="656"/>
      <c r="AQ101" s="656"/>
      <c r="AR101" s="656"/>
      <c r="AS101" s="656"/>
      <c r="AT101" s="656"/>
      <c r="AU101" s="656"/>
      <c r="AV101" s="656"/>
      <c r="AW101" s="656"/>
      <c r="AX101" s="656"/>
      <c r="AY101" s="656"/>
      <c r="AZ101" s="656"/>
      <c r="BA101" s="656"/>
      <c r="BB101" s="656"/>
      <c r="BC101" s="656"/>
      <c r="BD101" s="656"/>
      <c r="BE101" s="656"/>
      <c r="BF101" s="656"/>
      <c r="BG101" s="656"/>
      <c r="BH101" s="656"/>
      <c r="BI101" s="656"/>
      <c r="BJ101" s="656"/>
      <c r="BK101" s="656"/>
      <c r="BL101" s="656"/>
      <c r="BM101" s="656"/>
      <c r="BN101" s="656"/>
      <c r="BO101" s="656"/>
      <c r="BP101" s="656"/>
      <c r="BQ101" s="656"/>
      <c r="BR101" s="656"/>
      <c r="BS101" s="656"/>
      <c r="BT101" s="656"/>
      <c r="BU101" s="656"/>
      <c r="BV101" s="656"/>
      <c r="BW101" s="656"/>
      <c r="BX101" s="656"/>
      <c r="BY101" s="656"/>
      <c r="BZ101" s="656"/>
      <c r="CA101" s="656"/>
      <c r="CB101" s="656"/>
      <c r="CC101" s="656">
        <v>164.10939999999999</v>
      </c>
      <c r="CD101" s="656"/>
      <c r="CE101" s="656">
        <v>133.60161679999999</v>
      </c>
      <c r="CF101" s="656">
        <v>172.88943394999998</v>
      </c>
      <c r="CG101" s="656">
        <v>213.55747838999997</v>
      </c>
      <c r="CH101" s="656">
        <v>216.74235368000001</v>
      </c>
      <c r="CI101" s="656">
        <v>179.66692344000001</v>
      </c>
      <c r="CJ101" s="656">
        <v>276.98053241000002</v>
      </c>
      <c r="CK101" s="656">
        <v>289.64315630999999</v>
      </c>
      <c r="CL101" s="656">
        <v>346.10285518000001</v>
      </c>
      <c r="CM101" s="656">
        <v>321.15027935000001</v>
      </c>
      <c r="CN101" s="656">
        <v>354.52297002</v>
      </c>
      <c r="CO101" s="656">
        <v>426.47157499000002</v>
      </c>
      <c r="CP101" s="656">
        <v>461.77982068</v>
      </c>
      <c r="CQ101" s="656">
        <v>359.18486888000001</v>
      </c>
      <c r="CR101" s="656">
        <v>399.62194232999997</v>
      </c>
      <c r="CS101" s="656">
        <v>448.41874431999997</v>
      </c>
      <c r="CT101" s="656">
        <v>466.64314669999999</v>
      </c>
      <c r="CU101" s="656">
        <v>459.83867513000001</v>
      </c>
      <c r="CV101" s="656">
        <v>552.88214271000004</v>
      </c>
      <c r="CW101" s="656">
        <v>647.81639053999993</v>
      </c>
      <c r="CX101" s="656">
        <v>711.08467387999997</v>
      </c>
      <c r="CZ101" s="656" t="e">
        <v>#NAME?</v>
      </c>
      <c r="DB101" s="156" t="s">
        <v>416</v>
      </c>
      <c r="DG101" s="156" t="e">
        <v>#VALUE!</v>
      </c>
    </row>
    <row r="102" spans="1:111" ht="12.75">
      <c r="A102" s="165" t="s">
        <v>415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>
        <v>26.5261</v>
      </c>
      <c r="V102" s="656">
        <v>99.01336775</v>
      </c>
      <c r="W102" s="656">
        <v>100.88022221999999</v>
      </c>
      <c r="X102" s="656">
        <v>46.671149770000007</v>
      </c>
      <c r="Y102" s="656">
        <v>137.91056349999999</v>
      </c>
      <c r="Z102" s="656">
        <v>64.646706350000002</v>
      </c>
      <c r="AA102" s="656">
        <v>102.78013496999999</v>
      </c>
      <c r="AB102" s="656">
        <v>350.07235566000003</v>
      </c>
      <c r="AC102" s="656"/>
      <c r="AD102" s="158"/>
      <c r="AE102" s="158"/>
      <c r="AF102" s="656"/>
      <c r="AG102" s="656"/>
      <c r="AH102" s="656"/>
      <c r="AI102" s="656"/>
      <c r="AJ102" s="656"/>
      <c r="AK102" s="656"/>
      <c r="AL102" s="656"/>
      <c r="AM102" s="656"/>
      <c r="AN102" s="656"/>
      <c r="AO102" s="656"/>
      <c r="AP102" s="656"/>
      <c r="AQ102" s="656"/>
      <c r="AR102" s="656"/>
      <c r="AS102" s="656"/>
      <c r="AT102" s="656"/>
      <c r="AU102" s="656"/>
      <c r="AV102" s="656"/>
      <c r="AW102" s="656"/>
      <c r="AX102" s="656"/>
      <c r="AY102" s="656"/>
      <c r="AZ102" s="656"/>
      <c r="BA102" s="656"/>
      <c r="BB102" s="656"/>
      <c r="BC102" s="656"/>
      <c r="BD102" s="656"/>
      <c r="BE102" s="656"/>
      <c r="BF102" s="656"/>
      <c r="BG102" s="656"/>
      <c r="BH102" s="656"/>
      <c r="BI102" s="656"/>
      <c r="BJ102" s="656"/>
      <c r="BK102" s="656"/>
      <c r="BL102" s="656"/>
      <c r="BM102" s="656"/>
      <c r="BN102" s="656"/>
      <c r="BO102" s="656"/>
      <c r="BP102" s="656"/>
      <c r="BQ102" s="656"/>
      <c r="BR102" s="656"/>
      <c r="BS102" s="656"/>
      <c r="BT102" s="656"/>
      <c r="BU102" s="656"/>
      <c r="BV102" s="656"/>
      <c r="BW102" s="656"/>
      <c r="BX102" s="656"/>
      <c r="BY102" s="656"/>
      <c r="BZ102" s="656"/>
      <c r="CA102" s="656"/>
      <c r="CB102" s="656"/>
      <c r="CC102" s="656">
        <v>56.3187</v>
      </c>
      <c r="CD102" s="656"/>
      <c r="CE102" s="656">
        <v>46.671149770000007</v>
      </c>
      <c r="CF102" s="656">
        <v>35.603858539999997</v>
      </c>
      <c r="CG102" s="656">
        <v>25.75392424</v>
      </c>
      <c r="CH102" s="656">
        <v>79.034040300000001</v>
      </c>
      <c r="CI102" s="656">
        <v>137.91056349999999</v>
      </c>
      <c r="CJ102" s="656">
        <v>136.61332649000002</v>
      </c>
      <c r="CK102" s="656">
        <v>109.69180087999999</v>
      </c>
      <c r="CL102" s="656">
        <v>119.42882123000001</v>
      </c>
      <c r="CM102" s="656">
        <v>64.646706350000002</v>
      </c>
      <c r="CN102" s="656">
        <v>103.26979312</v>
      </c>
      <c r="CO102" s="656">
        <v>44.314480869999997</v>
      </c>
      <c r="CP102" s="656">
        <v>44.948021859999997</v>
      </c>
      <c r="CQ102" s="656">
        <v>102.78013496999999</v>
      </c>
      <c r="CR102" s="656">
        <v>119.16607035</v>
      </c>
      <c r="CS102" s="656">
        <v>45.375506200000004</v>
      </c>
      <c r="CT102" s="656">
        <v>134.30777501</v>
      </c>
      <c r="CU102" s="656">
        <v>350.07235566000003</v>
      </c>
      <c r="CV102" s="656">
        <v>203.52853958</v>
      </c>
      <c r="CW102" s="656">
        <v>247.43378952</v>
      </c>
      <c r="CX102" s="656">
        <v>145.95922066</v>
      </c>
      <c r="CZ102" s="656" t="e">
        <v>#NAME?</v>
      </c>
      <c r="DB102" s="156" t="s">
        <v>415</v>
      </c>
      <c r="DG102" s="156">
        <v>1089.3900000000001</v>
      </c>
    </row>
    <row r="103" spans="1:111" ht="12.75">
      <c r="A103" s="165" t="s">
        <v>414</v>
      </c>
      <c r="B103" s="656"/>
      <c r="C103" s="656"/>
      <c r="D103" s="656"/>
      <c r="E103" s="656"/>
      <c r="F103" s="656"/>
      <c r="G103" s="656"/>
      <c r="H103" s="656"/>
      <c r="I103" s="656"/>
      <c r="J103" s="656"/>
      <c r="K103" s="656"/>
      <c r="L103" s="656"/>
      <c r="M103" s="656"/>
      <c r="N103" s="656"/>
      <c r="O103" s="656"/>
      <c r="P103" s="656"/>
      <c r="Q103" s="656"/>
      <c r="R103" s="656"/>
      <c r="S103" s="656"/>
      <c r="T103" s="656"/>
      <c r="U103" s="656"/>
      <c r="V103" s="656"/>
      <c r="W103" s="656"/>
      <c r="X103" s="656"/>
      <c r="Y103" s="656">
        <v>0</v>
      </c>
      <c r="Z103" s="656"/>
      <c r="AA103" s="656"/>
      <c r="AB103" s="656">
        <v>0</v>
      </c>
      <c r="AC103" s="656"/>
      <c r="AD103" s="158"/>
      <c r="AE103" s="158"/>
      <c r="AF103" s="656"/>
      <c r="AG103" s="656"/>
      <c r="AH103" s="656"/>
      <c r="AI103" s="656"/>
      <c r="AJ103" s="656"/>
      <c r="AK103" s="656"/>
      <c r="AL103" s="656"/>
      <c r="AM103" s="656"/>
      <c r="AN103" s="656"/>
      <c r="AO103" s="656"/>
      <c r="AP103" s="656"/>
      <c r="AQ103" s="656"/>
      <c r="AR103" s="656"/>
      <c r="AS103" s="656"/>
      <c r="AT103" s="656"/>
      <c r="AU103" s="656"/>
      <c r="AV103" s="656"/>
      <c r="AW103" s="656"/>
      <c r="AX103" s="656"/>
      <c r="AY103" s="656"/>
      <c r="AZ103" s="656"/>
      <c r="BA103" s="656"/>
      <c r="BB103" s="656"/>
      <c r="BC103" s="656"/>
      <c r="BD103" s="656"/>
      <c r="BE103" s="656"/>
      <c r="BF103" s="656"/>
      <c r="BG103" s="656"/>
      <c r="BH103" s="656"/>
      <c r="BI103" s="656"/>
      <c r="BJ103" s="656"/>
      <c r="BK103" s="656"/>
      <c r="BL103" s="656"/>
      <c r="BM103" s="656"/>
      <c r="BN103" s="656"/>
      <c r="BO103" s="656"/>
      <c r="BP103" s="656"/>
      <c r="BQ103" s="656"/>
      <c r="BR103" s="656"/>
      <c r="BS103" s="656"/>
      <c r="BT103" s="656"/>
      <c r="BU103" s="656"/>
      <c r="BV103" s="656"/>
      <c r="BW103" s="656"/>
      <c r="BX103" s="656"/>
      <c r="BY103" s="656"/>
      <c r="BZ103" s="656"/>
      <c r="CA103" s="656"/>
      <c r="CB103" s="656"/>
      <c r="CC103" s="656"/>
      <c r="CD103" s="656"/>
      <c r="CE103" s="656"/>
      <c r="CF103" s="656"/>
      <c r="CG103" s="656"/>
      <c r="CH103" s="656"/>
      <c r="CI103" s="656"/>
      <c r="CJ103" s="656"/>
      <c r="CK103" s="656"/>
      <c r="CL103" s="656"/>
      <c r="CM103" s="656"/>
      <c r="CN103" s="656"/>
      <c r="CO103" s="656"/>
      <c r="CP103" s="656"/>
      <c r="CQ103" s="656"/>
      <c r="CR103" s="656"/>
      <c r="CS103" s="656">
        <v>0</v>
      </c>
      <c r="CT103" s="656">
        <v>0</v>
      </c>
      <c r="CU103" s="656">
        <v>0</v>
      </c>
      <c r="CV103" s="656">
        <v>0</v>
      </c>
      <c r="CW103" s="656">
        <v>0</v>
      </c>
      <c r="CX103" s="656">
        <v>0</v>
      </c>
      <c r="CZ103" s="656" t="e">
        <v>#NAME?</v>
      </c>
      <c r="DB103" s="156" t="s">
        <v>414</v>
      </c>
      <c r="DG103" s="156">
        <v>13.04</v>
      </c>
    </row>
    <row r="104" spans="1:111" ht="12.75">
      <c r="A104" s="165" t="s">
        <v>413</v>
      </c>
      <c r="B104" s="656"/>
      <c r="C104" s="656"/>
      <c r="D104" s="656"/>
      <c r="E104" s="656"/>
      <c r="F104" s="656"/>
      <c r="G104" s="656"/>
      <c r="H104" s="656"/>
      <c r="I104" s="656"/>
      <c r="J104" s="656"/>
      <c r="K104" s="656"/>
      <c r="L104" s="656"/>
      <c r="M104" s="656"/>
      <c r="N104" s="656"/>
      <c r="O104" s="656"/>
      <c r="P104" s="656"/>
      <c r="Q104" s="656"/>
      <c r="R104" s="656"/>
      <c r="S104" s="656"/>
      <c r="T104" s="656"/>
      <c r="U104" s="656"/>
      <c r="V104" s="656"/>
      <c r="W104" s="656"/>
      <c r="X104" s="656"/>
      <c r="Y104" s="656">
        <v>0</v>
      </c>
      <c r="Z104" s="656"/>
      <c r="AA104" s="656"/>
      <c r="AB104" s="656">
        <v>0</v>
      </c>
      <c r="AC104" s="656"/>
      <c r="AD104" s="158"/>
      <c r="AE104" s="158"/>
      <c r="AF104" s="656"/>
      <c r="AG104" s="656"/>
      <c r="AH104" s="656"/>
      <c r="AI104" s="656"/>
      <c r="AJ104" s="656"/>
      <c r="AK104" s="656"/>
      <c r="AL104" s="656"/>
      <c r="AM104" s="656"/>
      <c r="AN104" s="656"/>
      <c r="AO104" s="656"/>
      <c r="AP104" s="656"/>
      <c r="AQ104" s="656"/>
      <c r="AR104" s="656"/>
      <c r="AS104" s="656"/>
      <c r="AT104" s="656"/>
      <c r="AU104" s="656"/>
      <c r="AV104" s="656"/>
      <c r="AW104" s="656"/>
      <c r="AX104" s="656"/>
      <c r="AY104" s="656"/>
      <c r="AZ104" s="656"/>
      <c r="BA104" s="656"/>
      <c r="BB104" s="656"/>
      <c r="BC104" s="656"/>
      <c r="BD104" s="656"/>
      <c r="BE104" s="656"/>
      <c r="BF104" s="656"/>
      <c r="BG104" s="656"/>
      <c r="BH104" s="656"/>
      <c r="BI104" s="656"/>
      <c r="BJ104" s="656"/>
      <c r="BK104" s="656"/>
      <c r="BL104" s="656"/>
      <c r="BM104" s="656"/>
      <c r="BN104" s="656"/>
      <c r="BO104" s="656"/>
      <c r="BP104" s="656"/>
      <c r="BQ104" s="656"/>
      <c r="BR104" s="656"/>
      <c r="BS104" s="656"/>
      <c r="BT104" s="656"/>
      <c r="BU104" s="656"/>
      <c r="BV104" s="656"/>
      <c r="BW104" s="656"/>
      <c r="BX104" s="656"/>
      <c r="BY104" s="656"/>
      <c r="BZ104" s="656"/>
      <c r="CA104" s="656"/>
      <c r="CB104" s="656"/>
      <c r="CC104" s="656">
        <v>-1E-4</v>
      </c>
      <c r="CD104" s="656"/>
      <c r="CE104" s="656"/>
      <c r="CF104" s="656"/>
      <c r="CG104" s="656"/>
      <c r="CH104" s="656"/>
      <c r="CI104" s="656"/>
      <c r="CJ104" s="656"/>
      <c r="CK104" s="656"/>
      <c r="CL104" s="656"/>
      <c r="CM104" s="656"/>
      <c r="CN104" s="656"/>
      <c r="CO104" s="656"/>
      <c r="CP104" s="656"/>
      <c r="CQ104" s="656"/>
      <c r="CR104" s="656"/>
      <c r="CS104" s="656">
        <v>0</v>
      </c>
      <c r="CT104" s="656">
        <v>0</v>
      </c>
      <c r="CU104" s="656">
        <v>0</v>
      </c>
      <c r="CV104" s="656">
        <v>0</v>
      </c>
      <c r="CW104" s="656">
        <v>0</v>
      </c>
      <c r="CX104" s="656">
        <v>0</v>
      </c>
      <c r="CZ104" s="656" t="e">
        <v>#NAME?</v>
      </c>
      <c r="DB104" s="156" t="s">
        <v>413</v>
      </c>
      <c r="DG104" s="156" t="e">
        <v>#VALUE!</v>
      </c>
    </row>
    <row r="105" spans="1:111" ht="12.75">
      <c r="A105" s="167" t="s">
        <v>412</v>
      </c>
      <c r="B105" s="655"/>
      <c r="C105" s="655"/>
      <c r="D105" s="655"/>
      <c r="E105" s="655"/>
      <c r="F105" s="655"/>
      <c r="G105" s="655"/>
      <c r="H105" s="655"/>
      <c r="I105" s="655"/>
      <c r="J105" s="655"/>
      <c r="K105" s="655"/>
      <c r="L105" s="655"/>
      <c r="M105" s="655"/>
      <c r="N105" s="655"/>
      <c r="O105" s="655"/>
      <c r="P105" s="655"/>
      <c r="Q105" s="655"/>
      <c r="R105" s="655"/>
      <c r="S105" s="655"/>
      <c r="T105" s="655"/>
      <c r="U105" s="655">
        <v>1045.8399999999999</v>
      </c>
      <c r="V105" s="655">
        <v>1425.03903281</v>
      </c>
      <c r="W105" s="655">
        <v>1889.16032438</v>
      </c>
      <c r="X105" s="655">
        <v>2402.3092514999998</v>
      </c>
      <c r="Y105" s="655">
        <v>4938.9643663699999</v>
      </c>
      <c r="Z105" s="655">
        <v>4623.45719199</v>
      </c>
      <c r="AA105" s="655">
        <v>5941.4881525699993</v>
      </c>
      <c r="AB105" s="655">
        <v>9970.6726751299993</v>
      </c>
      <c r="AC105" s="655"/>
      <c r="AD105" s="158"/>
      <c r="AE105" s="158"/>
      <c r="AF105" s="655"/>
      <c r="AG105" s="655"/>
      <c r="AH105" s="655"/>
      <c r="AI105" s="655"/>
      <c r="AJ105" s="655"/>
      <c r="AK105" s="655"/>
      <c r="AL105" s="655"/>
      <c r="AM105" s="655"/>
      <c r="AN105" s="655"/>
      <c r="AO105" s="655"/>
      <c r="AP105" s="655"/>
      <c r="AQ105" s="655"/>
      <c r="AR105" s="655"/>
      <c r="AS105" s="655"/>
      <c r="AT105" s="655"/>
      <c r="AU105" s="655"/>
      <c r="AV105" s="655"/>
      <c r="AW105" s="655"/>
      <c r="AX105" s="655"/>
      <c r="AY105" s="655"/>
      <c r="AZ105" s="655"/>
      <c r="BA105" s="655"/>
      <c r="BB105" s="655"/>
      <c r="BC105" s="655"/>
      <c r="BD105" s="655"/>
      <c r="BE105" s="655"/>
      <c r="BF105" s="655"/>
      <c r="BG105" s="655"/>
      <c r="BH105" s="655"/>
      <c r="BI105" s="655"/>
      <c r="BJ105" s="655"/>
      <c r="BK105" s="655"/>
      <c r="BL105" s="655"/>
      <c r="BM105" s="655"/>
      <c r="BN105" s="655"/>
      <c r="BO105" s="655"/>
      <c r="BP105" s="655"/>
      <c r="BQ105" s="655"/>
      <c r="BR105" s="655"/>
      <c r="BS105" s="655"/>
      <c r="BT105" s="655"/>
      <c r="BU105" s="655"/>
      <c r="BV105" s="655"/>
      <c r="BW105" s="655"/>
      <c r="BX105" s="655"/>
      <c r="BY105" s="655"/>
      <c r="BZ105" s="655"/>
      <c r="CA105" s="655"/>
      <c r="CB105" s="655"/>
      <c r="CC105" s="655">
        <v>2289.9395</v>
      </c>
      <c r="CD105" s="655"/>
      <c r="CE105" s="655">
        <v>2402.3092514999998</v>
      </c>
      <c r="CF105" s="655">
        <v>2667.9571145</v>
      </c>
      <c r="CG105" s="655">
        <v>3118.1913519899999</v>
      </c>
      <c r="CH105" s="655">
        <v>3736.0177913499997</v>
      </c>
      <c r="CI105" s="655">
        <v>4938.9643663699999</v>
      </c>
      <c r="CJ105" s="655">
        <v>4635.9424582499996</v>
      </c>
      <c r="CK105" s="655">
        <v>4503.6042329799993</v>
      </c>
      <c r="CL105" s="655">
        <v>4695.9587779599997</v>
      </c>
      <c r="CM105" s="655">
        <v>4623.45719199</v>
      </c>
      <c r="CN105" s="655">
        <v>5257.1455561800003</v>
      </c>
      <c r="CO105" s="655">
        <v>5677.6331891400005</v>
      </c>
      <c r="CP105" s="655">
        <v>5824.9366971400004</v>
      </c>
      <c r="CQ105" s="655">
        <v>5941.4881525699993</v>
      </c>
      <c r="CR105" s="655">
        <v>6351.8420000799997</v>
      </c>
      <c r="CS105" s="655">
        <v>8364.6532652000005</v>
      </c>
      <c r="CT105" s="655">
        <v>9194.8613039500015</v>
      </c>
      <c r="CU105" s="655">
        <v>9970.6726751299993</v>
      </c>
      <c r="CV105" s="655">
        <v>10855.593690719999</v>
      </c>
      <c r="CW105" s="655">
        <v>10635.864102899999</v>
      </c>
      <c r="CX105" s="655">
        <v>11602.325167479999</v>
      </c>
      <c r="CZ105" s="655" t="e">
        <v>#NAME?</v>
      </c>
      <c r="DB105" s="156" t="s">
        <v>412</v>
      </c>
      <c r="DG105" s="156" t="e">
        <v>#VALUE!</v>
      </c>
    </row>
    <row r="106" spans="1:111" ht="12.75">
      <c r="A106" s="165" t="s">
        <v>411</v>
      </c>
      <c r="B106" s="656"/>
      <c r="C106" s="656"/>
      <c r="D106" s="656"/>
      <c r="E106" s="656"/>
      <c r="F106" s="656"/>
      <c r="G106" s="656"/>
      <c r="H106" s="656"/>
      <c r="I106" s="656"/>
      <c r="J106" s="656"/>
      <c r="K106" s="656"/>
      <c r="L106" s="656"/>
      <c r="M106" s="656"/>
      <c r="N106" s="656"/>
      <c r="O106" s="656"/>
      <c r="P106" s="656"/>
      <c r="Q106" s="656"/>
      <c r="R106" s="656"/>
      <c r="S106" s="656"/>
      <c r="T106" s="656"/>
      <c r="U106" s="656"/>
      <c r="V106" s="656"/>
      <c r="W106" s="656"/>
      <c r="X106" s="656"/>
      <c r="Y106" s="656">
        <v>0</v>
      </c>
      <c r="Z106" s="656"/>
      <c r="AA106" s="656"/>
      <c r="AB106" s="656">
        <v>0</v>
      </c>
      <c r="AC106" s="656"/>
      <c r="AD106" s="158"/>
      <c r="AE106" s="158"/>
      <c r="AF106" s="656"/>
      <c r="AG106" s="656"/>
      <c r="AH106" s="656"/>
      <c r="AI106" s="656"/>
      <c r="AJ106" s="656"/>
      <c r="AK106" s="656"/>
      <c r="AL106" s="656"/>
      <c r="AM106" s="656"/>
      <c r="AN106" s="656"/>
      <c r="AO106" s="656"/>
      <c r="AP106" s="656"/>
      <c r="AQ106" s="656"/>
      <c r="AR106" s="656"/>
      <c r="AS106" s="656"/>
      <c r="AT106" s="656"/>
      <c r="AU106" s="656"/>
      <c r="AV106" s="656"/>
      <c r="AW106" s="656"/>
      <c r="AX106" s="656"/>
      <c r="AY106" s="656"/>
      <c r="AZ106" s="656"/>
      <c r="BA106" s="656"/>
      <c r="BB106" s="656"/>
      <c r="BC106" s="656"/>
      <c r="BD106" s="656"/>
      <c r="BE106" s="656"/>
      <c r="BF106" s="656"/>
      <c r="BG106" s="656"/>
      <c r="BH106" s="656"/>
      <c r="BI106" s="656"/>
      <c r="BJ106" s="656"/>
      <c r="BK106" s="656"/>
      <c r="BL106" s="656"/>
      <c r="BM106" s="656"/>
      <c r="BN106" s="656"/>
      <c r="BO106" s="656"/>
      <c r="BP106" s="656"/>
      <c r="BQ106" s="656"/>
      <c r="BR106" s="656"/>
      <c r="BS106" s="656"/>
      <c r="BT106" s="656"/>
      <c r="BU106" s="656"/>
      <c r="BV106" s="656"/>
      <c r="BW106" s="656"/>
      <c r="BX106" s="656"/>
      <c r="BY106" s="656"/>
      <c r="BZ106" s="656"/>
      <c r="CA106" s="656"/>
      <c r="CB106" s="656"/>
      <c r="CC106" s="656"/>
      <c r="CD106" s="656"/>
      <c r="CE106" s="656"/>
      <c r="CF106" s="656"/>
      <c r="CG106" s="656"/>
      <c r="CH106" s="656"/>
      <c r="CI106" s="656"/>
      <c r="CJ106" s="656"/>
      <c r="CK106" s="656"/>
      <c r="CL106" s="656"/>
      <c r="CM106" s="656"/>
      <c r="CN106" s="656"/>
      <c r="CO106" s="656"/>
      <c r="CP106" s="656"/>
      <c r="CQ106" s="656"/>
      <c r="CR106" s="656"/>
      <c r="CS106" s="656">
        <v>0</v>
      </c>
      <c r="CT106" s="656">
        <v>0</v>
      </c>
      <c r="CU106" s="656">
        <v>0</v>
      </c>
      <c r="CV106" s="656">
        <v>0</v>
      </c>
      <c r="CW106" s="656">
        <v>0</v>
      </c>
      <c r="CX106" s="656">
        <v>0</v>
      </c>
      <c r="CZ106" s="656" t="e">
        <v>#NAME?</v>
      </c>
      <c r="DB106" s="156" t="s">
        <v>411</v>
      </c>
      <c r="DG106" s="156" t="e">
        <v>#VALUE!</v>
      </c>
    </row>
    <row r="107" spans="1:111" ht="12.75">
      <c r="A107" s="165" t="s">
        <v>410</v>
      </c>
      <c r="B107" s="656"/>
      <c r="C107" s="656"/>
      <c r="D107" s="656"/>
      <c r="E107" s="656"/>
      <c r="F107" s="656"/>
      <c r="G107" s="656"/>
      <c r="H107" s="656"/>
      <c r="I107" s="656"/>
      <c r="J107" s="656"/>
      <c r="K107" s="656"/>
      <c r="L107" s="656"/>
      <c r="M107" s="656"/>
      <c r="N107" s="656"/>
      <c r="O107" s="656"/>
      <c r="P107" s="656"/>
      <c r="Q107" s="656"/>
      <c r="R107" s="656"/>
      <c r="S107" s="656"/>
      <c r="T107" s="656"/>
      <c r="U107" s="656">
        <v>-1E-4</v>
      </c>
      <c r="V107" s="656"/>
      <c r="W107" s="656"/>
      <c r="X107" s="656"/>
      <c r="Y107" s="656">
        <v>0</v>
      </c>
      <c r="Z107" s="656"/>
      <c r="AA107" s="656"/>
      <c r="AB107" s="656">
        <v>0</v>
      </c>
      <c r="AC107" s="656"/>
      <c r="AD107" s="158"/>
      <c r="AE107" s="158"/>
      <c r="AF107" s="656"/>
      <c r="AG107" s="656"/>
      <c r="AH107" s="656"/>
      <c r="AI107" s="656"/>
      <c r="AJ107" s="656"/>
      <c r="AK107" s="656"/>
      <c r="AL107" s="656"/>
      <c r="AM107" s="656"/>
      <c r="AN107" s="656"/>
      <c r="AO107" s="656"/>
      <c r="AP107" s="656"/>
      <c r="AQ107" s="656"/>
      <c r="AR107" s="656"/>
      <c r="AS107" s="656"/>
      <c r="AT107" s="656"/>
      <c r="AU107" s="656"/>
      <c r="AV107" s="656"/>
      <c r="AW107" s="656"/>
      <c r="AX107" s="656"/>
      <c r="AY107" s="656"/>
      <c r="AZ107" s="656"/>
      <c r="BA107" s="656"/>
      <c r="BB107" s="656"/>
      <c r="BC107" s="656"/>
      <c r="BD107" s="656"/>
      <c r="BE107" s="656"/>
      <c r="BF107" s="656"/>
      <c r="BG107" s="656"/>
      <c r="BH107" s="656"/>
      <c r="BI107" s="656"/>
      <c r="BJ107" s="656"/>
      <c r="BK107" s="656"/>
      <c r="BL107" s="656"/>
      <c r="BM107" s="656"/>
      <c r="BN107" s="656"/>
      <c r="BO107" s="656"/>
      <c r="BP107" s="656"/>
      <c r="BQ107" s="656"/>
      <c r="BR107" s="656"/>
      <c r="BS107" s="656"/>
      <c r="BT107" s="656"/>
      <c r="BU107" s="656"/>
      <c r="BV107" s="656"/>
      <c r="BW107" s="656"/>
      <c r="BX107" s="656"/>
      <c r="BY107" s="656"/>
      <c r="BZ107" s="656"/>
      <c r="CA107" s="656"/>
      <c r="CB107" s="656"/>
      <c r="CC107" s="656"/>
      <c r="CD107" s="656"/>
      <c r="CE107" s="656"/>
      <c r="CF107" s="656"/>
      <c r="CG107" s="656"/>
      <c r="CH107" s="656"/>
      <c r="CI107" s="656"/>
      <c r="CJ107" s="656"/>
      <c r="CK107" s="656"/>
      <c r="CL107" s="656"/>
      <c r="CM107" s="656"/>
      <c r="CN107" s="656"/>
      <c r="CO107" s="656"/>
      <c r="CP107" s="656"/>
      <c r="CQ107" s="656"/>
      <c r="CR107" s="656"/>
      <c r="CS107" s="656">
        <v>0</v>
      </c>
      <c r="CT107" s="656">
        <v>0</v>
      </c>
      <c r="CU107" s="656">
        <v>0</v>
      </c>
      <c r="CV107" s="656">
        <v>0</v>
      </c>
      <c r="CW107" s="656">
        <v>0</v>
      </c>
      <c r="CX107" s="656">
        <v>0</v>
      </c>
      <c r="CZ107" s="656" t="e">
        <v>#NAME?</v>
      </c>
      <c r="DB107" s="156" t="s">
        <v>410</v>
      </c>
      <c r="DG107" s="156" t="e">
        <v>#VALUE!</v>
      </c>
    </row>
    <row r="108" spans="1:111" ht="12.75">
      <c r="A108" s="167" t="s">
        <v>409</v>
      </c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5"/>
      <c r="P108" s="655"/>
      <c r="Q108" s="655"/>
      <c r="R108" s="655"/>
      <c r="S108" s="655"/>
      <c r="T108" s="655"/>
      <c r="U108" s="655">
        <v>2051.0144</v>
      </c>
      <c r="V108" s="655">
        <v>2107.5256873399999</v>
      </c>
      <c r="W108" s="655">
        <v>3340.7003072800003</v>
      </c>
      <c r="X108" s="655">
        <v>4361.2864474099997</v>
      </c>
      <c r="Y108" s="655">
        <v>7790.4911589799995</v>
      </c>
      <c r="Z108" s="655">
        <v>11869.648285860001</v>
      </c>
      <c r="AA108" s="655">
        <v>14710.04991267</v>
      </c>
      <c r="AB108" s="655">
        <v>22676.296132900003</v>
      </c>
      <c r="AC108" s="655"/>
      <c r="AD108" s="158"/>
      <c r="AE108" s="158"/>
      <c r="AF108" s="655"/>
      <c r="AG108" s="655"/>
      <c r="AH108" s="655"/>
      <c r="AI108" s="655"/>
      <c r="AJ108" s="655"/>
      <c r="AK108" s="655"/>
      <c r="AL108" s="655"/>
      <c r="AM108" s="655"/>
      <c r="AN108" s="655"/>
      <c r="AO108" s="655"/>
      <c r="AP108" s="655"/>
      <c r="AQ108" s="655"/>
      <c r="AR108" s="655"/>
      <c r="AS108" s="655"/>
      <c r="AT108" s="655"/>
      <c r="AU108" s="655"/>
      <c r="AV108" s="655"/>
      <c r="AW108" s="655"/>
      <c r="AX108" s="655"/>
      <c r="AY108" s="655"/>
      <c r="AZ108" s="655"/>
      <c r="BA108" s="655"/>
      <c r="BB108" s="655"/>
      <c r="BC108" s="655"/>
      <c r="BD108" s="655"/>
      <c r="BE108" s="655"/>
      <c r="BF108" s="655"/>
      <c r="BG108" s="655"/>
      <c r="BH108" s="655"/>
      <c r="BI108" s="655"/>
      <c r="BJ108" s="655"/>
      <c r="BK108" s="655"/>
      <c r="BL108" s="655"/>
      <c r="BM108" s="655"/>
      <c r="BN108" s="655"/>
      <c r="BO108" s="655"/>
      <c r="BP108" s="655"/>
      <c r="BQ108" s="655"/>
      <c r="BR108" s="655"/>
      <c r="BS108" s="655"/>
      <c r="BT108" s="655"/>
      <c r="BU108" s="655"/>
      <c r="BV108" s="655"/>
      <c r="BW108" s="655"/>
      <c r="BX108" s="655"/>
      <c r="BY108" s="655"/>
      <c r="BZ108" s="655"/>
      <c r="CA108" s="655"/>
      <c r="CB108" s="655"/>
      <c r="CC108" s="655">
        <v>3730.6381999999999</v>
      </c>
      <c r="CD108" s="655"/>
      <c r="CE108" s="655">
        <v>4361.2864474099997</v>
      </c>
      <c r="CF108" s="655">
        <v>4661.1823415400004</v>
      </c>
      <c r="CG108" s="655">
        <v>7096.92610212</v>
      </c>
      <c r="CH108" s="655">
        <v>6678.7395582299996</v>
      </c>
      <c r="CI108" s="655">
        <v>7790.4911589799995</v>
      </c>
      <c r="CJ108" s="655">
        <v>8955.5629127399989</v>
      </c>
      <c r="CK108" s="655">
        <v>9647.5299397600011</v>
      </c>
      <c r="CL108" s="655">
        <v>10482.92541403</v>
      </c>
      <c r="CM108" s="655">
        <v>11869.648285860001</v>
      </c>
      <c r="CN108" s="655">
        <v>12827.939817549999</v>
      </c>
      <c r="CO108" s="655">
        <v>13518.30494068</v>
      </c>
      <c r="CP108" s="655">
        <v>14629.98270805</v>
      </c>
      <c r="CQ108" s="655">
        <v>14710.04991267</v>
      </c>
      <c r="CR108" s="655">
        <v>15816.284627499999</v>
      </c>
      <c r="CS108" s="655">
        <v>18647.327195540001</v>
      </c>
      <c r="CT108" s="655">
        <v>19909.541894000002</v>
      </c>
      <c r="CU108" s="655">
        <v>22676.296132900003</v>
      </c>
      <c r="CV108" s="655">
        <v>22681.820470259998</v>
      </c>
      <c r="CW108" s="655">
        <v>22915.401434979998</v>
      </c>
      <c r="CX108" s="655">
        <v>23943.346755830004</v>
      </c>
      <c r="CZ108" s="655" t="e">
        <v>#NAME?</v>
      </c>
      <c r="DB108" s="156" t="s">
        <v>409</v>
      </c>
      <c r="DG108" s="156">
        <v>371.52</v>
      </c>
    </row>
    <row r="109" spans="1:111">
      <c r="A109" s="167" t="s">
        <v>408</v>
      </c>
      <c r="B109" s="658"/>
      <c r="C109" s="658"/>
      <c r="D109" s="658"/>
      <c r="E109" s="658"/>
      <c r="F109" s="658"/>
      <c r="G109" s="658"/>
      <c r="H109" s="658"/>
      <c r="I109" s="658"/>
      <c r="J109" s="658"/>
      <c r="K109" s="658"/>
      <c r="L109" s="658"/>
      <c r="M109" s="658"/>
      <c r="N109" s="658"/>
      <c r="O109" s="658"/>
      <c r="P109" s="658"/>
      <c r="Q109" s="658"/>
      <c r="R109" s="658"/>
      <c r="S109" s="658"/>
      <c r="T109" s="658"/>
      <c r="U109" s="658"/>
      <c r="V109" s="658"/>
      <c r="W109" s="658"/>
      <c r="X109" s="658"/>
      <c r="Y109" s="658"/>
      <c r="Z109" s="658"/>
      <c r="AA109" s="658"/>
      <c r="AB109" s="658"/>
      <c r="AC109" s="658"/>
      <c r="AD109" s="158"/>
      <c r="AE109" s="158"/>
      <c r="AF109" s="658"/>
      <c r="AG109" s="658"/>
      <c r="AH109" s="658"/>
      <c r="AI109" s="658"/>
      <c r="AJ109" s="658"/>
      <c r="AK109" s="658"/>
      <c r="AL109" s="658"/>
      <c r="AM109" s="658"/>
      <c r="AN109" s="658"/>
      <c r="AO109" s="658"/>
      <c r="AP109" s="658"/>
      <c r="AQ109" s="658"/>
      <c r="AR109" s="658"/>
      <c r="AS109" s="658"/>
      <c r="AT109" s="658"/>
      <c r="AU109" s="658"/>
      <c r="AV109" s="658"/>
      <c r="AW109" s="658"/>
      <c r="AX109" s="658"/>
      <c r="AY109" s="658"/>
      <c r="AZ109" s="658"/>
      <c r="BA109" s="658"/>
      <c r="BB109" s="658"/>
      <c r="BC109" s="658"/>
      <c r="BD109" s="658"/>
      <c r="BE109" s="658"/>
      <c r="BF109" s="658"/>
      <c r="BG109" s="658"/>
      <c r="BH109" s="658"/>
      <c r="BI109" s="658"/>
      <c r="BJ109" s="658"/>
      <c r="BK109" s="658"/>
      <c r="BL109" s="658"/>
      <c r="BM109" s="658"/>
      <c r="BN109" s="658"/>
      <c r="BO109" s="658"/>
      <c r="BP109" s="658"/>
      <c r="BQ109" s="658"/>
      <c r="BR109" s="658"/>
      <c r="BS109" s="658"/>
      <c r="BT109" s="658"/>
      <c r="BU109" s="658"/>
      <c r="BV109" s="658"/>
      <c r="BW109" s="658"/>
      <c r="BX109" s="658"/>
      <c r="BY109" s="658"/>
      <c r="BZ109" s="658"/>
      <c r="CA109" s="658"/>
      <c r="CB109" s="658"/>
      <c r="CC109" s="658"/>
      <c r="CD109" s="658"/>
      <c r="CE109" s="658"/>
      <c r="CF109" s="658"/>
      <c r="CG109" s="658"/>
      <c r="CH109" s="658"/>
      <c r="CI109" s="658"/>
      <c r="CJ109" s="658"/>
      <c r="CK109" s="658"/>
      <c r="CL109" s="658"/>
      <c r="CM109" s="658"/>
      <c r="CN109" s="658"/>
      <c r="CO109" s="658"/>
      <c r="CP109" s="658"/>
      <c r="CQ109" s="658"/>
      <c r="CR109" s="658"/>
      <c r="CS109" s="658"/>
      <c r="CT109" s="658"/>
      <c r="CU109" s="658"/>
      <c r="CV109" s="658"/>
      <c r="CW109" s="658"/>
      <c r="CX109" s="658"/>
      <c r="CZ109" s="658"/>
      <c r="DB109" s="156" t="s">
        <v>408</v>
      </c>
      <c r="DG109" s="156">
        <v>14845.04</v>
      </c>
    </row>
    <row r="110" spans="1:111" ht="12.75">
      <c r="A110" s="168" t="s">
        <v>407</v>
      </c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6"/>
      <c r="P110" s="656"/>
      <c r="Q110" s="656"/>
      <c r="R110" s="656"/>
      <c r="S110" s="656"/>
      <c r="T110" s="656"/>
      <c r="U110" s="656">
        <v>125</v>
      </c>
      <c r="V110" s="656">
        <v>154.79784472999998</v>
      </c>
      <c r="W110" s="656">
        <v>10</v>
      </c>
      <c r="X110" s="656">
        <v>110</v>
      </c>
      <c r="Y110" s="656">
        <v>623.5</v>
      </c>
      <c r="Z110" s="656">
        <v>3181.5996330300004</v>
      </c>
      <c r="AA110" s="656">
        <v>2995.7055691300002</v>
      </c>
      <c r="AB110" s="656">
        <v>6551.3369212799998</v>
      </c>
      <c r="AC110" s="656"/>
      <c r="AD110" s="158"/>
      <c r="AE110" s="158"/>
      <c r="AF110" s="656"/>
      <c r="AG110" s="656"/>
      <c r="AH110" s="656"/>
      <c r="AI110" s="656"/>
      <c r="AJ110" s="656"/>
      <c r="AK110" s="656"/>
      <c r="AL110" s="656"/>
      <c r="AM110" s="656"/>
      <c r="AN110" s="656"/>
      <c r="AO110" s="656"/>
      <c r="AP110" s="656"/>
      <c r="AQ110" s="656"/>
      <c r="AR110" s="656"/>
      <c r="AS110" s="656"/>
      <c r="AT110" s="656"/>
      <c r="AU110" s="656"/>
      <c r="AV110" s="656"/>
      <c r="AW110" s="656"/>
      <c r="AX110" s="656"/>
      <c r="AY110" s="656"/>
      <c r="AZ110" s="656"/>
      <c r="BA110" s="656"/>
      <c r="BB110" s="656"/>
      <c r="BC110" s="656"/>
      <c r="BD110" s="656"/>
      <c r="BE110" s="656"/>
      <c r="BF110" s="656"/>
      <c r="BG110" s="656"/>
      <c r="BH110" s="656"/>
      <c r="BI110" s="656"/>
      <c r="BJ110" s="656"/>
      <c r="BK110" s="656"/>
      <c r="BL110" s="656"/>
      <c r="BM110" s="656"/>
      <c r="BN110" s="656"/>
      <c r="BO110" s="656"/>
      <c r="BP110" s="656"/>
      <c r="BQ110" s="656"/>
      <c r="BR110" s="656"/>
      <c r="BS110" s="656"/>
      <c r="BT110" s="656"/>
      <c r="BU110" s="656"/>
      <c r="BV110" s="656"/>
      <c r="BW110" s="656"/>
      <c r="BX110" s="656"/>
      <c r="BY110" s="656"/>
      <c r="BZ110" s="656"/>
      <c r="CA110" s="656"/>
      <c r="CB110" s="656"/>
      <c r="CC110" s="656">
        <v>50</v>
      </c>
      <c r="CD110" s="656"/>
      <c r="CE110" s="656">
        <v>110</v>
      </c>
      <c r="CF110" s="656"/>
      <c r="CG110" s="656"/>
      <c r="CH110" s="656">
        <v>290</v>
      </c>
      <c r="CI110" s="656">
        <v>623.5</v>
      </c>
      <c r="CJ110" s="656">
        <v>1401.5</v>
      </c>
      <c r="CK110" s="656">
        <v>2199.7059368099999</v>
      </c>
      <c r="CL110" s="656">
        <v>2479.85367099</v>
      </c>
      <c r="CM110" s="656">
        <v>3181.5996330300004</v>
      </c>
      <c r="CN110" s="656">
        <v>3460.3089307800001</v>
      </c>
      <c r="CO110" s="656">
        <v>3912.95869485</v>
      </c>
      <c r="CP110" s="656">
        <v>4337.1723254199997</v>
      </c>
      <c r="CQ110" s="656">
        <v>2995.7055691300002</v>
      </c>
      <c r="CR110" s="656">
        <v>3366.78659866</v>
      </c>
      <c r="CS110" s="656">
        <v>5690.5186663199993</v>
      </c>
      <c r="CT110" s="656">
        <v>6822.3103977000001</v>
      </c>
      <c r="CU110" s="656">
        <v>6551.3369212799998</v>
      </c>
      <c r="CV110" s="656">
        <v>6065.0442872900003</v>
      </c>
      <c r="CW110" s="656">
        <v>6128.3984215600003</v>
      </c>
      <c r="CX110" s="656">
        <v>6972.8491099100002</v>
      </c>
      <c r="CZ110" s="656" t="e">
        <v>#NAME?</v>
      </c>
      <c r="DB110" s="156" t="s">
        <v>407</v>
      </c>
    </row>
    <row r="111" spans="1:111" ht="12.75">
      <c r="A111" s="168" t="s">
        <v>406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>
        <v>0</v>
      </c>
      <c r="Z111" s="656"/>
      <c r="AA111" s="656"/>
      <c r="AB111" s="656">
        <v>0</v>
      </c>
      <c r="AC111" s="656"/>
      <c r="AD111" s="158"/>
      <c r="AE111" s="158"/>
      <c r="AF111" s="656"/>
      <c r="AG111" s="656"/>
      <c r="AH111" s="656"/>
      <c r="AI111" s="656"/>
      <c r="AJ111" s="656"/>
      <c r="AK111" s="656"/>
      <c r="AL111" s="656"/>
      <c r="AM111" s="656"/>
      <c r="AN111" s="656"/>
      <c r="AO111" s="656"/>
      <c r="AP111" s="656"/>
      <c r="AQ111" s="656"/>
      <c r="AR111" s="656"/>
      <c r="AS111" s="656"/>
      <c r="AT111" s="656"/>
      <c r="AU111" s="656"/>
      <c r="AV111" s="656"/>
      <c r="AW111" s="656"/>
      <c r="AX111" s="656"/>
      <c r="AY111" s="656"/>
      <c r="AZ111" s="656"/>
      <c r="BA111" s="656"/>
      <c r="BB111" s="656"/>
      <c r="BC111" s="656"/>
      <c r="BD111" s="656"/>
      <c r="BE111" s="656"/>
      <c r="BF111" s="656"/>
      <c r="BG111" s="656"/>
      <c r="BH111" s="656"/>
      <c r="BI111" s="656"/>
      <c r="BJ111" s="656"/>
      <c r="BK111" s="656"/>
      <c r="BL111" s="656"/>
      <c r="BM111" s="656"/>
      <c r="BN111" s="656"/>
      <c r="BO111" s="656"/>
      <c r="BP111" s="656"/>
      <c r="BQ111" s="656"/>
      <c r="BR111" s="656"/>
      <c r="BS111" s="656"/>
      <c r="BT111" s="656"/>
      <c r="BU111" s="656"/>
      <c r="BV111" s="656"/>
      <c r="BW111" s="656"/>
      <c r="BX111" s="656"/>
      <c r="BY111" s="656"/>
      <c r="BZ111" s="656"/>
      <c r="CA111" s="656"/>
      <c r="CB111" s="656"/>
      <c r="CC111" s="656"/>
      <c r="CD111" s="656"/>
      <c r="CE111" s="656"/>
      <c r="CF111" s="656"/>
      <c r="CG111" s="656"/>
      <c r="CH111" s="656"/>
      <c r="CI111" s="656"/>
      <c r="CJ111" s="656"/>
      <c r="CK111" s="656"/>
      <c r="CL111" s="656"/>
      <c r="CM111" s="656"/>
      <c r="CN111" s="656"/>
      <c r="CO111" s="656"/>
      <c r="CP111" s="656"/>
      <c r="CQ111" s="656"/>
      <c r="CR111" s="656"/>
      <c r="CS111" s="656">
        <v>0</v>
      </c>
      <c r="CT111" s="656">
        <v>0</v>
      </c>
      <c r="CU111" s="656">
        <v>0</v>
      </c>
      <c r="CV111" s="656">
        <v>0</v>
      </c>
      <c r="CW111" s="656">
        <v>0</v>
      </c>
      <c r="CX111" s="656">
        <v>0</v>
      </c>
      <c r="CZ111" s="656" t="e">
        <v>#NAME?</v>
      </c>
      <c r="DB111" s="156" t="s">
        <v>406</v>
      </c>
      <c r="DG111" s="156" t="e">
        <v>#VALUE!</v>
      </c>
    </row>
    <row r="112" spans="1:111" ht="12.75">
      <c r="A112" s="168" t="s">
        <v>405</v>
      </c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6"/>
      <c r="P112" s="656"/>
      <c r="Q112" s="656"/>
      <c r="R112" s="656"/>
      <c r="S112" s="656"/>
      <c r="T112" s="656"/>
      <c r="U112" s="656"/>
      <c r="V112" s="656"/>
      <c r="W112" s="656"/>
      <c r="X112" s="656"/>
      <c r="Y112" s="656">
        <v>0</v>
      </c>
      <c r="Z112" s="656"/>
      <c r="AA112" s="656"/>
      <c r="AB112" s="656">
        <v>0</v>
      </c>
      <c r="AC112" s="656"/>
      <c r="AD112" s="158"/>
      <c r="AE112" s="158"/>
      <c r="AF112" s="656"/>
      <c r="AG112" s="656"/>
      <c r="AH112" s="656"/>
      <c r="AI112" s="656"/>
      <c r="AJ112" s="656"/>
      <c r="AK112" s="656"/>
      <c r="AL112" s="656"/>
      <c r="AM112" s="656"/>
      <c r="AN112" s="656"/>
      <c r="AO112" s="656"/>
      <c r="AP112" s="656"/>
      <c r="AQ112" s="656"/>
      <c r="AR112" s="656"/>
      <c r="AS112" s="656"/>
      <c r="AT112" s="656"/>
      <c r="AU112" s="656"/>
      <c r="AV112" s="656"/>
      <c r="AW112" s="656"/>
      <c r="AX112" s="656"/>
      <c r="AY112" s="656"/>
      <c r="AZ112" s="656"/>
      <c r="BA112" s="656"/>
      <c r="BB112" s="656"/>
      <c r="BC112" s="656"/>
      <c r="BD112" s="656"/>
      <c r="BE112" s="656"/>
      <c r="BF112" s="656"/>
      <c r="BG112" s="656"/>
      <c r="BH112" s="656"/>
      <c r="BI112" s="656"/>
      <c r="BJ112" s="656"/>
      <c r="BK112" s="656"/>
      <c r="BL112" s="656"/>
      <c r="BM112" s="656"/>
      <c r="BN112" s="656"/>
      <c r="BO112" s="656"/>
      <c r="BP112" s="656"/>
      <c r="BQ112" s="656"/>
      <c r="BR112" s="656"/>
      <c r="BS112" s="656"/>
      <c r="BT112" s="656"/>
      <c r="BU112" s="656"/>
      <c r="BV112" s="656"/>
      <c r="BW112" s="656"/>
      <c r="BX112" s="656"/>
      <c r="BY112" s="656"/>
      <c r="BZ112" s="656"/>
      <c r="CA112" s="656"/>
      <c r="CB112" s="656"/>
      <c r="CC112" s="656"/>
      <c r="CD112" s="656"/>
      <c r="CE112" s="656"/>
      <c r="CF112" s="656"/>
      <c r="CG112" s="656"/>
      <c r="CH112" s="656"/>
      <c r="CI112" s="656"/>
      <c r="CJ112" s="656"/>
      <c r="CK112" s="656"/>
      <c r="CL112" s="656"/>
      <c r="CM112" s="656"/>
      <c r="CN112" s="656"/>
      <c r="CO112" s="656"/>
      <c r="CP112" s="656"/>
      <c r="CQ112" s="656"/>
      <c r="CR112" s="656"/>
      <c r="CS112" s="656">
        <v>0</v>
      </c>
      <c r="CT112" s="656">
        <v>0</v>
      </c>
      <c r="CU112" s="656">
        <v>0</v>
      </c>
      <c r="CV112" s="656">
        <v>0</v>
      </c>
      <c r="CW112" s="656">
        <v>0</v>
      </c>
      <c r="CX112" s="656">
        <v>0</v>
      </c>
      <c r="CZ112" s="656" t="e">
        <v>#NAME?</v>
      </c>
      <c r="DB112" s="156" t="s">
        <v>405</v>
      </c>
      <c r="DG112" s="156" t="e">
        <v>#VALUE!</v>
      </c>
    </row>
    <row r="113" spans="1:111" ht="12.75">
      <c r="A113" s="168" t="s">
        <v>404</v>
      </c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6"/>
      <c r="P113" s="656"/>
      <c r="Q113" s="656"/>
      <c r="R113" s="656"/>
      <c r="S113" s="656"/>
      <c r="T113" s="656"/>
      <c r="U113" s="656"/>
      <c r="V113" s="656"/>
      <c r="W113" s="656"/>
      <c r="X113" s="656"/>
      <c r="Y113" s="656">
        <v>0</v>
      </c>
      <c r="Z113" s="656"/>
      <c r="AA113" s="656"/>
      <c r="AB113" s="656">
        <v>0</v>
      </c>
      <c r="AC113" s="656"/>
      <c r="AD113" s="158"/>
      <c r="AE113" s="158"/>
      <c r="AF113" s="656"/>
      <c r="AG113" s="656"/>
      <c r="AH113" s="656"/>
      <c r="AI113" s="656"/>
      <c r="AJ113" s="656"/>
      <c r="AK113" s="656"/>
      <c r="AL113" s="656"/>
      <c r="AM113" s="656"/>
      <c r="AN113" s="656"/>
      <c r="AO113" s="656"/>
      <c r="AP113" s="656"/>
      <c r="AQ113" s="656"/>
      <c r="AR113" s="656"/>
      <c r="AS113" s="656"/>
      <c r="AT113" s="656"/>
      <c r="AU113" s="656"/>
      <c r="AV113" s="656"/>
      <c r="AW113" s="656"/>
      <c r="AX113" s="656"/>
      <c r="AY113" s="656"/>
      <c r="AZ113" s="656"/>
      <c r="BA113" s="656"/>
      <c r="BB113" s="656"/>
      <c r="BC113" s="656"/>
      <c r="BD113" s="656"/>
      <c r="BE113" s="656"/>
      <c r="BF113" s="656"/>
      <c r="BG113" s="656"/>
      <c r="BH113" s="656"/>
      <c r="BI113" s="656"/>
      <c r="BJ113" s="656"/>
      <c r="BK113" s="656"/>
      <c r="BL113" s="656"/>
      <c r="BM113" s="656"/>
      <c r="BN113" s="656"/>
      <c r="BO113" s="656"/>
      <c r="BP113" s="656"/>
      <c r="BQ113" s="656"/>
      <c r="BR113" s="656"/>
      <c r="BS113" s="656"/>
      <c r="BT113" s="656"/>
      <c r="BU113" s="656"/>
      <c r="BV113" s="656"/>
      <c r="BW113" s="656"/>
      <c r="BX113" s="656"/>
      <c r="BY113" s="656"/>
      <c r="BZ113" s="656"/>
      <c r="CA113" s="656"/>
      <c r="CB113" s="656"/>
      <c r="CC113" s="656"/>
      <c r="CD113" s="656"/>
      <c r="CE113" s="656"/>
      <c r="CF113" s="656"/>
      <c r="CG113" s="656"/>
      <c r="CH113" s="656"/>
      <c r="CI113" s="656"/>
      <c r="CJ113" s="656"/>
      <c r="CK113" s="656"/>
      <c r="CL113" s="656"/>
      <c r="CM113" s="656"/>
      <c r="CN113" s="656"/>
      <c r="CO113" s="656"/>
      <c r="CP113" s="656"/>
      <c r="CQ113" s="656"/>
      <c r="CR113" s="656"/>
      <c r="CS113" s="656">
        <v>0</v>
      </c>
      <c r="CT113" s="656">
        <v>0</v>
      </c>
      <c r="CU113" s="656">
        <v>0</v>
      </c>
      <c r="CV113" s="656">
        <v>0</v>
      </c>
      <c r="CW113" s="656">
        <v>0</v>
      </c>
      <c r="CX113" s="656">
        <v>0</v>
      </c>
      <c r="CZ113" s="656" t="e">
        <v>#NAME?</v>
      </c>
      <c r="DB113" s="156" t="s">
        <v>404</v>
      </c>
      <c r="DG113" s="156" t="e">
        <v>#VALUE!</v>
      </c>
    </row>
    <row r="114" spans="1:111" ht="12.75">
      <c r="A114" s="168" t="s">
        <v>403</v>
      </c>
      <c r="B114" s="656"/>
      <c r="C114" s="656"/>
      <c r="D114" s="656"/>
      <c r="E114" s="656"/>
      <c r="F114" s="656"/>
      <c r="G114" s="656"/>
      <c r="H114" s="656"/>
      <c r="I114" s="656"/>
      <c r="J114" s="656"/>
      <c r="K114" s="656"/>
      <c r="L114" s="656"/>
      <c r="M114" s="656"/>
      <c r="N114" s="656"/>
      <c r="O114" s="656"/>
      <c r="P114" s="656"/>
      <c r="Q114" s="656"/>
      <c r="R114" s="656"/>
      <c r="S114" s="656"/>
      <c r="T114" s="656"/>
      <c r="U114" s="656"/>
      <c r="V114" s="656"/>
      <c r="W114" s="656"/>
      <c r="X114" s="656"/>
      <c r="Y114" s="656">
        <v>0</v>
      </c>
      <c r="Z114" s="656"/>
      <c r="AA114" s="656"/>
      <c r="AB114" s="656">
        <v>0</v>
      </c>
      <c r="AC114" s="656"/>
      <c r="AD114" s="158"/>
      <c r="AE114" s="158"/>
      <c r="AF114" s="656"/>
      <c r="AG114" s="656"/>
      <c r="AH114" s="656"/>
      <c r="AI114" s="656"/>
      <c r="AJ114" s="656"/>
      <c r="AK114" s="656"/>
      <c r="AL114" s="656"/>
      <c r="AM114" s="656"/>
      <c r="AN114" s="656"/>
      <c r="AO114" s="656"/>
      <c r="AP114" s="656"/>
      <c r="AQ114" s="656"/>
      <c r="AR114" s="656"/>
      <c r="AS114" s="656"/>
      <c r="AT114" s="656"/>
      <c r="AU114" s="656"/>
      <c r="AV114" s="656"/>
      <c r="AW114" s="656"/>
      <c r="AX114" s="656"/>
      <c r="AY114" s="656"/>
      <c r="AZ114" s="656"/>
      <c r="BA114" s="656"/>
      <c r="BB114" s="656"/>
      <c r="BC114" s="656"/>
      <c r="BD114" s="656"/>
      <c r="BE114" s="656"/>
      <c r="BF114" s="656"/>
      <c r="BG114" s="656"/>
      <c r="BH114" s="656"/>
      <c r="BI114" s="656"/>
      <c r="BJ114" s="656"/>
      <c r="BK114" s="656"/>
      <c r="BL114" s="656"/>
      <c r="BM114" s="656"/>
      <c r="BN114" s="656"/>
      <c r="BO114" s="656"/>
      <c r="BP114" s="656"/>
      <c r="BQ114" s="656"/>
      <c r="BR114" s="656"/>
      <c r="BS114" s="656"/>
      <c r="BT114" s="656"/>
      <c r="BU114" s="656"/>
      <c r="BV114" s="656"/>
      <c r="BW114" s="656"/>
      <c r="BX114" s="656"/>
      <c r="BY114" s="656"/>
      <c r="BZ114" s="656"/>
      <c r="CA114" s="656"/>
      <c r="CB114" s="656"/>
      <c r="CC114" s="656"/>
      <c r="CD114" s="656"/>
      <c r="CE114" s="656"/>
      <c r="CF114" s="656"/>
      <c r="CG114" s="656"/>
      <c r="CH114" s="656"/>
      <c r="CI114" s="656"/>
      <c r="CJ114" s="656"/>
      <c r="CK114" s="656"/>
      <c r="CL114" s="656"/>
      <c r="CM114" s="656"/>
      <c r="CN114" s="656"/>
      <c r="CO114" s="656"/>
      <c r="CP114" s="656"/>
      <c r="CQ114" s="656"/>
      <c r="CR114" s="656"/>
      <c r="CS114" s="656">
        <v>0</v>
      </c>
      <c r="CT114" s="656">
        <v>0</v>
      </c>
      <c r="CU114" s="656">
        <v>0</v>
      </c>
      <c r="CV114" s="656">
        <v>0</v>
      </c>
      <c r="CW114" s="656">
        <v>0</v>
      </c>
      <c r="CX114" s="656">
        <v>0</v>
      </c>
      <c r="CZ114" s="656" t="e">
        <v>#NAME?</v>
      </c>
      <c r="DB114" s="156" t="s">
        <v>403</v>
      </c>
      <c r="DG114" s="156" t="e">
        <v>#VALUE!</v>
      </c>
    </row>
    <row r="115" spans="1:111" ht="12.75">
      <c r="A115" s="168" t="s">
        <v>402</v>
      </c>
      <c r="B115" s="656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6"/>
      <c r="P115" s="656"/>
      <c r="Q115" s="656"/>
      <c r="R115" s="656"/>
      <c r="S115" s="656"/>
      <c r="T115" s="656"/>
      <c r="U115" s="656">
        <v>22.944099999999999</v>
      </c>
      <c r="V115" s="656">
        <v>15.421953800000001</v>
      </c>
      <c r="W115" s="656">
        <v>15</v>
      </c>
      <c r="X115" s="656">
        <v>3</v>
      </c>
      <c r="Y115" s="656">
        <v>18</v>
      </c>
      <c r="Z115" s="656">
        <v>25</v>
      </c>
      <c r="AA115" s="656">
        <v>31</v>
      </c>
      <c r="AB115" s="656">
        <v>10</v>
      </c>
      <c r="AC115" s="656"/>
      <c r="AD115" s="158"/>
      <c r="AE115" s="158"/>
      <c r="AF115" s="656"/>
      <c r="AG115" s="656"/>
      <c r="AH115" s="656"/>
      <c r="AI115" s="656"/>
      <c r="AJ115" s="656"/>
      <c r="AK115" s="656"/>
      <c r="AL115" s="656"/>
      <c r="AM115" s="656"/>
      <c r="AN115" s="656"/>
      <c r="AO115" s="656"/>
      <c r="AP115" s="656"/>
      <c r="AQ115" s="656"/>
      <c r="AR115" s="656"/>
      <c r="AS115" s="656"/>
      <c r="AT115" s="656"/>
      <c r="AU115" s="656"/>
      <c r="AV115" s="656"/>
      <c r="AW115" s="656"/>
      <c r="AX115" s="656"/>
      <c r="AY115" s="656"/>
      <c r="AZ115" s="656"/>
      <c r="BA115" s="656"/>
      <c r="BB115" s="656"/>
      <c r="BC115" s="656"/>
      <c r="BD115" s="656"/>
      <c r="BE115" s="656"/>
      <c r="BF115" s="656"/>
      <c r="BG115" s="656"/>
      <c r="BH115" s="656"/>
      <c r="BI115" s="656"/>
      <c r="BJ115" s="656"/>
      <c r="BK115" s="656"/>
      <c r="BL115" s="656"/>
      <c r="BM115" s="656"/>
      <c r="BN115" s="656"/>
      <c r="BO115" s="656"/>
      <c r="BP115" s="656"/>
      <c r="BQ115" s="656"/>
      <c r="BR115" s="656"/>
      <c r="BS115" s="656"/>
      <c r="BT115" s="656"/>
      <c r="BU115" s="656"/>
      <c r="BV115" s="656"/>
      <c r="BW115" s="656"/>
      <c r="BX115" s="656"/>
      <c r="BY115" s="656"/>
      <c r="BZ115" s="656"/>
      <c r="CA115" s="656"/>
      <c r="CB115" s="656"/>
      <c r="CC115" s="656">
        <v>15.2</v>
      </c>
      <c r="CD115" s="656"/>
      <c r="CE115" s="656">
        <v>3</v>
      </c>
      <c r="CF115" s="656"/>
      <c r="CG115" s="656"/>
      <c r="CH115" s="656"/>
      <c r="CI115" s="656">
        <v>18</v>
      </c>
      <c r="CJ115" s="656">
        <v>25</v>
      </c>
      <c r="CK115" s="656">
        <v>25</v>
      </c>
      <c r="CL115" s="656">
        <v>24</v>
      </c>
      <c r="CM115" s="656">
        <v>25</v>
      </c>
      <c r="CN115" s="656">
        <v>23</v>
      </c>
      <c r="CO115" s="656">
        <v>23</v>
      </c>
      <c r="CP115" s="656">
        <v>27</v>
      </c>
      <c r="CQ115" s="656">
        <v>31</v>
      </c>
      <c r="CR115" s="656">
        <v>27</v>
      </c>
      <c r="CS115" s="656">
        <v>24</v>
      </c>
      <c r="CT115" s="656">
        <v>15</v>
      </c>
      <c r="CU115" s="656">
        <v>10</v>
      </c>
      <c r="CV115" s="656">
        <v>6</v>
      </c>
      <c r="CW115" s="656">
        <v>4</v>
      </c>
      <c r="CX115" s="656">
        <v>0</v>
      </c>
      <c r="CZ115" s="656" t="e">
        <v>#NAME?</v>
      </c>
      <c r="DB115" s="156" t="s">
        <v>402</v>
      </c>
      <c r="DG115" s="156" t="e">
        <v>#VALUE!</v>
      </c>
    </row>
    <row r="116" spans="1:111" ht="12.75">
      <c r="A116" s="168" t="s">
        <v>401</v>
      </c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6"/>
      <c r="P116" s="656"/>
      <c r="Q116" s="656"/>
      <c r="R116" s="656"/>
      <c r="S116" s="656"/>
      <c r="T116" s="656"/>
      <c r="U116" s="656">
        <v>155.9367</v>
      </c>
      <c r="V116" s="656">
        <v>194.69269987000001</v>
      </c>
      <c r="W116" s="656">
        <v>304.39922982000002</v>
      </c>
      <c r="X116" s="656">
        <v>294.97952327999997</v>
      </c>
      <c r="Y116" s="656">
        <v>536.38885356000003</v>
      </c>
      <c r="Z116" s="656">
        <v>626.19575180999993</v>
      </c>
      <c r="AA116" s="656">
        <v>884.36001008000005</v>
      </c>
      <c r="AB116" s="656">
        <v>1255.32911842</v>
      </c>
      <c r="AC116" s="656"/>
      <c r="AD116" s="158"/>
      <c r="AE116" s="158"/>
      <c r="AF116" s="656"/>
      <c r="AG116" s="656"/>
      <c r="AH116" s="656"/>
      <c r="AI116" s="656"/>
      <c r="AJ116" s="656"/>
      <c r="AK116" s="656"/>
      <c r="AL116" s="656"/>
      <c r="AM116" s="656"/>
      <c r="AN116" s="656"/>
      <c r="AO116" s="656"/>
      <c r="AP116" s="656"/>
      <c r="AQ116" s="656"/>
      <c r="AR116" s="656"/>
      <c r="AS116" s="656"/>
      <c r="AT116" s="656"/>
      <c r="AU116" s="656"/>
      <c r="AV116" s="656"/>
      <c r="AW116" s="656"/>
      <c r="AX116" s="656"/>
      <c r="AY116" s="656"/>
      <c r="AZ116" s="656"/>
      <c r="BA116" s="656"/>
      <c r="BB116" s="656"/>
      <c r="BC116" s="656"/>
      <c r="BD116" s="656"/>
      <c r="BE116" s="656"/>
      <c r="BF116" s="656"/>
      <c r="BG116" s="656"/>
      <c r="BH116" s="656"/>
      <c r="BI116" s="656"/>
      <c r="BJ116" s="656"/>
      <c r="BK116" s="656"/>
      <c r="BL116" s="656"/>
      <c r="BM116" s="656"/>
      <c r="BN116" s="656"/>
      <c r="BO116" s="656"/>
      <c r="BP116" s="656"/>
      <c r="BQ116" s="656"/>
      <c r="BR116" s="656"/>
      <c r="BS116" s="656"/>
      <c r="BT116" s="656"/>
      <c r="BU116" s="656"/>
      <c r="BV116" s="656"/>
      <c r="BW116" s="656"/>
      <c r="BX116" s="656"/>
      <c r="BY116" s="656"/>
      <c r="BZ116" s="656"/>
      <c r="CA116" s="656"/>
      <c r="CB116" s="656"/>
      <c r="CC116" s="656">
        <v>340.13720000000001</v>
      </c>
      <c r="CD116" s="656"/>
      <c r="CE116" s="656">
        <v>294.97952327999997</v>
      </c>
      <c r="CF116" s="656">
        <v>319.87720491000005</v>
      </c>
      <c r="CG116" s="656">
        <v>545.35568000000001</v>
      </c>
      <c r="CH116" s="656">
        <v>398.51127217000004</v>
      </c>
      <c r="CI116" s="656">
        <v>536.38885356000003</v>
      </c>
      <c r="CJ116" s="656">
        <v>505.68528379000003</v>
      </c>
      <c r="CK116" s="656">
        <v>543.68542262000005</v>
      </c>
      <c r="CL116" s="656">
        <v>499.36803531999999</v>
      </c>
      <c r="CM116" s="656">
        <v>626.19575180999993</v>
      </c>
      <c r="CN116" s="656">
        <v>618.33308476000002</v>
      </c>
      <c r="CO116" s="656">
        <v>716.39364658</v>
      </c>
      <c r="CP116" s="656">
        <v>603.12643069000001</v>
      </c>
      <c r="CQ116" s="656">
        <v>884.36001008000005</v>
      </c>
      <c r="CR116" s="656">
        <v>723.53501046000008</v>
      </c>
      <c r="CS116" s="656">
        <v>1184.6415639500001</v>
      </c>
      <c r="CT116" s="656">
        <v>1051.1117534099999</v>
      </c>
      <c r="CU116" s="656">
        <v>1255.32911842</v>
      </c>
      <c r="CV116" s="656">
        <v>1150.7792688299999</v>
      </c>
      <c r="CW116" s="656">
        <v>1377.8606929500002</v>
      </c>
      <c r="CX116" s="656">
        <v>1512.0890797100001</v>
      </c>
      <c r="CZ116" s="656" t="e">
        <v>#NAME?</v>
      </c>
      <c r="DB116" s="156" t="s">
        <v>401</v>
      </c>
      <c r="DG116" s="156">
        <v>3.27</v>
      </c>
    </row>
    <row r="117" spans="1:111" ht="12.75">
      <c r="A117" s="168" t="s">
        <v>400</v>
      </c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6"/>
      <c r="P117" s="656"/>
      <c r="Q117" s="656"/>
      <c r="R117" s="656"/>
      <c r="S117" s="656"/>
      <c r="T117" s="656"/>
      <c r="U117" s="656">
        <v>92.758899999999997</v>
      </c>
      <c r="V117" s="656">
        <v>58.798859719999996</v>
      </c>
      <c r="W117" s="656">
        <v>264.81390090000002</v>
      </c>
      <c r="X117" s="656"/>
      <c r="Y117" s="656">
        <v>0</v>
      </c>
      <c r="Z117" s="656"/>
      <c r="AA117" s="656"/>
      <c r="AB117" s="656">
        <v>0</v>
      </c>
      <c r="AC117" s="656"/>
      <c r="AD117" s="158"/>
      <c r="AE117" s="158"/>
      <c r="AF117" s="656"/>
      <c r="AG117" s="656"/>
      <c r="AH117" s="656"/>
      <c r="AI117" s="656"/>
      <c r="AJ117" s="656"/>
      <c r="AK117" s="656"/>
      <c r="AL117" s="656"/>
      <c r="AM117" s="656"/>
      <c r="AN117" s="656"/>
      <c r="AO117" s="656"/>
      <c r="AP117" s="656"/>
      <c r="AQ117" s="656"/>
      <c r="AR117" s="656"/>
      <c r="AS117" s="656"/>
      <c r="AT117" s="656"/>
      <c r="AU117" s="656"/>
      <c r="AV117" s="656"/>
      <c r="AW117" s="656"/>
      <c r="AX117" s="656"/>
      <c r="AY117" s="656"/>
      <c r="AZ117" s="656"/>
      <c r="BA117" s="656"/>
      <c r="BB117" s="656"/>
      <c r="BC117" s="656"/>
      <c r="BD117" s="656"/>
      <c r="BE117" s="656"/>
      <c r="BF117" s="656"/>
      <c r="BG117" s="656"/>
      <c r="BH117" s="656"/>
      <c r="BI117" s="656"/>
      <c r="BJ117" s="656"/>
      <c r="BK117" s="656"/>
      <c r="BL117" s="656"/>
      <c r="BM117" s="656"/>
      <c r="BN117" s="656"/>
      <c r="BO117" s="656"/>
      <c r="BP117" s="656"/>
      <c r="BQ117" s="656"/>
      <c r="BR117" s="656"/>
      <c r="BS117" s="656"/>
      <c r="BT117" s="656"/>
      <c r="BU117" s="656"/>
      <c r="BV117" s="656"/>
      <c r="BW117" s="656"/>
      <c r="BX117" s="656"/>
      <c r="BY117" s="656"/>
      <c r="BZ117" s="656"/>
      <c r="CA117" s="656"/>
      <c r="CB117" s="656"/>
      <c r="CC117" s="656"/>
      <c r="CD117" s="656"/>
      <c r="CE117" s="656"/>
      <c r="CF117" s="656"/>
      <c r="CG117" s="656"/>
      <c r="CH117" s="656"/>
      <c r="CI117" s="656"/>
      <c r="CJ117" s="656"/>
      <c r="CK117" s="656"/>
      <c r="CL117" s="656"/>
      <c r="CM117" s="656"/>
      <c r="CN117" s="656"/>
      <c r="CO117" s="656"/>
      <c r="CP117" s="656"/>
      <c r="CQ117" s="656"/>
      <c r="CR117" s="656"/>
      <c r="CS117" s="656">
        <v>0</v>
      </c>
      <c r="CT117" s="656">
        <v>0</v>
      </c>
      <c r="CU117" s="656">
        <v>0</v>
      </c>
      <c r="CV117" s="656">
        <v>0</v>
      </c>
      <c r="CW117" s="656">
        <v>0</v>
      </c>
      <c r="CX117" s="656">
        <v>0</v>
      </c>
      <c r="CZ117" s="656" t="e">
        <v>#NAME?</v>
      </c>
      <c r="DB117" s="660" t="s">
        <v>400</v>
      </c>
      <c r="DG117" s="156">
        <v>50.95</v>
      </c>
    </row>
    <row r="118" spans="1:111" s="808" customFormat="1" ht="12.75">
      <c r="A118" s="806" t="s">
        <v>1109</v>
      </c>
      <c r="B118" s="736"/>
      <c r="C118" s="736"/>
      <c r="D118" s="736"/>
      <c r="E118" s="736"/>
      <c r="F118" s="736"/>
      <c r="G118" s="736"/>
      <c r="H118" s="736"/>
      <c r="I118" s="736"/>
      <c r="J118" s="736"/>
      <c r="K118" s="736"/>
      <c r="L118" s="736"/>
      <c r="M118" s="736"/>
      <c r="N118" s="736"/>
      <c r="O118" s="736"/>
      <c r="P118" s="736"/>
      <c r="Q118" s="736"/>
      <c r="R118" s="736"/>
      <c r="S118" s="736"/>
      <c r="T118" s="736"/>
      <c r="U118" s="736" t="s">
        <v>1181</v>
      </c>
      <c r="V118" s="736" t="s">
        <v>1181</v>
      </c>
      <c r="W118" s="736" t="s">
        <v>1181</v>
      </c>
      <c r="X118" s="736">
        <v>950.34291589999998</v>
      </c>
      <c r="Y118" s="736">
        <v>1241.3694575100001</v>
      </c>
      <c r="Z118" s="736">
        <v>1627.1675837499999</v>
      </c>
      <c r="AA118" s="736">
        <v>2607.2214336500001</v>
      </c>
      <c r="AB118" s="736">
        <v>4760.5512853800001</v>
      </c>
      <c r="AC118" s="736"/>
      <c r="AD118" s="807"/>
      <c r="AE118" s="807"/>
      <c r="AF118" s="736"/>
      <c r="AG118" s="736"/>
      <c r="AH118" s="736"/>
      <c r="AI118" s="736"/>
      <c r="AJ118" s="736"/>
      <c r="AK118" s="736"/>
      <c r="AL118" s="736"/>
      <c r="AM118" s="736"/>
      <c r="AN118" s="736"/>
      <c r="AO118" s="736"/>
      <c r="AP118" s="736"/>
      <c r="AQ118" s="736"/>
      <c r="AR118" s="736"/>
      <c r="AS118" s="736"/>
      <c r="AT118" s="736"/>
      <c r="AU118" s="736"/>
      <c r="AV118" s="736"/>
      <c r="AW118" s="736"/>
      <c r="AX118" s="736"/>
      <c r="AY118" s="736"/>
      <c r="AZ118" s="736"/>
      <c r="BA118" s="736"/>
      <c r="BB118" s="736"/>
      <c r="BC118" s="736"/>
      <c r="BD118" s="736"/>
      <c r="BE118" s="736"/>
      <c r="BF118" s="736"/>
      <c r="BG118" s="736"/>
      <c r="BH118" s="736"/>
      <c r="BI118" s="736"/>
      <c r="BJ118" s="736"/>
      <c r="BK118" s="736"/>
      <c r="BL118" s="736"/>
      <c r="BM118" s="736"/>
      <c r="BN118" s="736"/>
      <c r="BO118" s="736"/>
      <c r="BP118" s="736"/>
      <c r="BQ118" s="736"/>
      <c r="BR118" s="736"/>
      <c r="BS118" s="736"/>
      <c r="BT118" s="736"/>
      <c r="BU118" s="736"/>
      <c r="BV118" s="736"/>
      <c r="BW118" s="736"/>
      <c r="BX118" s="736"/>
      <c r="BY118" s="736"/>
      <c r="BZ118" s="736"/>
      <c r="CA118" s="736"/>
      <c r="CB118" s="736" t="s">
        <v>1181</v>
      </c>
      <c r="CC118" s="736">
        <v>565.92499999999995</v>
      </c>
      <c r="CD118" s="736" t="s">
        <v>1181</v>
      </c>
      <c r="CE118" s="736">
        <v>950.34291589999998</v>
      </c>
      <c r="CF118" s="736">
        <v>794.26119180000001</v>
      </c>
      <c r="CG118" s="736">
        <v>810.72122394000007</v>
      </c>
      <c r="CH118" s="736">
        <v>866.24222252999994</v>
      </c>
      <c r="CI118" s="736">
        <v>1241.3694575100001</v>
      </c>
      <c r="CJ118" s="736">
        <v>1202.0115372600001</v>
      </c>
      <c r="CK118" s="736">
        <v>1268.94391535</v>
      </c>
      <c r="CL118" s="736">
        <v>1343.99305914</v>
      </c>
      <c r="CM118" s="736">
        <v>1627.1675837499999</v>
      </c>
      <c r="CN118" s="736">
        <v>1685.82443126</v>
      </c>
      <c r="CO118" s="736">
        <v>1851.4305818099999</v>
      </c>
      <c r="CP118" s="736">
        <v>1916.4812166400002</v>
      </c>
      <c r="CQ118" s="736">
        <v>2607.2214336500001</v>
      </c>
      <c r="CR118" s="736">
        <v>2687.5416308000003</v>
      </c>
      <c r="CS118" s="656">
        <v>2501.12192456</v>
      </c>
      <c r="CT118" s="656">
        <v>2379.8039257</v>
      </c>
      <c r="CU118" s="656">
        <v>4760.5512853800001</v>
      </c>
      <c r="CV118" s="656">
        <v>3869.6188125600002</v>
      </c>
      <c r="CW118" s="656">
        <v>3667.0879203600002</v>
      </c>
      <c r="CX118" s="656">
        <v>3562.99416681</v>
      </c>
      <c r="CY118" s="808">
        <f>CV118/CU118-1</f>
        <v>-0.1871490126692088</v>
      </c>
      <c r="CZ118" s="656" t="e">
        <v>#NAME?</v>
      </c>
      <c r="DB118" s="809"/>
      <c r="DG118" s="808" t="e">
        <v>#VALUE!</v>
      </c>
    </row>
    <row r="119" spans="1:111" ht="12.75">
      <c r="A119" s="168" t="s">
        <v>399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>
        <v>0</v>
      </c>
      <c r="Z119" s="656"/>
      <c r="AA119" s="656"/>
      <c r="AB119" s="656">
        <v>0</v>
      </c>
      <c r="AC119" s="656"/>
      <c r="AD119" s="158"/>
      <c r="AE119" s="158"/>
      <c r="AF119" s="656"/>
      <c r="AG119" s="656"/>
      <c r="AH119" s="656"/>
      <c r="AI119" s="656"/>
      <c r="AJ119" s="656"/>
      <c r="AK119" s="656"/>
      <c r="AL119" s="656"/>
      <c r="AM119" s="656"/>
      <c r="AN119" s="656"/>
      <c r="AO119" s="656"/>
      <c r="AP119" s="656"/>
      <c r="AQ119" s="656"/>
      <c r="AR119" s="656"/>
      <c r="AS119" s="656"/>
      <c r="AT119" s="656"/>
      <c r="AU119" s="656"/>
      <c r="AV119" s="656"/>
      <c r="AW119" s="656"/>
      <c r="AX119" s="656"/>
      <c r="AY119" s="656"/>
      <c r="AZ119" s="656"/>
      <c r="BA119" s="656"/>
      <c r="BB119" s="656"/>
      <c r="BC119" s="656"/>
      <c r="BD119" s="656"/>
      <c r="BE119" s="656"/>
      <c r="BF119" s="656"/>
      <c r="BG119" s="656"/>
      <c r="BH119" s="656"/>
      <c r="BI119" s="656"/>
      <c r="BJ119" s="656"/>
      <c r="BK119" s="656"/>
      <c r="BL119" s="656"/>
      <c r="BM119" s="656"/>
      <c r="BN119" s="656"/>
      <c r="BO119" s="656"/>
      <c r="BP119" s="656"/>
      <c r="BQ119" s="656"/>
      <c r="BR119" s="656"/>
      <c r="BS119" s="656"/>
      <c r="BT119" s="656"/>
      <c r="BU119" s="656"/>
      <c r="BV119" s="656"/>
      <c r="BW119" s="656"/>
      <c r="BX119" s="656"/>
      <c r="BY119" s="656"/>
      <c r="BZ119" s="656"/>
      <c r="CA119" s="656"/>
      <c r="CB119" s="656"/>
      <c r="CC119" s="656"/>
      <c r="CD119" s="656"/>
      <c r="CE119" s="656"/>
      <c r="CF119" s="656"/>
      <c r="CG119" s="656"/>
      <c r="CH119" s="656"/>
      <c r="CI119" s="656"/>
      <c r="CJ119" s="656"/>
      <c r="CK119" s="656"/>
      <c r="CL119" s="656"/>
      <c r="CM119" s="656"/>
      <c r="CN119" s="656"/>
      <c r="CO119" s="656"/>
      <c r="CP119" s="656"/>
      <c r="CQ119" s="656"/>
      <c r="CR119" s="656"/>
      <c r="CS119" s="656">
        <v>0</v>
      </c>
      <c r="CT119" s="656">
        <v>0</v>
      </c>
      <c r="CU119" s="656">
        <v>0</v>
      </c>
      <c r="CV119" s="656">
        <v>0</v>
      </c>
      <c r="CW119" s="656">
        <v>0</v>
      </c>
      <c r="CX119" s="656">
        <v>0</v>
      </c>
      <c r="CZ119" s="656" t="e">
        <v>#NAME?</v>
      </c>
      <c r="DB119" s="156" t="s">
        <v>399</v>
      </c>
      <c r="DG119" s="156">
        <v>139.66999999999999</v>
      </c>
    </row>
    <row r="120" spans="1:111" ht="12.75">
      <c r="A120" s="168" t="s">
        <v>398</v>
      </c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6"/>
      <c r="P120" s="656"/>
      <c r="Q120" s="656"/>
      <c r="R120" s="656"/>
      <c r="S120" s="656"/>
      <c r="T120" s="656"/>
      <c r="U120" s="656"/>
      <c r="V120" s="656"/>
      <c r="W120" s="656"/>
      <c r="X120" s="656"/>
      <c r="Y120" s="656">
        <v>0</v>
      </c>
      <c r="Z120" s="656"/>
      <c r="AA120" s="656"/>
      <c r="AB120" s="656">
        <v>0</v>
      </c>
      <c r="AC120" s="656"/>
      <c r="AD120" s="158"/>
      <c r="AE120" s="158"/>
      <c r="AF120" s="656"/>
      <c r="AG120" s="656"/>
      <c r="AH120" s="656"/>
      <c r="AI120" s="656"/>
      <c r="AJ120" s="656"/>
      <c r="AK120" s="656"/>
      <c r="AL120" s="656"/>
      <c r="AM120" s="656"/>
      <c r="AN120" s="656"/>
      <c r="AO120" s="656"/>
      <c r="AP120" s="656"/>
      <c r="AQ120" s="656"/>
      <c r="AR120" s="656"/>
      <c r="AS120" s="656"/>
      <c r="AT120" s="656"/>
      <c r="AU120" s="656"/>
      <c r="AV120" s="656"/>
      <c r="AW120" s="656"/>
      <c r="AX120" s="656"/>
      <c r="AY120" s="656"/>
      <c r="AZ120" s="656"/>
      <c r="BA120" s="656"/>
      <c r="BB120" s="656"/>
      <c r="BC120" s="656"/>
      <c r="BD120" s="656"/>
      <c r="BE120" s="656"/>
      <c r="BF120" s="656"/>
      <c r="BG120" s="656"/>
      <c r="BH120" s="656"/>
      <c r="BI120" s="656"/>
      <c r="BJ120" s="656"/>
      <c r="BK120" s="656"/>
      <c r="BL120" s="656"/>
      <c r="BM120" s="656"/>
      <c r="BN120" s="656"/>
      <c r="BO120" s="656"/>
      <c r="BP120" s="656"/>
      <c r="BQ120" s="656"/>
      <c r="BR120" s="656"/>
      <c r="BS120" s="656"/>
      <c r="BT120" s="656"/>
      <c r="BU120" s="656"/>
      <c r="BV120" s="656"/>
      <c r="BW120" s="656"/>
      <c r="BX120" s="656"/>
      <c r="BY120" s="656"/>
      <c r="BZ120" s="656"/>
      <c r="CA120" s="656"/>
      <c r="CB120" s="656"/>
      <c r="CC120" s="656"/>
      <c r="CD120" s="656"/>
      <c r="CE120" s="656"/>
      <c r="CF120" s="656"/>
      <c r="CG120" s="656"/>
      <c r="CH120" s="656"/>
      <c r="CI120" s="656"/>
      <c r="CJ120" s="656"/>
      <c r="CK120" s="656"/>
      <c r="CL120" s="656"/>
      <c r="CM120" s="656"/>
      <c r="CN120" s="656"/>
      <c r="CO120" s="656"/>
      <c r="CP120" s="656"/>
      <c r="CQ120" s="656"/>
      <c r="CR120" s="656"/>
      <c r="CS120" s="656">
        <v>0</v>
      </c>
      <c r="CT120" s="656">
        <v>0</v>
      </c>
      <c r="CU120" s="656">
        <v>0</v>
      </c>
      <c r="CV120" s="656">
        <v>0</v>
      </c>
      <c r="CW120" s="656">
        <v>0</v>
      </c>
      <c r="CX120" s="656">
        <v>0</v>
      </c>
      <c r="CZ120" s="656" t="e">
        <v>#NAME?</v>
      </c>
      <c r="DB120" s="156" t="s">
        <v>398</v>
      </c>
      <c r="DG120" s="156">
        <v>14984.72</v>
      </c>
    </row>
    <row r="121" spans="1:111" ht="12.75">
      <c r="A121" s="168" t="s">
        <v>397</v>
      </c>
      <c r="B121" s="656"/>
      <c r="C121" s="656"/>
      <c r="D121" s="656"/>
      <c r="E121" s="656"/>
      <c r="F121" s="656"/>
      <c r="G121" s="656"/>
      <c r="H121" s="656"/>
      <c r="I121" s="656"/>
      <c r="J121" s="656"/>
      <c r="K121" s="656"/>
      <c r="L121" s="656"/>
      <c r="M121" s="656"/>
      <c r="N121" s="656"/>
      <c r="O121" s="656"/>
      <c r="P121" s="656"/>
      <c r="Q121" s="656"/>
      <c r="R121" s="656"/>
      <c r="S121" s="656"/>
      <c r="T121" s="656"/>
      <c r="U121" s="656">
        <v>54.528599999999997</v>
      </c>
      <c r="V121" s="656">
        <v>49.250470030000002</v>
      </c>
      <c r="W121" s="656">
        <v>153.24634533000003</v>
      </c>
      <c r="X121" s="656">
        <v>103.65658551</v>
      </c>
      <c r="Y121" s="656">
        <v>168.82627854</v>
      </c>
      <c r="Z121" s="656">
        <v>178.95917196000002</v>
      </c>
      <c r="AA121" s="656">
        <v>284.11311527999999</v>
      </c>
      <c r="AB121" s="656">
        <v>415.05009271</v>
      </c>
      <c r="AC121" s="656"/>
      <c r="AD121" s="158"/>
      <c r="AE121" s="158"/>
      <c r="AF121" s="656"/>
      <c r="AG121" s="656"/>
      <c r="AH121" s="656"/>
      <c r="AI121" s="656"/>
      <c r="AJ121" s="656"/>
      <c r="AK121" s="656"/>
      <c r="AL121" s="656"/>
      <c r="AM121" s="656"/>
      <c r="AN121" s="656"/>
      <c r="AO121" s="656"/>
      <c r="AP121" s="656"/>
      <c r="AQ121" s="656"/>
      <c r="AR121" s="656"/>
      <c r="AS121" s="656"/>
      <c r="AT121" s="656"/>
      <c r="AU121" s="656"/>
      <c r="AV121" s="656"/>
      <c r="AW121" s="656"/>
      <c r="AX121" s="656"/>
      <c r="AY121" s="656"/>
      <c r="AZ121" s="656"/>
      <c r="BA121" s="656"/>
      <c r="BB121" s="656"/>
      <c r="BC121" s="656"/>
      <c r="BD121" s="656"/>
      <c r="BE121" s="656"/>
      <c r="BF121" s="656"/>
      <c r="BG121" s="656"/>
      <c r="BH121" s="656"/>
      <c r="BI121" s="656"/>
      <c r="BJ121" s="656"/>
      <c r="BK121" s="656"/>
      <c r="BL121" s="656"/>
      <c r="BM121" s="656"/>
      <c r="BN121" s="656"/>
      <c r="BO121" s="656"/>
      <c r="BP121" s="656"/>
      <c r="BQ121" s="656"/>
      <c r="BR121" s="656"/>
      <c r="BS121" s="656"/>
      <c r="BT121" s="656"/>
      <c r="BU121" s="656"/>
      <c r="BV121" s="656"/>
      <c r="BW121" s="656"/>
      <c r="BX121" s="656"/>
      <c r="BY121" s="656"/>
      <c r="BZ121" s="656"/>
      <c r="CA121" s="656"/>
      <c r="CB121" s="656"/>
      <c r="CC121" s="656">
        <v>86.377899999999997</v>
      </c>
      <c r="CD121" s="656"/>
      <c r="CE121" s="656">
        <v>103.65658551</v>
      </c>
      <c r="CF121" s="656">
        <v>96.839571530000001</v>
      </c>
      <c r="CG121" s="656">
        <v>126.58835854</v>
      </c>
      <c r="CH121" s="656">
        <v>156.81681581000001</v>
      </c>
      <c r="CI121" s="656">
        <v>168.82627854</v>
      </c>
      <c r="CJ121" s="656">
        <v>90.801646569999988</v>
      </c>
      <c r="CK121" s="656">
        <v>129.2477323</v>
      </c>
      <c r="CL121" s="656">
        <v>160.99483900999999</v>
      </c>
      <c r="CM121" s="656">
        <v>178.95917196000002</v>
      </c>
      <c r="CN121" s="656">
        <v>133.39186063</v>
      </c>
      <c r="CO121" s="656">
        <v>158.34618961000001</v>
      </c>
      <c r="CP121" s="656">
        <v>225.55196541000001</v>
      </c>
      <c r="CQ121" s="656">
        <v>284.11311527999999</v>
      </c>
      <c r="CR121" s="656">
        <v>168.32654196999999</v>
      </c>
      <c r="CS121" s="656">
        <v>247.56835235</v>
      </c>
      <c r="CT121" s="656">
        <v>336.44524393</v>
      </c>
      <c r="CU121" s="656">
        <v>415.05009271</v>
      </c>
      <c r="CV121" s="656">
        <v>208.29569574999999</v>
      </c>
      <c r="CW121" s="656">
        <v>293.03332098000004</v>
      </c>
      <c r="CX121" s="656">
        <v>383.94229144000002</v>
      </c>
      <c r="CZ121" s="656" t="e">
        <v>#NAME?</v>
      </c>
      <c r="DB121" s="156" t="s">
        <v>397</v>
      </c>
    </row>
    <row r="122" spans="1:111" ht="12.75">
      <c r="A122" s="168" t="s">
        <v>396</v>
      </c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656"/>
      <c r="O122" s="656"/>
      <c r="P122" s="656"/>
      <c r="Q122" s="656"/>
      <c r="R122" s="656"/>
      <c r="S122" s="656"/>
      <c r="T122" s="656"/>
      <c r="U122" s="656">
        <v>106.3841</v>
      </c>
      <c r="V122" s="656">
        <v>57.531242710000001</v>
      </c>
      <c r="W122" s="656">
        <v>136.84046506000001</v>
      </c>
      <c r="X122" s="656">
        <v>119.96307979000001</v>
      </c>
      <c r="Y122" s="656">
        <v>153.18919681</v>
      </c>
      <c r="Z122" s="656">
        <v>312.94694922000002</v>
      </c>
      <c r="AA122" s="656">
        <v>234.09192340000001</v>
      </c>
      <c r="AB122" s="656">
        <v>378.81881391000002</v>
      </c>
      <c r="AC122" s="656"/>
      <c r="AD122" s="158"/>
      <c r="AE122" s="158"/>
      <c r="AF122" s="656"/>
      <c r="AG122" s="656"/>
      <c r="AH122" s="656"/>
      <c r="AI122" s="656"/>
      <c r="AJ122" s="656"/>
      <c r="AK122" s="656"/>
      <c r="AL122" s="656"/>
      <c r="AM122" s="656"/>
      <c r="AN122" s="656"/>
      <c r="AO122" s="656"/>
      <c r="AP122" s="656"/>
      <c r="AQ122" s="656"/>
      <c r="AR122" s="656"/>
      <c r="AS122" s="656"/>
      <c r="AT122" s="656"/>
      <c r="AU122" s="656"/>
      <c r="AV122" s="656"/>
      <c r="AW122" s="656"/>
      <c r="AX122" s="656"/>
      <c r="AY122" s="656"/>
      <c r="AZ122" s="656"/>
      <c r="BA122" s="656"/>
      <c r="BB122" s="656"/>
      <c r="BC122" s="656"/>
      <c r="BD122" s="656"/>
      <c r="BE122" s="656"/>
      <c r="BF122" s="656"/>
      <c r="BG122" s="656"/>
      <c r="BH122" s="656"/>
      <c r="BI122" s="656"/>
      <c r="BJ122" s="656"/>
      <c r="BK122" s="656"/>
      <c r="BL122" s="656"/>
      <c r="BM122" s="656"/>
      <c r="BN122" s="656"/>
      <c r="BO122" s="656"/>
      <c r="BP122" s="656"/>
      <c r="BQ122" s="656"/>
      <c r="BR122" s="656"/>
      <c r="BS122" s="656"/>
      <c r="BT122" s="656"/>
      <c r="BU122" s="656"/>
      <c r="BV122" s="656"/>
      <c r="BW122" s="656"/>
      <c r="BX122" s="656"/>
      <c r="BY122" s="656"/>
      <c r="BZ122" s="656"/>
      <c r="CA122" s="656"/>
      <c r="CB122" s="656"/>
      <c r="CC122" s="656">
        <v>197.20089999999999</v>
      </c>
      <c r="CD122" s="656"/>
      <c r="CE122" s="656">
        <v>119.96307979000001</v>
      </c>
      <c r="CF122" s="656">
        <v>237.91267397999999</v>
      </c>
      <c r="CG122" s="656">
        <v>222.30455293</v>
      </c>
      <c r="CH122" s="656">
        <v>208.29804896000002</v>
      </c>
      <c r="CI122" s="656">
        <v>153.18919681</v>
      </c>
      <c r="CJ122" s="656">
        <v>329.80020951999995</v>
      </c>
      <c r="CK122" s="656">
        <v>275.23925086000003</v>
      </c>
      <c r="CL122" s="656">
        <v>333.34666549999997</v>
      </c>
      <c r="CM122" s="656">
        <v>312.94694922000002</v>
      </c>
      <c r="CN122" s="656">
        <v>420.00984156999999</v>
      </c>
      <c r="CO122" s="656">
        <v>397.50573188999999</v>
      </c>
      <c r="CP122" s="656">
        <v>341.34933323000001</v>
      </c>
      <c r="CQ122" s="656">
        <v>234.09192340000001</v>
      </c>
      <c r="CR122" s="656">
        <v>351.25650760000002</v>
      </c>
      <c r="CS122" s="656">
        <v>436.63168937</v>
      </c>
      <c r="CT122" s="656">
        <v>433.72415998000002</v>
      </c>
      <c r="CU122" s="656">
        <v>378.81881391000002</v>
      </c>
      <c r="CV122" s="656">
        <v>582.31817748000003</v>
      </c>
      <c r="CW122" s="656">
        <v>620.57234337</v>
      </c>
      <c r="CX122" s="656">
        <v>806.92454578999991</v>
      </c>
      <c r="CZ122" s="656" t="e">
        <v>#NAME?</v>
      </c>
      <c r="DB122" s="156" t="s">
        <v>396</v>
      </c>
      <c r="DG122" s="156">
        <v>520.01</v>
      </c>
    </row>
    <row r="123" spans="1:111" ht="12.75">
      <c r="A123" s="168" t="s">
        <v>395</v>
      </c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6"/>
      <c r="P123" s="656"/>
      <c r="Q123" s="656"/>
      <c r="R123" s="656"/>
      <c r="S123" s="656"/>
      <c r="T123" s="656"/>
      <c r="U123" s="656"/>
      <c r="V123" s="656"/>
      <c r="W123" s="656"/>
      <c r="X123" s="656"/>
      <c r="Y123" s="656">
        <v>6.9516559999999991E-2</v>
      </c>
      <c r="Z123" s="656"/>
      <c r="AA123" s="656"/>
      <c r="AB123" s="656">
        <v>0</v>
      </c>
      <c r="AC123" s="656"/>
      <c r="AD123" s="158"/>
      <c r="AE123" s="158"/>
      <c r="AF123" s="656"/>
      <c r="AG123" s="656"/>
      <c r="AH123" s="656"/>
      <c r="AI123" s="656"/>
      <c r="AJ123" s="656"/>
      <c r="AK123" s="656"/>
      <c r="AL123" s="656"/>
      <c r="AM123" s="656"/>
      <c r="AN123" s="656"/>
      <c r="AO123" s="656"/>
      <c r="AP123" s="656"/>
      <c r="AQ123" s="656"/>
      <c r="AR123" s="656"/>
      <c r="AS123" s="656"/>
      <c r="AT123" s="656"/>
      <c r="AU123" s="656"/>
      <c r="AV123" s="656"/>
      <c r="AW123" s="656"/>
      <c r="AX123" s="656"/>
      <c r="AY123" s="656"/>
      <c r="AZ123" s="656"/>
      <c r="BA123" s="656"/>
      <c r="BB123" s="656"/>
      <c r="BC123" s="656"/>
      <c r="BD123" s="656"/>
      <c r="BE123" s="656"/>
      <c r="BF123" s="656"/>
      <c r="BG123" s="656"/>
      <c r="BH123" s="656"/>
      <c r="BI123" s="656"/>
      <c r="BJ123" s="656"/>
      <c r="BK123" s="656"/>
      <c r="BL123" s="656"/>
      <c r="BM123" s="656"/>
      <c r="BN123" s="656"/>
      <c r="BO123" s="656"/>
      <c r="BP123" s="656"/>
      <c r="BQ123" s="656"/>
      <c r="BR123" s="656"/>
      <c r="BS123" s="656"/>
      <c r="BT123" s="656"/>
      <c r="BU123" s="656"/>
      <c r="BV123" s="656"/>
      <c r="BW123" s="656"/>
      <c r="BX123" s="656"/>
      <c r="BY123" s="656"/>
      <c r="BZ123" s="656"/>
      <c r="CA123" s="656"/>
      <c r="CB123" s="656"/>
      <c r="CC123" s="656"/>
      <c r="CD123" s="656"/>
      <c r="CE123" s="656"/>
      <c r="CF123" s="656"/>
      <c r="CG123" s="656">
        <v>0.43744301000000002</v>
      </c>
      <c r="CH123" s="656">
        <v>7.2586399999999995E-2</v>
      </c>
      <c r="CI123" s="656">
        <v>6.9516559999999991E-2</v>
      </c>
      <c r="CJ123" s="656">
        <v>6.012704E-2</v>
      </c>
      <c r="CK123" s="656"/>
      <c r="CL123" s="656"/>
      <c r="CM123" s="656"/>
      <c r="CN123" s="656"/>
      <c r="CO123" s="656"/>
      <c r="CP123" s="656"/>
      <c r="CQ123" s="656"/>
      <c r="CR123" s="656"/>
      <c r="CS123" s="656">
        <v>0</v>
      </c>
      <c r="CT123" s="656">
        <v>0</v>
      </c>
      <c r="CU123" s="656">
        <v>0</v>
      </c>
      <c r="CV123" s="656">
        <v>0</v>
      </c>
      <c r="CW123" s="656">
        <v>0</v>
      </c>
      <c r="CX123" s="656">
        <v>0</v>
      </c>
      <c r="CZ123" s="656" t="e">
        <v>#NAME?</v>
      </c>
      <c r="DB123" s="156" t="s">
        <v>395</v>
      </c>
      <c r="DG123" s="156">
        <v>1960.39</v>
      </c>
    </row>
    <row r="124" spans="1:111" ht="12.75">
      <c r="A124" s="168" t="s">
        <v>394</v>
      </c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6"/>
      <c r="P124" s="656"/>
      <c r="Q124" s="656"/>
      <c r="R124" s="656"/>
      <c r="S124" s="656"/>
      <c r="T124" s="656"/>
      <c r="U124" s="656"/>
      <c r="V124" s="656"/>
      <c r="W124" s="656"/>
      <c r="X124" s="656"/>
      <c r="Y124" s="656">
        <v>552.50645833999999</v>
      </c>
      <c r="Z124" s="656">
        <v>656.18154834000006</v>
      </c>
      <c r="AA124" s="656">
        <v>817.02499021000006</v>
      </c>
      <c r="AB124" s="656">
        <v>1089.3940406400002</v>
      </c>
      <c r="AC124" s="656"/>
      <c r="AD124" s="158"/>
      <c r="AE124" s="158"/>
      <c r="AF124" s="656"/>
      <c r="AG124" s="656"/>
      <c r="AH124" s="656"/>
      <c r="AI124" s="656"/>
      <c r="AJ124" s="656"/>
      <c r="AK124" s="656"/>
      <c r="AL124" s="656"/>
      <c r="AM124" s="656"/>
      <c r="AN124" s="656"/>
      <c r="AO124" s="656"/>
      <c r="AP124" s="656"/>
      <c r="AQ124" s="656"/>
      <c r="AR124" s="656"/>
      <c r="AS124" s="656"/>
      <c r="AT124" s="656"/>
      <c r="AU124" s="656"/>
      <c r="AV124" s="656"/>
      <c r="AW124" s="656"/>
      <c r="AX124" s="656"/>
      <c r="AY124" s="656"/>
      <c r="AZ124" s="656"/>
      <c r="BA124" s="656"/>
      <c r="BB124" s="656"/>
      <c r="BC124" s="656"/>
      <c r="BD124" s="656"/>
      <c r="BE124" s="656"/>
      <c r="BF124" s="656"/>
      <c r="BG124" s="656"/>
      <c r="BH124" s="656"/>
      <c r="BI124" s="656"/>
      <c r="BJ124" s="656"/>
      <c r="BK124" s="656"/>
      <c r="BL124" s="656"/>
      <c r="BM124" s="656"/>
      <c r="BN124" s="656"/>
      <c r="BO124" s="656"/>
      <c r="BP124" s="656"/>
      <c r="BQ124" s="656"/>
      <c r="BR124" s="656"/>
      <c r="BS124" s="656"/>
      <c r="BT124" s="656"/>
      <c r="BU124" s="656"/>
      <c r="BV124" s="656"/>
      <c r="BW124" s="656"/>
      <c r="BX124" s="656"/>
      <c r="BY124" s="656"/>
      <c r="BZ124" s="656"/>
      <c r="CA124" s="656"/>
      <c r="CB124" s="656"/>
      <c r="CC124" s="656">
        <v>469.67</v>
      </c>
      <c r="CD124" s="656"/>
      <c r="CE124" s="656">
        <v>411.29</v>
      </c>
      <c r="CF124" s="656">
        <v>458.61</v>
      </c>
      <c r="CG124" s="656">
        <v>597.40695915999993</v>
      </c>
      <c r="CH124" s="656">
        <v>505</v>
      </c>
      <c r="CI124" s="656">
        <v>552.50645833999999</v>
      </c>
      <c r="CJ124" s="656">
        <v>602.97489430999997</v>
      </c>
      <c r="CK124" s="656">
        <v>619.39198932000011</v>
      </c>
      <c r="CL124" s="656"/>
      <c r="CM124" s="656">
        <v>656.18154834000006</v>
      </c>
      <c r="CN124" s="656"/>
      <c r="CO124" s="656">
        <v>861.10197783000001</v>
      </c>
      <c r="CP124" s="656"/>
      <c r="CQ124" s="656">
        <v>817.02499021000006</v>
      </c>
      <c r="CR124" s="656"/>
      <c r="CS124" s="656">
        <v>966.42128758000001</v>
      </c>
      <c r="CT124" s="656">
        <v>0</v>
      </c>
      <c r="CU124" s="656">
        <v>1089.3940406400002</v>
      </c>
      <c r="CV124" s="656">
        <v>0</v>
      </c>
      <c r="CW124" s="656">
        <v>1464.69703611</v>
      </c>
      <c r="CX124" s="656">
        <v>0</v>
      </c>
      <c r="CZ124" s="656" t="e">
        <v>#NAME?</v>
      </c>
      <c r="DB124" s="156" t="s">
        <v>394</v>
      </c>
      <c r="DG124" s="156" t="e">
        <v>#VALUE!</v>
      </c>
    </row>
    <row r="125" spans="1:111" ht="12.75">
      <c r="A125" s="168" t="s">
        <v>393</v>
      </c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6"/>
      <c r="P125" s="656"/>
      <c r="Q125" s="656"/>
      <c r="R125" s="656"/>
      <c r="S125" s="656"/>
      <c r="T125" s="656"/>
      <c r="U125" s="656"/>
      <c r="V125" s="656"/>
      <c r="W125" s="656"/>
      <c r="X125" s="656"/>
      <c r="Y125" s="656">
        <v>0</v>
      </c>
      <c r="Z125" s="656"/>
      <c r="AA125" s="656"/>
      <c r="AB125" s="656">
        <v>0</v>
      </c>
      <c r="AC125" s="656"/>
      <c r="AD125" s="158"/>
      <c r="AE125" s="158"/>
      <c r="AF125" s="656"/>
      <c r="AG125" s="656"/>
      <c r="AH125" s="656"/>
      <c r="AI125" s="656"/>
      <c r="AJ125" s="656"/>
      <c r="AK125" s="656"/>
      <c r="AL125" s="656"/>
      <c r="AM125" s="656"/>
      <c r="AN125" s="656"/>
      <c r="AO125" s="656"/>
      <c r="AP125" s="656"/>
      <c r="AQ125" s="656"/>
      <c r="AR125" s="656"/>
      <c r="AS125" s="656"/>
      <c r="AT125" s="656"/>
      <c r="AU125" s="656"/>
      <c r="AV125" s="656"/>
      <c r="AW125" s="656"/>
      <c r="AX125" s="656"/>
      <c r="AY125" s="656"/>
      <c r="AZ125" s="656"/>
      <c r="BA125" s="656"/>
      <c r="BB125" s="656"/>
      <c r="BC125" s="656"/>
      <c r="BD125" s="656"/>
      <c r="BE125" s="656"/>
      <c r="BF125" s="656"/>
      <c r="BG125" s="656"/>
      <c r="BH125" s="656"/>
      <c r="BI125" s="656"/>
      <c r="BJ125" s="656"/>
      <c r="BK125" s="656"/>
      <c r="BL125" s="656"/>
      <c r="BM125" s="656"/>
      <c r="BN125" s="656"/>
      <c r="BO125" s="656"/>
      <c r="BP125" s="656"/>
      <c r="BQ125" s="656"/>
      <c r="BR125" s="656"/>
      <c r="BS125" s="656"/>
      <c r="BT125" s="656"/>
      <c r="BU125" s="656"/>
      <c r="BV125" s="656"/>
      <c r="BW125" s="656"/>
      <c r="BX125" s="656"/>
      <c r="BY125" s="656"/>
      <c r="BZ125" s="656"/>
      <c r="CA125" s="656"/>
      <c r="CB125" s="656"/>
      <c r="CC125" s="656"/>
      <c r="CD125" s="656"/>
      <c r="CE125" s="656"/>
      <c r="CF125" s="656"/>
      <c r="CG125" s="656"/>
      <c r="CH125" s="656"/>
      <c r="CI125" s="656"/>
      <c r="CJ125" s="656"/>
      <c r="CK125" s="656"/>
      <c r="CL125" s="656"/>
      <c r="CM125" s="656"/>
      <c r="CN125" s="656"/>
      <c r="CO125" s="656"/>
      <c r="CP125" s="656"/>
      <c r="CQ125" s="656"/>
      <c r="CR125" s="656"/>
      <c r="CS125" s="656">
        <v>0</v>
      </c>
      <c r="CT125" s="656">
        <v>0</v>
      </c>
      <c r="CU125" s="656">
        <v>0</v>
      </c>
      <c r="CV125" s="656">
        <v>0</v>
      </c>
      <c r="CW125" s="656">
        <v>0</v>
      </c>
      <c r="CX125" s="656">
        <v>0</v>
      </c>
      <c r="CZ125" s="656" t="e">
        <v>#NAME?</v>
      </c>
      <c r="DB125" s="156" t="s">
        <v>393</v>
      </c>
      <c r="DG125" s="156">
        <v>260.01</v>
      </c>
    </row>
    <row r="126" spans="1:111" ht="12.75">
      <c r="A126" s="168" t="s">
        <v>392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>
        <v>0</v>
      </c>
      <c r="Z126" s="656"/>
      <c r="AA126" s="656"/>
      <c r="AB126" s="656">
        <v>0</v>
      </c>
      <c r="AC126" s="656"/>
      <c r="AD126" s="158"/>
      <c r="AE126" s="158"/>
      <c r="AF126" s="656"/>
      <c r="AG126" s="656"/>
      <c r="AH126" s="656"/>
      <c r="AI126" s="656"/>
      <c r="AJ126" s="656"/>
      <c r="AK126" s="656"/>
      <c r="AL126" s="656"/>
      <c r="AM126" s="656"/>
      <c r="AN126" s="656"/>
      <c r="AO126" s="656"/>
      <c r="AP126" s="656"/>
      <c r="AQ126" s="656"/>
      <c r="AR126" s="656"/>
      <c r="AS126" s="656"/>
      <c r="AT126" s="656"/>
      <c r="AU126" s="656"/>
      <c r="AV126" s="656"/>
      <c r="AW126" s="656"/>
      <c r="AX126" s="656"/>
      <c r="AY126" s="656"/>
      <c r="AZ126" s="656"/>
      <c r="BA126" s="656"/>
      <c r="BB126" s="656"/>
      <c r="BC126" s="656"/>
      <c r="BD126" s="656"/>
      <c r="BE126" s="656"/>
      <c r="BF126" s="656"/>
      <c r="BG126" s="656"/>
      <c r="BH126" s="656"/>
      <c r="BI126" s="656"/>
      <c r="BJ126" s="656"/>
      <c r="BK126" s="656"/>
      <c r="BL126" s="656"/>
      <c r="BM126" s="656"/>
      <c r="BN126" s="656"/>
      <c r="BO126" s="656"/>
      <c r="BP126" s="656"/>
      <c r="BQ126" s="656"/>
      <c r="BR126" s="656"/>
      <c r="BS126" s="656"/>
      <c r="BT126" s="656"/>
      <c r="BU126" s="656"/>
      <c r="BV126" s="656"/>
      <c r="BW126" s="656"/>
      <c r="BX126" s="656"/>
      <c r="BY126" s="656"/>
      <c r="BZ126" s="656"/>
      <c r="CA126" s="656"/>
      <c r="CB126" s="656"/>
      <c r="CC126" s="656"/>
      <c r="CD126" s="656"/>
      <c r="CE126" s="656"/>
      <c r="CF126" s="656"/>
      <c r="CG126" s="656"/>
      <c r="CH126" s="656"/>
      <c r="CI126" s="656"/>
      <c r="CJ126" s="656"/>
      <c r="CK126" s="656"/>
      <c r="CL126" s="656"/>
      <c r="CM126" s="656"/>
      <c r="CN126" s="656"/>
      <c r="CO126" s="656"/>
      <c r="CP126" s="656"/>
      <c r="CQ126" s="656"/>
      <c r="CR126" s="656"/>
      <c r="CS126" s="656">
        <v>0</v>
      </c>
      <c r="CT126" s="656">
        <v>0</v>
      </c>
      <c r="CU126" s="656">
        <v>0</v>
      </c>
      <c r="CV126" s="656">
        <v>0</v>
      </c>
      <c r="CW126" s="656">
        <v>0</v>
      </c>
      <c r="CX126" s="656">
        <v>0</v>
      </c>
      <c r="CZ126" s="656" t="e">
        <v>#NAME?</v>
      </c>
      <c r="DB126" s="156" t="s">
        <v>392</v>
      </c>
      <c r="DG126" s="156" t="e">
        <v>#VALUE!</v>
      </c>
    </row>
    <row r="127" spans="1:111" ht="12.75">
      <c r="A127" s="168" t="s">
        <v>391</v>
      </c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6"/>
      <c r="P127" s="656"/>
      <c r="Q127" s="656"/>
      <c r="R127" s="656"/>
      <c r="S127" s="656"/>
      <c r="T127" s="656"/>
      <c r="U127" s="656"/>
      <c r="V127" s="656"/>
      <c r="W127" s="656"/>
      <c r="X127" s="656"/>
      <c r="Y127" s="656">
        <v>0</v>
      </c>
      <c r="Z127" s="656"/>
      <c r="AA127" s="656"/>
      <c r="AB127" s="656">
        <v>0</v>
      </c>
      <c r="AC127" s="656"/>
      <c r="AD127" s="158"/>
      <c r="AE127" s="158"/>
      <c r="AF127" s="656"/>
      <c r="AG127" s="656"/>
      <c r="AH127" s="656"/>
      <c r="AI127" s="656"/>
      <c r="AJ127" s="656"/>
      <c r="AK127" s="656"/>
      <c r="AL127" s="656"/>
      <c r="AM127" s="656"/>
      <c r="AN127" s="656"/>
      <c r="AO127" s="656"/>
      <c r="AP127" s="656"/>
      <c r="AQ127" s="656"/>
      <c r="AR127" s="656"/>
      <c r="AS127" s="656"/>
      <c r="AT127" s="656"/>
      <c r="AU127" s="656"/>
      <c r="AV127" s="656"/>
      <c r="AW127" s="656"/>
      <c r="AX127" s="656"/>
      <c r="AY127" s="656"/>
      <c r="AZ127" s="656"/>
      <c r="BA127" s="656"/>
      <c r="BB127" s="656"/>
      <c r="BC127" s="656"/>
      <c r="BD127" s="656"/>
      <c r="BE127" s="656"/>
      <c r="BF127" s="656"/>
      <c r="BG127" s="656"/>
      <c r="BH127" s="656"/>
      <c r="BI127" s="656"/>
      <c r="BJ127" s="656"/>
      <c r="BK127" s="656"/>
      <c r="BL127" s="656"/>
      <c r="BM127" s="656"/>
      <c r="BN127" s="656"/>
      <c r="BO127" s="656"/>
      <c r="BP127" s="656"/>
      <c r="BQ127" s="656"/>
      <c r="BR127" s="656"/>
      <c r="BS127" s="656"/>
      <c r="BT127" s="656"/>
      <c r="BU127" s="656"/>
      <c r="BV127" s="656"/>
      <c r="BW127" s="656"/>
      <c r="BX127" s="656"/>
      <c r="BY127" s="656"/>
      <c r="BZ127" s="656"/>
      <c r="CA127" s="656"/>
      <c r="CB127" s="656"/>
      <c r="CC127" s="656"/>
      <c r="CD127" s="656"/>
      <c r="CE127" s="656"/>
      <c r="CF127" s="656"/>
      <c r="CG127" s="656"/>
      <c r="CH127" s="656"/>
      <c r="CI127" s="656"/>
      <c r="CJ127" s="656"/>
      <c r="CK127" s="656"/>
      <c r="CL127" s="656"/>
      <c r="CM127" s="656"/>
      <c r="CN127" s="656"/>
      <c r="CO127" s="656"/>
      <c r="CP127" s="656"/>
      <c r="CQ127" s="656"/>
      <c r="CR127" s="656"/>
      <c r="CS127" s="656">
        <v>0</v>
      </c>
      <c r="CT127" s="656">
        <v>0</v>
      </c>
      <c r="CU127" s="656">
        <v>0</v>
      </c>
      <c r="CV127" s="656">
        <v>0</v>
      </c>
      <c r="CW127" s="656">
        <v>0</v>
      </c>
      <c r="CX127" s="656">
        <v>0</v>
      </c>
      <c r="CZ127" s="656" t="e">
        <v>#NAME?</v>
      </c>
      <c r="DB127" s="156" t="s">
        <v>391</v>
      </c>
      <c r="DG127" s="156">
        <v>4904.9399999999996</v>
      </c>
    </row>
    <row r="128" spans="1:111" ht="12.75">
      <c r="A128" s="168" t="s">
        <v>390</v>
      </c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6"/>
      <c r="P128" s="656"/>
      <c r="Q128" s="656"/>
      <c r="R128" s="656"/>
      <c r="S128" s="656"/>
      <c r="T128" s="656"/>
      <c r="U128" s="656"/>
      <c r="V128" s="656"/>
      <c r="W128" s="656"/>
      <c r="X128" s="656"/>
      <c r="Y128" s="656">
        <v>0</v>
      </c>
      <c r="Z128" s="656"/>
      <c r="AA128" s="656"/>
      <c r="AB128" s="656">
        <v>0</v>
      </c>
      <c r="AC128" s="656"/>
      <c r="AD128" s="158"/>
      <c r="AE128" s="158"/>
      <c r="AF128" s="656"/>
      <c r="AG128" s="656"/>
      <c r="AH128" s="656"/>
      <c r="AI128" s="656"/>
      <c r="AJ128" s="656"/>
      <c r="AK128" s="656"/>
      <c r="AL128" s="656"/>
      <c r="AM128" s="656"/>
      <c r="AN128" s="656"/>
      <c r="AO128" s="656"/>
      <c r="AP128" s="656"/>
      <c r="AQ128" s="656"/>
      <c r="AR128" s="656"/>
      <c r="AS128" s="656"/>
      <c r="AT128" s="656"/>
      <c r="AU128" s="656"/>
      <c r="AV128" s="656"/>
      <c r="AW128" s="656"/>
      <c r="AX128" s="656"/>
      <c r="AY128" s="656"/>
      <c r="AZ128" s="656"/>
      <c r="BA128" s="656"/>
      <c r="BB128" s="656"/>
      <c r="BC128" s="656"/>
      <c r="BD128" s="656"/>
      <c r="BE128" s="656"/>
      <c r="BF128" s="656"/>
      <c r="BG128" s="656"/>
      <c r="BH128" s="656"/>
      <c r="BI128" s="656"/>
      <c r="BJ128" s="656"/>
      <c r="BK128" s="656"/>
      <c r="BL128" s="656"/>
      <c r="BM128" s="656"/>
      <c r="BN128" s="656"/>
      <c r="BO128" s="656"/>
      <c r="BP128" s="656"/>
      <c r="BQ128" s="656"/>
      <c r="BR128" s="656"/>
      <c r="BS128" s="656"/>
      <c r="BT128" s="656"/>
      <c r="BU128" s="656"/>
      <c r="BV128" s="656"/>
      <c r="BW128" s="656"/>
      <c r="BX128" s="656"/>
      <c r="BY128" s="656"/>
      <c r="BZ128" s="656"/>
      <c r="CA128" s="656"/>
      <c r="CB128" s="656"/>
      <c r="CC128" s="656"/>
      <c r="CD128" s="656"/>
      <c r="CE128" s="656"/>
      <c r="CF128" s="656"/>
      <c r="CG128" s="656"/>
      <c r="CH128" s="656"/>
      <c r="CI128" s="656"/>
      <c r="CJ128" s="656"/>
      <c r="CK128" s="656"/>
      <c r="CL128" s="656"/>
      <c r="CM128" s="656"/>
      <c r="CN128" s="656"/>
      <c r="CO128" s="656"/>
      <c r="CP128" s="656"/>
      <c r="CQ128" s="656"/>
      <c r="CR128" s="656"/>
      <c r="CS128" s="656">
        <v>0</v>
      </c>
      <c r="CT128" s="656">
        <v>0</v>
      </c>
      <c r="CU128" s="656">
        <v>0</v>
      </c>
      <c r="CV128" s="656">
        <v>0</v>
      </c>
      <c r="CW128" s="656">
        <v>0</v>
      </c>
      <c r="CX128" s="656">
        <v>0</v>
      </c>
      <c r="CZ128" s="656" t="e">
        <v>#NAME?</v>
      </c>
      <c r="DB128" s="156" t="s">
        <v>390</v>
      </c>
      <c r="DG128" s="156" t="e">
        <v>#VALUE!</v>
      </c>
    </row>
    <row r="129" spans="1:111" ht="12.75">
      <c r="A129" s="168" t="s">
        <v>389</v>
      </c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6"/>
      <c r="P129" s="656"/>
      <c r="Q129" s="656"/>
      <c r="R129" s="656"/>
      <c r="S129" s="656"/>
      <c r="T129" s="656"/>
      <c r="U129" s="656">
        <v>18.066099999999999</v>
      </c>
      <c r="V129" s="656">
        <v>5.5013089100000006</v>
      </c>
      <c r="W129" s="656"/>
      <c r="X129" s="656">
        <v>61.973356209999999</v>
      </c>
      <c r="Y129" s="656">
        <v>42.249748579999995</v>
      </c>
      <c r="Z129" s="656">
        <v>39.330686710000002</v>
      </c>
      <c r="AA129" s="656">
        <v>33.76034516</v>
      </c>
      <c r="AB129" s="656">
        <v>13.04136289</v>
      </c>
      <c r="AC129" s="656"/>
      <c r="AD129" s="158"/>
      <c r="AE129" s="158"/>
      <c r="AF129" s="656"/>
      <c r="AG129" s="656"/>
      <c r="AH129" s="656"/>
      <c r="AI129" s="656"/>
      <c r="AJ129" s="656"/>
      <c r="AK129" s="656"/>
      <c r="AL129" s="656"/>
      <c r="AM129" s="656"/>
      <c r="AN129" s="656"/>
      <c r="AO129" s="656"/>
      <c r="AP129" s="656"/>
      <c r="AQ129" s="656"/>
      <c r="AR129" s="656"/>
      <c r="AS129" s="656"/>
      <c r="AT129" s="656"/>
      <c r="AU129" s="656"/>
      <c r="AV129" s="656"/>
      <c r="AW129" s="656"/>
      <c r="AX129" s="656"/>
      <c r="AY129" s="656"/>
      <c r="AZ129" s="656"/>
      <c r="BA129" s="656"/>
      <c r="BB129" s="656"/>
      <c r="BC129" s="656"/>
      <c r="BD129" s="656"/>
      <c r="BE129" s="656"/>
      <c r="BF129" s="656"/>
      <c r="BG129" s="656"/>
      <c r="BH129" s="656"/>
      <c r="BI129" s="656"/>
      <c r="BJ129" s="656"/>
      <c r="BK129" s="656"/>
      <c r="BL129" s="656"/>
      <c r="BM129" s="656"/>
      <c r="BN129" s="656"/>
      <c r="BO129" s="656"/>
      <c r="BP129" s="656"/>
      <c r="BQ129" s="656"/>
      <c r="BR129" s="656"/>
      <c r="BS129" s="656"/>
      <c r="BT129" s="656"/>
      <c r="BU129" s="656"/>
      <c r="BV129" s="656"/>
      <c r="BW129" s="656"/>
      <c r="BX129" s="656"/>
      <c r="BY129" s="656"/>
      <c r="BZ129" s="656"/>
      <c r="CA129" s="656"/>
      <c r="CB129" s="656"/>
      <c r="CC129" s="656"/>
      <c r="CD129" s="656"/>
      <c r="CE129" s="656">
        <v>61.973356209999999</v>
      </c>
      <c r="CF129" s="656">
        <v>56.280393539999999</v>
      </c>
      <c r="CG129" s="656">
        <v>316.82716145999996</v>
      </c>
      <c r="CH129" s="656">
        <v>43.952107120000001</v>
      </c>
      <c r="CI129" s="656">
        <v>42.249748579999995</v>
      </c>
      <c r="CJ129" s="656">
        <v>42.514056950000004</v>
      </c>
      <c r="CK129" s="656">
        <v>41.616157869999995</v>
      </c>
      <c r="CL129" s="656">
        <v>42.541046960000003</v>
      </c>
      <c r="CM129" s="656">
        <v>39.330686710000002</v>
      </c>
      <c r="CN129" s="656">
        <v>31.965002699999999</v>
      </c>
      <c r="CO129" s="656">
        <v>13.587175740000001</v>
      </c>
      <c r="CP129" s="656">
        <v>13.528960380000001</v>
      </c>
      <c r="CQ129" s="656">
        <v>33.76034516</v>
      </c>
      <c r="CR129" s="656">
        <v>32.920125249999998</v>
      </c>
      <c r="CS129" s="656">
        <v>14.413792939999999</v>
      </c>
      <c r="CT129" s="656">
        <v>13.982821039999999</v>
      </c>
      <c r="CU129" s="656">
        <v>13.04136289</v>
      </c>
      <c r="CV129" s="656">
        <v>11.30338411</v>
      </c>
      <c r="CW129" s="656">
        <v>14.7577044</v>
      </c>
      <c r="CX129" s="656">
        <v>14.794673039999999</v>
      </c>
      <c r="CZ129" s="656" t="e">
        <v>#NAME?</v>
      </c>
      <c r="DB129" s="156" t="s">
        <v>389</v>
      </c>
      <c r="DG129" s="156" t="e">
        <v>#VALUE!</v>
      </c>
    </row>
    <row r="130" spans="1:111" ht="12.75">
      <c r="A130" s="168" t="s">
        <v>388</v>
      </c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6"/>
      <c r="P130" s="656"/>
      <c r="Q130" s="656"/>
      <c r="R130" s="656"/>
      <c r="S130" s="656"/>
      <c r="T130" s="656"/>
      <c r="U130" s="656"/>
      <c r="V130" s="656"/>
      <c r="W130" s="656"/>
      <c r="X130" s="656"/>
      <c r="Y130" s="656">
        <v>0</v>
      </c>
      <c r="Z130" s="656"/>
      <c r="AA130" s="656"/>
      <c r="AB130" s="656">
        <v>0</v>
      </c>
      <c r="AC130" s="656"/>
      <c r="AD130" s="158"/>
      <c r="AE130" s="158"/>
      <c r="AF130" s="656"/>
      <c r="AG130" s="656"/>
      <c r="AH130" s="656"/>
      <c r="AI130" s="656"/>
      <c r="AJ130" s="656"/>
      <c r="AK130" s="656"/>
      <c r="AL130" s="656"/>
      <c r="AM130" s="656"/>
      <c r="AN130" s="656"/>
      <c r="AO130" s="656"/>
      <c r="AP130" s="656"/>
      <c r="AQ130" s="656"/>
      <c r="AR130" s="656"/>
      <c r="AS130" s="656"/>
      <c r="AT130" s="656"/>
      <c r="AU130" s="656"/>
      <c r="AV130" s="656"/>
      <c r="AW130" s="656"/>
      <c r="AX130" s="656"/>
      <c r="AY130" s="656"/>
      <c r="AZ130" s="656"/>
      <c r="BA130" s="656"/>
      <c r="BB130" s="656"/>
      <c r="BC130" s="656"/>
      <c r="BD130" s="656"/>
      <c r="BE130" s="656"/>
      <c r="BF130" s="656"/>
      <c r="BG130" s="656"/>
      <c r="BH130" s="656"/>
      <c r="BI130" s="656"/>
      <c r="BJ130" s="656"/>
      <c r="BK130" s="656"/>
      <c r="BL130" s="656"/>
      <c r="BM130" s="656"/>
      <c r="BN130" s="656"/>
      <c r="BO130" s="656"/>
      <c r="BP130" s="656"/>
      <c r="BQ130" s="656"/>
      <c r="BR130" s="656"/>
      <c r="BS130" s="656"/>
      <c r="BT130" s="656"/>
      <c r="BU130" s="656"/>
      <c r="BV130" s="656"/>
      <c r="BW130" s="656"/>
      <c r="BX130" s="656"/>
      <c r="BY130" s="656"/>
      <c r="BZ130" s="656"/>
      <c r="CA130" s="656"/>
      <c r="CB130" s="656"/>
      <c r="CC130" s="656"/>
      <c r="CD130" s="656"/>
      <c r="CE130" s="656"/>
      <c r="CF130" s="656"/>
      <c r="CG130" s="656"/>
      <c r="CH130" s="656"/>
      <c r="CI130" s="656"/>
      <c r="CJ130" s="656"/>
      <c r="CK130" s="656"/>
      <c r="CL130" s="656"/>
      <c r="CM130" s="656"/>
      <c r="CN130" s="656"/>
      <c r="CO130" s="656"/>
      <c r="CP130" s="656"/>
      <c r="CQ130" s="656"/>
      <c r="CR130" s="656"/>
      <c r="CS130" s="656">
        <v>0</v>
      </c>
      <c r="CT130" s="656">
        <v>686.81656246</v>
      </c>
      <c r="CU130" s="656">
        <v>0</v>
      </c>
      <c r="CV130" s="656">
        <v>0</v>
      </c>
      <c r="CW130" s="656">
        <v>0</v>
      </c>
      <c r="CX130" s="656">
        <v>0</v>
      </c>
      <c r="CZ130" s="656" t="e">
        <v>#NAME?</v>
      </c>
      <c r="DB130" s="156" t="s">
        <v>388</v>
      </c>
      <c r="DG130" s="156">
        <v>3.78</v>
      </c>
    </row>
    <row r="131" spans="1:111" ht="12.75">
      <c r="A131" s="165" t="s">
        <v>387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>
        <v>0</v>
      </c>
      <c r="Z131" s="656"/>
      <c r="AA131" s="656"/>
      <c r="AB131" s="656">
        <v>0</v>
      </c>
      <c r="AC131" s="656"/>
      <c r="AD131" s="158"/>
      <c r="AE131" s="158"/>
      <c r="AF131" s="656"/>
      <c r="AG131" s="656"/>
      <c r="AH131" s="656"/>
      <c r="AI131" s="656"/>
      <c r="AJ131" s="656"/>
      <c r="AK131" s="656"/>
      <c r="AL131" s="656"/>
      <c r="AM131" s="656"/>
      <c r="AN131" s="656"/>
      <c r="AO131" s="656"/>
      <c r="AP131" s="656"/>
      <c r="AQ131" s="656"/>
      <c r="AR131" s="656"/>
      <c r="AS131" s="656"/>
      <c r="AT131" s="656"/>
      <c r="AU131" s="656"/>
      <c r="AV131" s="656"/>
      <c r="AW131" s="656"/>
      <c r="AX131" s="656"/>
      <c r="AY131" s="656"/>
      <c r="AZ131" s="656"/>
      <c r="BA131" s="656"/>
      <c r="BB131" s="656"/>
      <c r="BC131" s="656"/>
      <c r="BD131" s="656"/>
      <c r="BE131" s="656"/>
      <c r="BF131" s="656"/>
      <c r="BG131" s="656"/>
      <c r="BH131" s="656"/>
      <c r="BI131" s="656"/>
      <c r="BJ131" s="656"/>
      <c r="BK131" s="656"/>
      <c r="BL131" s="656"/>
      <c r="BM131" s="656"/>
      <c r="BN131" s="656"/>
      <c r="BO131" s="656"/>
      <c r="BP131" s="656"/>
      <c r="BQ131" s="656"/>
      <c r="BR131" s="656"/>
      <c r="BS131" s="656"/>
      <c r="BT131" s="656"/>
      <c r="BU131" s="656"/>
      <c r="BV131" s="656"/>
      <c r="BW131" s="656"/>
      <c r="BX131" s="656"/>
      <c r="BY131" s="656"/>
      <c r="BZ131" s="656"/>
      <c r="CA131" s="656"/>
      <c r="CB131" s="656"/>
      <c r="CC131" s="656"/>
      <c r="CD131" s="656"/>
      <c r="CE131" s="656"/>
      <c r="CF131" s="656"/>
      <c r="CG131" s="656"/>
      <c r="CH131" s="656"/>
      <c r="CI131" s="656"/>
      <c r="CJ131" s="656"/>
      <c r="CK131" s="656"/>
      <c r="CL131" s="656"/>
      <c r="CM131" s="656"/>
      <c r="CN131" s="656"/>
      <c r="CO131" s="656"/>
      <c r="CP131" s="656"/>
      <c r="CQ131" s="656"/>
      <c r="CR131" s="656"/>
      <c r="CS131" s="656">
        <v>0</v>
      </c>
      <c r="CT131" s="656">
        <v>0</v>
      </c>
      <c r="CU131" s="656">
        <v>0</v>
      </c>
      <c r="CV131" s="656">
        <v>0</v>
      </c>
      <c r="CW131" s="656">
        <v>0</v>
      </c>
      <c r="CX131" s="656">
        <v>0</v>
      </c>
      <c r="CZ131" s="656" t="e">
        <v>#NAME?</v>
      </c>
      <c r="DB131" s="156" t="s">
        <v>387</v>
      </c>
      <c r="DG131" s="156" t="e">
        <v>#VALUE!</v>
      </c>
    </row>
    <row r="132" spans="1:111" ht="12.75">
      <c r="A132" s="165" t="s">
        <v>386</v>
      </c>
      <c r="B132" s="656"/>
      <c r="C132" s="656"/>
      <c r="D132" s="656"/>
      <c r="E132" s="656"/>
      <c r="F132" s="656"/>
      <c r="G132" s="656"/>
      <c r="H132" s="656"/>
      <c r="I132" s="656"/>
      <c r="J132" s="656"/>
      <c r="K132" s="656"/>
      <c r="L132" s="656"/>
      <c r="M132" s="656"/>
      <c r="N132" s="656"/>
      <c r="O132" s="656"/>
      <c r="P132" s="656"/>
      <c r="Q132" s="656"/>
      <c r="R132" s="656"/>
      <c r="S132" s="656"/>
      <c r="T132" s="656"/>
      <c r="U132" s="656"/>
      <c r="V132" s="656"/>
      <c r="W132" s="656"/>
      <c r="X132" s="656"/>
      <c r="Y132" s="656">
        <v>0</v>
      </c>
      <c r="Z132" s="656"/>
      <c r="AA132" s="656"/>
      <c r="AB132" s="656">
        <v>0</v>
      </c>
      <c r="AC132" s="656"/>
      <c r="AD132" s="158"/>
      <c r="AE132" s="158"/>
      <c r="AF132" s="656"/>
      <c r="AG132" s="656"/>
      <c r="AH132" s="656"/>
      <c r="AI132" s="656"/>
      <c r="AJ132" s="656"/>
      <c r="AK132" s="656"/>
      <c r="AL132" s="656"/>
      <c r="AM132" s="656"/>
      <c r="AN132" s="656"/>
      <c r="AO132" s="656"/>
      <c r="AP132" s="656"/>
      <c r="AQ132" s="656"/>
      <c r="AR132" s="656"/>
      <c r="AS132" s="656"/>
      <c r="AT132" s="656"/>
      <c r="AU132" s="656"/>
      <c r="AV132" s="656"/>
      <c r="AW132" s="656"/>
      <c r="AX132" s="656"/>
      <c r="AY132" s="656"/>
      <c r="AZ132" s="656"/>
      <c r="BA132" s="656"/>
      <c r="BB132" s="656"/>
      <c r="BC132" s="656"/>
      <c r="BD132" s="656"/>
      <c r="BE132" s="656"/>
      <c r="BF132" s="656"/>
      <c r="BG132" s="656"/>
      <c r="BH132" s="656"/>
      <c r="BI132" s="656"/>
      <c r="BJ132" s="656"/>
      <c r="BK132" s="656"/>
      <c r="BL132" s="656"/>
      <c r="BM132" s="656"/>
      <c r="BN132" s="656"/>
      <c r="BO132" s="656"/>
      <c r="BP132" s="656"/>
      <c r="BQ132" s="656"/>
      <c r="BR132" s="656"/>
      <c r="BS132" s="656"/>
      <c r="BT132" s="656"/>
      <c r="BU132" s="656"/>
      <c r="BV132" s="656"/>
      <c r="BW132" s="656"/>
      <c r="BX132" s="656"/>
      <c r="BY132" s="656"/>
      <c r="BZ132" s="656"/>
      <c r="CA132" s="656"/>
      <c r="CB132" s="656"/>
      <c r="CC132" s="656"/>
      <c r="CD132" s="656"/>
      <c r="CE132" s="656"/>
      <c r="CF132" s="656"/>
      <c r="CG132" s="656"/>
      <c r="CH132" s="656"/>
      <c r="CI132" s="656"/>
      <c r="CJ132" s="656"/>
      <c r="CK132" s="656"/>
      <c r="CL132" s="656"/>
      <c r="CM132" s="656"/>
      <c r="CN132" s="656"/>
      <c r="CO132" s="656"/>
      <c r="CP132" s="656"/>
      <c r="CQ132" s="656"/>
      <c r="CR132" s="656"/>
      <c r="CS132" s="656">
        <v>0</v>
      </c>
      <c r="CT132" s="656">
        <v>0</v>
      </c>
      <c r="CU132" s="656">
        <v>0</v>
      </c>
      <c r="CV132" s="656">
        <v>0</v>
      </c>
      <c r="CW132" s="656">
        <v>0</v>
      </c>
      <c r="CX132" s="656">
        <v>0</v>
      </c>
      <c r="CZ132" s="656" t="e">
        <v>#NAME?</v>
      </c>
      <c r="DB132" s="156" t="s">
        <v>386</v>
      </c>
      <c r="DG132" s="156" t="e">
        <v>#VALUE!</v>
      </c>
    </row>
    <row r="133" spans="1:111" ht="12.75">
      <c r="A133" s="165" t="s">
        <v>385</v>
      </c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6"/>
      <c r="P133" s="656"/>
      <c r="Q133" s="656"/>
      <c r="R133" s="656"/>
      <c r="S133" s="656"/>
      <c r="T133" s="656"/>
      <c r="U133" s="656"/>
      <c r="V133" s="656"/>
      <c r="W133" s="656"/>
      <c r="X133" s="656"/>
      <c r="Y133" s="656">
        <v>0</v>
      </c>
      <c r="Z133" s="656"/>
      <c r="AA133" s="656"/>
      <c r="AB133" s="656">
        <v>0</v>
      </c>
      <c r="AC133" s="656"/>
      <c r="AD133" s="158"/>
      <c r="AE133" s="158"/>
      <c r="AF133" s="656"/>
      <c r="AG133" s="656"/>
      <c r="AH133" s="656"/>
      <c r="AI133" s="656"/>
      <c r="AJ133" s="656"/>
      <c r="AK133" s="656"/>
      <c r="AL133" s="656"/>
      <c r="AM133" s="656"/>
      <c r="AN133" s="656"/>
      <c r="AO133" s="656"/>
      <c r="AP133" s="656"/>
      <c r="AQ133" s="656"/>
      <c r="AR133" s="656"/>
      <c r="AS133" s="656"/>
      <c r="AT133" s="656"/>
      <c r="AU133" s="656"/>
      <c r="AV133" s="656"/>
      <c r="AW133" s="656"/>
      <c r="AX133" s="656"/>
      <c r="AY133" s="656"/>
      <c r="AZ133" s="656"/>
      <c r="BA133" s="656"/>
      <c r="BB133" s="656"/>
      <c r="BC133" s="656"/>
      <c r="BD133" s="656"/>
      <c r="BE133" s="656"/>
      <c r="BF133" s="656"/>
      <c r="BG133" s="656"/>
      <c r="BH133" s="656"/>
      <c r="BI133" s="656"/>
      <c r="BJ133" s="656"/>
      <c r="BK133" s="656"/>
      <c r="BL133" s="656"/>
      <c r="BM133" s="656"/>
      <c r="BN133" s="656"/>
      <c r="BO133" s="656"/>
      <c r="BP133" s="656"/>
      <c r="BQ133" s="656"/>
      <c r="BR133" s="656"/>
      <c r="BS133" s="656"/>
      <c r="BT133" s="656"/>
      <c r="BU133" s="656"/>
      <c r="BV133" s="656"/>
      <c r="BW133" s="656"/>
      <c r="BX133" s="656"/>
      <c r="BY133" s="656"/>
      <c r="BZ133" s="656"/>
      <c r="CA133" s="656"/>
      <c r="CB133" s="656"/>
      <c r="CC133" s="656"/>
      <c r="CD133" s="656"/>
      <c r="CE133" s="656"/>
      <c r="CF133" s="656"/>
      <c r="CG133" s="656"/>
      <c r="CH133" s="656"/>
      <c r="CI133" s="656"/>
      <c r="CJ133" s="656"/>
      <c r="CK133" s="656"/>
      <c r="CL133" s="656"/>
      <c r="CM133" s="656"/>
      <c r="CN133" s="656"/>
      <c r="CO133" s="656"/>
      <c r="CP133" s="656"/>
      <c r="CQ133" s="656"/>
      <c r="CR133" s="656"/>
      <c r="CS133" s="656">
        <v>0</v>
      </c>
      <c r="CT133" s="656">
        <v>0</v>
      </c>
      <c r="CU133" s="656">
        <v>0</v>
      </c>
      <c r="CV133" s="656">
        <v>0</v>
      </c>
      <c r="CW133" s="656">
        <v>0</v>
      </c>
      <c r="CX133" s="656">
        <v>0</v>
      </c>
      <c r="CZ133" s="656" t="e">
        <v>#NAME?</v>
      </c>
      <c r="DB133" s="156" t="s">
        <v>385</v>
      </c>
      <c r="DG133" s="156">
        <v>7687.8</v>
      </c>
    </row>
    <row r="134" spans="1:111" ht="12.75">
      <c r="A134" s="165" t="s">
        <v>384</v>
      </c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6"/>
      <c r="P134" s="656"/>
      <c r="Q134" s="656"/>
      <c r="R134" s="656"/>
      <c r="S134" s="656"/>
      <c r="T134" s="656"/>
      <c r="U134" s="656"/>
      <c r="V134" s="656"/>
      <c r="W134" s="656"/>
      <c r="X134" s="656">
        <v>74.796661189999995</v>
      </c>
      <c r="Y134" s="656">
        <v>78.988361799999993</v>
      </c>
      <c r="Z134" s="656">
        <v>58.317614110000001</v>
      </c>
      <c r="AA134" s="656">
        <v>160.06244269000001</v>
      </c>
      <c r="AB134" s="656">
        <v>371.52012998999999</v>
      </c>
      <c r="AC134" s="656"/>
      <c r="AD134" s="158"/>
      <c r="AE134" s="158"/>
      <c r="AF134" s="656"/>
      <c r="AG134" s="656"/>
      <c r="AH134" s="656"/>
      <c r="AI134" s="656"/>
      <c r="AJ134" s="656"/>
      <c r="AK134" s="656"/>
      <c r="AL134" s="656"/>
      <c r="AM134" s="656"/>
      <c r="AN134" s="656"/>
      <c r="AO134" s="656"/>
      <c r="AP134" s="656"/>
      <c r="AQ134" s="656"/>
      <c r="AR134" s="656"/>
      <c r="AS134" s="656"/>
      <c r="AT134" s="656"/>
      <c r="AU134" s="656"/>
      <c r="AV134" s="656"/>
      <c r="AW134" s="656"/>
      <c r="AX134" s="656"/>
      <c r="AY134" s="656"/>
      <c r="AZ134" s="656"/>
      <c r="BA134" s="656"/>
      <c r="BB134" s="656"/>
      <c r="BC134" s="656"/>
      <c r="BD134" s="656"/>
      <c r="BE134" s="656"/>
      <c r="BF134" s="656"/>
      <c r="BG134" s="656"/>
      <c r="BH134" s="656"/>
      <c r="BI134" s="656"/>
      <c r="BJ134" s="656"/>
      <c r="BK134" s="656"/>
      <c r="BL134" s="656"/>
      <c r="BM134" s="656"/>
      <c r="BN134" s="656"/>
      <c r="BO134" s="656"/>
      <c r="BP134" s="656"/>
      <c r="BQ134" s="656"/>
      <c r="BR134" s="656"/>
      <c r="BS134" s="656"/>
      <c r="BT134" s="656"/>
      <c r="BU134" s="656"/>
      <c r="BV134" s="656"/>
      <c r="BW134" s="656"/>
      <c r="BX134" s="656"/>
      <c r="BY134" s="656"/>
      <c r="BZ134" s="656"/>
      <c r="CA134" s="656"/>
      <c r="CB134" s="656"/>
      <c r="CC134" s="656">
        <v>17.070900000000002</v>
      </c>
      <c r="CD134" s="656"/>
      <c r="CE134" s="656">
        <v>74.796661189999995</v>
      </c>
      <c r="CF134" s="656">
        <v>36.547514039999996</v>
      </c>
      <c r="CG134" s="656">
        <v>22.79848127</v>
      </c>
      <c r="CH134" s="656">
        <v>22.21212916</v>
      </c>
      <c r="CI134" s="656">
        <v>78.988361799999993</v>
      </c>
      <c r="CJ134" s="656">
        <v>47.54892684</v>
      </c>
      <c r="CK134" s="656">
        <v>33.533866029999999</v>
      </c>
      <c r="CL134" s="656">
        <v>23.939003469999999</v>
      </c>
      <c r="CM134" s="656">
        <v>58.317614110000001</v>
      </c>
      <c r="CN134" s="656">
        <v>62.444581319999998</v>
      </c>
      <c r="CO134" s="656">
        <v>24.66103845</v>
      </c>
      <c r="CP134" s="656">
        <v>17.972145449999999</v>
      </c>
      <c r="CQ134" s="656">
        <v>160.06244269000001</v>
      </c>
      <c r="CR134" s="656">
        <v>148.14689684999999</v>
      </c>
      <c r="CS134" s="656">
        <v>92.994849290000005</v>
      </c>
      <c r="CT134" s="656">
        <v>59.417237030000003</v>
      </c>
      <c r="CU134" s="656">
        <v>371.52012998999999</v>
      </c>
      <c r="CV134" s="656">
        <v>465.42576716000002</v>
      </c>
      <c r="CW134" s="656">
        <v>133.089305</v>
      </c>
      <c r="CX134" s="656">
        <v>56.039643140000003</v>
      </c>
      <c r="CZ134" s="656" t="e">
        <v>#NAME?</v>
      </c>
      <c r="DB134" s="156" t="s">
        <v>384</v>
      </c>
      <c r="DG134" s="156">
        <v>7691.58</v>
      </c>
    </row>
    <row r="135" spans="1:111" ht="12.75">
      <c r="A135" s="165" t="s">
        <v>383</v>
      </c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6"/>
      <c r="P135" s="656"/>
      <c r="Q135" s="656"/>
      <c r="R135" s="656"/>
      <c r="S135" s="656"/>
      <c r="T135" s="656"/>
      <c r="U135" s="656"/>
      <c r="V135" s="656"/>
      <c r="W135" s="656"/>
      <c r="X135" s="656"/>
      <c r="Y135" s="656">
        <v>0</v>
      </c>
      <c r="Z135" s="656"/>
      <c r="AA135" s="656"/>
      <c r="AB135" s="656">
        <v>0</v>
      </c>
      <c r="AC135" s="656"/>
      <c r="AD135" s="158"/>
      <c r="AE135" s="158"/>
      <c r="AF135" s="656"/>
      <c r="AG135" s="656"/>
      <c r="AH135" s="656"/>
      <c r="AI135" s="656"/>
      <c r="AJ135" s="656"/>
      <c r="AK135" s="656"/>
      <c r="AL135" s="656"/>
      <c r="AM135" s="656"/>
      <c r="AN135" s="656"/>
      <c r="AO135" s="656"/>
      <c r="AP135" s="656"/>
      <c r="AQ135" s="656"/>
      <c r="AR135" s="656"/>
      <c r="AS135" s="656"/>
      <c r="AT135" s="656"/>
      <c r="AU135" s="656"/>
      <c r="AV135" s="656"/>
      <c r="AW135" s="656"/>
      <c r="AX135" s="656"/>
      <c r="AY135" s="656"/>
      <c r="AZ135" s="656"/>
      <c r="BA135" s="656"/>
      <c r="BB135" s="656"/>
      <c r="BC135" s="656"/>
      <c r="BD135" s="656"/>
      <c r="BE135" s="656"/>
      <c r="BF135" s="656"/>
      <c r="BG135" s="656"/>
      <c r="BH135" s="656"/>
      <c r="BI135" s="656"/>
      <c r="BJ135" s="656"/>
      <c r="BK135" s="656"/>
      <c r="BL135" s="656"/>
      <c r="BM135" s="656"/>
      <c r="BN135" s="656"/>
      <c r="BO135" s="656"/>
      <c r="BP135" s="656"/>
      <c r="BQ135" s="656"/>
      <c r="BR135" s="656"/>
      <c r="BS135" s="656"/>
      <c r="BT135" s="656"/>
      <c r="BU135" s="656"/>
      <c r="BV135" s="656"/>
      <c r="BW135" s="656"/>
      <c r="BX135" s="656"/>
      <c r="BY135" s="656"/>
      <c r="BZ135" s="656"/>
      <c r="CA135" s="656"/>
      <c r="CB135" s="656"/>
      <c r="CC135" s="656"/>
      <c r="CD135" s="656"/>
      <c r="CE135" s="656"/>
      <c r="CF135" s="656"/>
      <c r="CG135" s="656"/>
      <c r="CH135" s="656"/>
      <c r="CI135" s="656"/>
      <c r="CJ135" s="656"/>
      <c r="CK135" s="656"/>
      <c r="CL135" s="656"/>
      <c r="CM135" s="656"/>
      <c r="CN135" s="656"/>
      <c r="CO135" s="656"/>
      <c r="CP135" s="656"/>
      <c r="CQ135" s="656"/>
      <c r="CR135" s="656"/>
      <c r="CS135" s="656">
        <v>0</v>
      </c>
      <c r="CT135" s="656">
        <v>0</v>
      </c>
      <c r="CU135" s="656">
        <v>0</v>
      </c>
      <c r="CV135" s="656">
        <v>0</v>
      </c>
      <c r="CW135" s="656">
        <v>0</v>
      </c>
      <c r="CX135" s="656">
        <v>0</v>
      </c>
      <c r="CZ135" s="656" t="e">
        <v>#NAME?</v>
      </c>
      <c r="DB135" s="156" t="s">
        <v>383</v>
      </c>
      <c r="DG135" s="156" t="e">
        <v>#VALUE!</v>
      </c>
    </row>
    <row r="136" spans="1:111" ht="12.75">
      <c r="A136" s="165" t="s">
        <v>382</v>
      </c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6"/>
      <c r="P136" s="656"/>
      <c r="Q136" s="656"/>
      <c r="R136" s="656"/>
      <c r="S136" s="656"/>
      <c r="T136" s="656"/>
      <c r="U136" s="656">
        <v>-1E-4</v>
      </c>
      <c r="V136" s="656"/>
      <c r="W136" s="656"/>
      <c r="X136" s="656"/>
      <c r="Y136" s="656">
        <v>0</v>
      </c>
      <c r="Z136" s="656"/>
      <c r="AA136" s="656"/>
      <c r="AB136" s="656">
        <v>0</v>
      </c>
      <c r="AC136" s="656"/>
      <c r="AD136" s="158"/>
      <c r="AE136" s="158"/>
      <c r="AF136" s="656"/>
      <c r="AG136" s="656"/>
      <c r="AH136" s="656"/>
      <c r="AI136" s="656"/>
      <c r="AJ136" s="656"/>
      <c r="AK136" s="656"/>
      <c r="AL136" s="656"/>
      <c r="AM136" s="656"/>
      <c r="AN136" s="656"/>
      <c r="AO136" s="656"/>
      <c r="AP136" s="656"/>
      <c r="AQ136" s="656"/>
      <c r="AR136" s="656"/>
      <c r="AS136" s="656"/>
      <c r="AT136" s="656"/>
      <c r="AU136" s="656"/>
      <c r="AV136" s="656"/>
      <c r="AW136" s="656"/>
      <c r="AX136" s="656"/>
      <c r="AY136" s="656"/>
      <c r="AZ136" s="656"/>
      <c r="BA136" s="656"/>
      <c r="BB136" s="656"/>
      <c r="BC136" s="656"/>
      <c r="BD136" s="656"/>
      <c r="BE136" s="656"/>
      <c r="BF136" s="656"/>
      <c r="BG136" s="656"/>
      <c r="BH136" s="656"/>
      <c r="BI136" s="656"/>
      <c r="BJ136" s="656"/>
      <c r="BK136" s="656"/>
      <c r="BL136" s="656"/>
      <c r="BM136" s="656"/>
      <c r="BN136" s="656"/>
      <c r="BO136" s="656"/>
      <c r="BP136" s="656"/>
      <c r="BQ136" s="656"/>
      <c r="BR136" s="656"/>
      <c r="BS136" s="656"/>
      <c r="BT136" s="656"/>
      <c r="BU136" s="656"/>
      <c r="BV136" s="656"/>
      <c r="BW136" s="656"/>
      <c r="BX136" s="656"/>
      <c r="BY136" s="656"/>
      <c r="BZ136" s="656"/>
      <c r="CA136" s="656"/>
      <c r="CB136" s="656"/>
      <c r="CC136" s="656">
        <v>1E-4</v>
      </c>
      <c r="CD136" s="656"/>
      <c r="CE136" s="656"/>
      <c r="CF136" s="656"/>
      <c r="CG136" s="656"/>
      <c r="CH136" s="656"/>
      <c r="CI136" s="656"/>
      <c r="CJ136" s="656"/>
      <c r="CK136" s="656"/>
      <c r="CL136" s="656"/>
      <c r="CM136" s="656"/>
      <c r="CN136" s="656"/>
      <c r="CO136" s="656"/>
      <c r="CP136" s="656"/>
      <c r="CQ136" s="656"/>
      <c r="CR136" s="656"/>
      <c r="CS136" s="656">
        <v>0</v>
      </c>
      <c r="CT136" s="656">
        <v>0</v>
      </c>
      <c r="CU136" s="656">
        <v>0</v>
      </c>
      <c r="CV136" s="656">
        <v>0</v>
      </c>
      <c r="CW136" s="656">
        <v>0</v>
      </c>
      <c r="CX136" s="656">
        <v>0</v>
      </c>
      <c r="CZ136" s="656" t="e">
        <v>#NAME?</v>
      </c>
      <c r="DB136" s="156" t="s">
        <v>382</v>
      </c>
      <c r="DG136" s="156" t="e">
        <v>#VALUE!</v>
      </c>
    </row>
    <row r="137" spans="1:111" ht="12.75">
      <c r="A137" s="167" t="s">
        <v>381</v>
      </c>
      <c r="B137" s="655"/>
      <c r="C137" s="655"/>
      <c r="D137" s="655"/>
      <c r="E137" s="655"/>
      <c r="F137" s="655"/>
      <c r="G137" s="655"/>
      <c r="H137" s="655"/>
      <c r="I137" s="655"/>
      <c r="J137" s="655"/>
      <c r="K137" s="655"/>
      <c r="L137" s="655"/>
      <c r="M137" s="655"/>
      <c r="N137" s="655"/>
      <c r="O137" s="655"/>
      <c r="P137" s="655"/>
      <c r="Q137" s="655"/>
      <c r="R137" s="655"/>
      <c r="S137" s="655"/>
      <c r="T137" s="655"/>
      <c r="U137" s="655">
        <v>1139.4001000000001</v>
      </c>
      <c r="V137" s="655">
        <v>956.77125623000006</v>
      </c>
      <c r="W137" s="655">
        <v>1452.0113711700001</v>
      </c>
      <c r="X137" s="655">
        <v>2130.00308275</v>
      </c>
      <c r="Y137" s="655">
        <v>3415.0878716999996</v>
      </c>
      <c r="Z137" s="655">
        <v>6705.6989389300006</v>
      </c>
      <c r="AA137" s="655">
        <v>8047.3398296000005</v>
      </c>
      <c r="AB137" s="655">
        <v>14845.041765219999</v>
      </c>
      <c r="AC137" s="655"/>
      <c r="AD137" s="158"/>
      <c r="AE137" s="158"/>
      <c r="AF137" s="655"/>
      <c r="AG137" s="655"/>
      <c r="AH137" s="655"/>
      <c r="AI137" s="655"/>
      <c r="AJ137" s="655"/>
      <c r="AK137" s="655"/>
      <c r="AL137" s="655"/>
      <c r="AM137" s="655"/>
      <c r="AN137" s="655"/>
      <c r="AO137" s="655"/>
      <c r="AP137" s="655"/>
      <c r="AQ137" s="655"/>
      <c r="AR137" s="655"/>
      <c r="AS137" s="655"/>
      <c r="AT137" s="655"/>
      <c r="AU137" s="655"/>
      <c r="AV137" s="655"/>
      <c r="AW137" s="655"/>
      <c r="AX137" s="655"/>
      <c r="AY137" s="655"/>
      <c r="AZ137" s="655"/>
      <c r="BA137" s="655"/>
      <c r="BB137" s="655"/>
      <c r="BC137" s="655"/>
      <c r="BD137" s="655"/>
      <c r="BE137" s="655"/>
      <c r="BF137" s="655"/>
      <c r="BG137" s="655"/>
      <c r="BH137" s="655"/>
      <c r="BI137" s="655"/>
      <c r="BJ137" s="655"/>
      <c r="BK137" s="655"/>
      <c r="BL137" s="655"/>
      <c r="BM137" s="655"/>
      <c r="BN137" s="655"/>
      <c r="BO137" s="655"/>
      <c r="BP137" s="655"/>
      <c r="BQ137" s="655"/>
      <c r="BR137" s="655"/>
      <c r="BS137" s="655"/>
      <c r="BT137" s="655"/>
      <c r="BU137" s="655"/>
      <c r="BV137" s="655"/>
      <c r="BW137" s="655"/>
      <c r="BX137" s="655"/>
      <c r="BY137" s="655"/>
      <c r="BZ137" s="655"/>
      <c r="CA137" s="655"/>
      <c r="CB137" s="655"/>
      <c r="CC137" s="655">
        <v>1741.5815</v>
      </c>
      <c r="CD137" s="655"/>
      <c r="CE137" s="655">
        <v>2130.00308275</v>
      </c>
      <c r="CF137" s="655">
        <v>2000.33270844</v>
      </c>
      <c r="CG137" s="655">
        <v>2642.4398603099999</v>
      </c>
      <c r="CH137" s="655">
        <v>2491.0344399200003</v>
      </c>
      <c r="CI137" s="655">
        <v>3415.0878716999996</v>
      </c>
      <c r="CJ137" s="655">
        <v>4847.9116822799997</v>
      </c>
      <c r="CK137" s="655">
        <v>5136.3642711599996</v>
      </c>
      <c r="CL137" s="655">
        <v>5578.5653012499997</v>
      </c>
      <c r="CM137" s="655">
        <v>6705.6989389300006</v>
      </c>
      <c r="CN137" s="655">
        <v>7178.2280781199997</v>
      </c>
      <c r="CO137" s="655">
        <v>7958.9850367600002</v>
      </c>
      <c r="CP137" s="655">
        <v>8467.2121059300007</v>
      </c>
      <c r="CQ137" s="655">
        <v>8047.3398296000005</v>
      </c>
      <c r="CR137" s="655">
        <v>8401.1192036299999</v>
      </c>
      <c r="CS137" s="655">
        <v>11158.312126360001</v>
      </c>
      <c r="CT137" s="655">
        <v>12761.53200431</v>
      </c>
      <c r="CU137" s="655">
        <v>14845.041765219999</v>
      </c>
      <c r="CV137" s="655">
        <v>13877.8962601</v>
      </c>
      <c r="CW137" s="655">
        <v>13703.496744729999</v>
      </c>
      <c r="CX137" s="655">
        <v>14661.4462183</v>
      </c>
      <c r="CZ137" s="655" t="e">
        <v>#NAME?</v>
      </c>
      <c r="DB137" s="156" t="s">
        <v>381</v>
      </c>
      <c r="DG137" s="156">
        <v>22676.3</v>
      </c>
    </row>
    <row r="138" spans="1:111">
      <c r="A138" s="167" t="s">
        <v>380</v>
      </c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58"/>
      <c r="AB138" s="658"/>
      <c r="AC138" s="658"/>
      <c r="AD138" s="158"/>
      <c r="AE138" s="158"/>
      <c r="AF138" s="658"/>
      <c r="AG138" s="658"/>
      <c r="AH138" s="658"/>
      <c r="AI138" s="658"/>
      <c r="AJ138" s="658"/>
      <c r="AK138" s="658"/>
      <c r="AL138" s="658"/>
      <c r="AM138" s="658"/>
      <c r="AN138" s="658"/>
      <c r="AO138" s="658"/>
      <c r="AP138" s="658"/>
      <c r="AQ138" s="658"/>
      <c r="AR138" s="658"/>
      <c r="AS138" s="658"/>
      <c r="AT138" s="658"/>
      <c r="AU138" s="658"/>
      <c r="AV138" s="658"/>
      <c r="AW138" s="658"/>
      <c r="AX138" s="658"/>
      <c r="AY138" s="658"/>
      <c r="AZ138" s="658"/>
      <c r="BA138" s="658"/>
      <c r="BB138" s="658"/>
      <c r="BC138" s="658"/>
      <c r="BD138" s="658"/>
      <c r="BE138" s="658"/>
      <c r="BF138" s="658"/>
      <c r="BG138" s="658"/>
      <c r="BH138" s="658"/>
      <c r="BI138" s="658"/>
      <c r="BJ138" s="658"/>
      <c r="BK138" s="658"/>
      <c r="BL138" s="658"/>
      <c r="BM138" s="658"/>
      <c r="BN138" s="658"/>
      <c r="BO138" s="658"/>
      <c r="BP138" s="658"/>
      <c r="BQ138" s="658"/>
      <c r="BR138" s="658"/>
      <c r="BS138" s="658"/>
      <c r="BT138" s="658"/>
      <c r="BU138" s="658"/>
      <c r="BV138" s="658"/>
      <c r="BW138" s="658"/>
      <c r="BX138" s="658"/>
      <c r="BY138" s="658"/>
      <c r="BZ138" s="658"/>
      <c r="CA138" s="658"/>
      <c r="CB138" s="658"/>
      <c r="CC138" s="658"/>
      <c r="CD138" s="658"/>
      <c r="CE138" s="658"/>
      <c r="CF138" s="658"/>
      <c r="CG138" s="658"/>
      <c r="CH138" s="658"/>
      <c r="CI138" s="658"/>
      <c r="CJ138" s="658"/>
      <c r="CK138" s="658"/>
      <c r="CL138" s="658"/>
      <c r="CM138" s="658"/>
      <c r="CN138" s="658"/>
      <c r="CO138" s="658"/>
      <c r="CP138" s="658"/>
      <c r="CQ138" s="658"/>
      <c r="CR138" s="658"/>
      <c r="CS138" s="658"/>
      <c r="CT138" s="658"/>
      <c r="CU138" s="658"/>
      <c r="CV138" s="658"/>
      <c r="CW138" s="658"/>
      <c r="CX138" s="658"/>
      <c r="CZ138" s="658"/>
      <c r="DB138" s="156" t="s">
        <v>380</v>
      </c>
    </row>
    <row r="139" spans="1:111" ht="12.75">
      <c r="A139" s="165" t="s">
        <v>379</v>
      </c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6"/>
      <c r="P139" s="656"/>
      <c r="Q139" s="656"/>
      <c r="R139" s="656"/>
      <c r="S139" s="656"/>
      <c r="T139" s="656"/>
      <c r="U139" s="656"/>
      <c r="V139" s="656">
        <v>50</v>
      </c>
      <c r="W139" s="656">
        <v>236.875</v>
      </c>
      <c r="X139" s="656">
        <v>301.72664379000003</v>
      </c>
      <c r="Y139" s="656">
        <v>25.824999999999999</v>
      </c>
      <c r="Z139" s="656"/>
      <c r="AA139" s="656">
        <v>220</v>
      </c>
      <c r="AB139" s="656">
        <v>0</v>
      </c>
      <c r="AC139" s="656"/>
      <c r="AD139" s="158"/>
      <c r="AE139" s="158"/>
      <c r="AF139" s="656"/>
      <c r="AG139" s="656"/>
      <c r="AH139" s="656"/>
      <c r="AI139" s="656"/>
      <c r="AJ139" s="656"/>
      <c r="AK139" s="656"/>
      <c r="AL139" s="656"/>
      <c r="AM139" s="656"/>
      <c r="AN139" s="656"/>
      <c r="AO139" s="656"/>
      <c r="AP139" s="656"/>
      <c r="AQ139" s="656"/>
      <c r="AR139" s="656"/>
      <c r="AS139" s="656"/>
      <c r="AT139" s="656"/>
      <c r="AU139" s="656"/>
      <c r="AV139" s="656"/>
      <c r="AW139" s="656"/>
      <c r="AX139" s="656"/>
      <c r="AY139" s="656"/>
      <c r="AZ139" s="656"/>
      <c r="BA139" s="656"/>
      <c r="BB139" s="656"/>
      <c r="BC139" s="656"/>
      <c r="BD139" s="656"/>
      <c r="BE139" s="656"/>
      <c r="BF139" s="656"/>
      <c r="BG139" s="656"/>
      <c r="BH139" s="656"/>
      <c r="BI139" s="656"/>
      <c r="BJ139" s="656"/>
      <c r="BK139" s="656"/>
      <c r="BL139" s="656"/>
      <c r="BM139" s="656"/>
      <c r="BN139" s="656"/>
      <c r="BO139" s="656"/>
      <c r="BP139" s="656"/>
      <c r="BQ139" s="656"/>
      <c r="BR139" s="656"/>
      <c r="BS139" s="656"/>
      <c r="BT139" s="656"/>
      <c r="BU139" s="656"/>
      <c r="BV139" s="656"/>
      <c r="BW139" s="656"/>
      <c r="BX139" s="656"/>
      <c r="BY139" s="656"/>
      <c r="BZ139" s="656"/>
      <c r="CA139" s="656"/>
      <c r="CB139" s="656"/>
      <c r="CC139" s="656">
        <v>254.7</v>
      </c>
      <c r="CD139" s="656"/>
      <c r="CE139" s="656">
        <v>301.72664379000003</v>
      </c>
      <c r="CF139" s="656">
        <v>314.88664378999999</v>
      </c>
      <c r="CG139" s="656">
        <v>41</v>
      </c>
      <c r="CH139" s="656">
        <v>33.412500000000001</v>
      </c>
      <c r="CI139" s="656">
        <v>25.824999999999999</v>
      </c>
      <c r="CJ139" s="656">
        <v>18.237500000000001</v>
      </c>
      <c r="CK139" s="656">
        <v>10.65</v>
      </c>
      <c r="CL139" s="656">
        <v>3.0625</v>
      </c>
      <c r="CM139" s="656"/>
      <c r="CN139" s="656"/>
      <c r="CO139" s="656">
        <v>20.01277777</v>
      </c>
      <c r="CP139" s="656">
        <v>86.012777760000006</v>
      </c>
      <c r="CQ139" s="656">
        <v>220</v>
      </c>
      <c r="CR139" s="656">
        <v>300</v>
      </c>
      <c r="CS139" s="656">
        <v>300</v>
      </c>
      <c r="CT139" s="656">
        <v>0</v>
      </c>
      <c r="CU139" s="656">
        <v>0</v>
      </c>
      <c r="CV139" s="656">
        <v>0</v>
      </c>
      <c r="CW139" s="656">
        <v>0</v>
      </c>
      <c r="CX139" s="656">
        <v>0</v>
      </c>
      <c r="CZ139" s="656" t="e">
        <v>#NAME?</v>
      </c>
      <c r="DB139" s="156" t="s">
        <v>379</v>
      </c>
    </row>
    <row r="140" spans="1:111" ht="12.75">
      <c r="A140" s="165" t="s">
        <v>378</v>
      </c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6"/>
      <c r="P140" s="656"/>
      <c r="Q140" s="656"/>
      <c r="R140" s="656"/>
      <c r="S140" s="656"/>
      <c r="T140" s="656"/>
      <c r="U140" s="656">
        <v>35</v>
      </c>
      <c r="V140" s="656"/>
      <c r="W140" s="656"/>
      <c r="X140" s="656"/>
      <c r="Y140" s="656">
        <v>0</v>
      </c>
      <c r="Z140" s="656"/>
      <c r="AA140" s="656"/>
      <c r="AB140" s="656">
        <v>0</v>
      </c>
      <c r="AC140" s="656"/>
      <c r="AD140" s="158"/>
      <c r="AE140" s="158"/>
      <c r="AF140" s="656"/>
      <c r="AG140" s="656"/>
      <c r="AH140" s="656"/>
      <c r="AI140" s="656"/>
      <c r="AJ140" s="656"/>
      <c r="AK140" s="656"/>
      <c r="AL140" s="656"/>
      <c r="AM140" s="656"/>
      <c r="AN140" s="656"/>
      <c r="AO140" s="656"/>
      <c r="AP140" s="656"/>
      <c r="AQ140" s="656"/>
      <c r="AR140" s="656"/>
      <c r="AS140" s="656"/>
      <c r="AT140" s="656"/>
      <c r="AU140" s="656"/>
      <c r="AV140" s="656"/>
      <c r="AW140" s="656"/>
      <c r="AX140" s="656"/>
      <c r="AY140" s="656"/>
      <c r="AZ140" s="656"/>
      <c r="BA140" s="656"/>
      <c r="BB140" s="656"/>
      <c r="BC140" s="656"/>
      <c r="BD140" s="656"/>
      <c r="BE140" s="656"/>
      <c r="BF140" s="656"/>
      <c r="BG140" s="656"/>
      <c r="BH140" s="656"/>
      <c r="BI140" s="656"/>
      <c r="BJ140" s="656"/>
      <c r="BK140" s="656"/>
      <c r="BL140" s="656"/>
      <c r="BM140" s="656"/>
      <c r="BN140" s="656"/>
      <c r="BO140" s="656"/>
      <c r="BP140" s="656"/>
      <c r="BQ140" s="656"/>
      <c r="BR140" s="656"/>
      <c r="BS140" s="656"/>
      <c r="BT140" s="656"/>
      <c r="BU140" s="656"/>
      <c r="BV140" s="656"/>
      <c r="BW140" s="656"/>
      <c r="BX140" s="656"/>
      <c r="BY140" s="656"/>
      <c r="BZ140" s="656"/>
      <c r="CA140" s="656"/>
      <c r="CB140" s="656"/>
      <c r="CC140" s="656"/>
      <c r="CD140" s="656"/>
      <c r="CE140" s="656"/>
      <c r="CF140" s="656"/>
      <c r="CG140" s="656"/>
      <c r="CH140" s="656"/>
      <c r="CI140" s="656"/>
      <c r="CJ140" s="656"/>
      <c r="CK140" s="656"/>
      <c r="CL140" s="656"/>
      <c r="CM140" s="656"/>
      <c r="CN140" s="656"/>
      <c r="CO140" s="656"/>
      <c r="CP140" s="656"/>
      <c r="CQ140" s="656"/>
      <c r="CR140" s="656"/>
      <c r="CS140" s="656">
        <v>0</v>
      </c>
      <c r="CT140" s="656">
        <v>0</v>
      </c>
      <c r="CU140" s="656">
        <v>0</v>
      </c>
      <c r="CV140" s="656">
        <v>0</v>
      </c>
      <c r="CW140" s="656">
        <v>0</v>
      </c>
      <c r="CX140" s="656">
        <v>0</v>
      </c>
      <c r="CZ140" s="656" t="e">
        <v>#NAME?</v>
      </c>
      <c r="DB140" s="156" t="s">
        <v>378</v>
      </c>
    </row>
    <row r="141" spans="1:111" s="808" customFormat="1" ht="12.75">
      <c r="A141" s="806" t="s">
        <v>1113</v>
      </c>
      <c r="B141" s="736"/>
      <c r="C141" s="736"/>
      <c r="D141" s="736"/>
      <c r="E141" s="736"/>
      <c r="F141" s="736"/>
      <c r="G141" s="736"/>
      <c r="H141" s="736"/>
      <c r="I141" s="736"/>
      <c r="J141" s="736"/>
      <c r="K141" s="736"/>
      <c r="L141" s="736"/>
      <c r="M141" s="736"/>
      <c r="N141" s="736"/>
      <c r="O141" s="736"/>
      <c r="P141" s="736"/>
      <c r="Q141" s="736"/>
      <c r="R141" s="736"/>
      <c r="S141" s="736"/>
      <c r="T141" s="736"/>
      <c r="U141" s="736" t="s">
        <v>1181</v>
      </c>
      <c r="V141" s="736" t="s">
        <v>1181</v>
      </c>
      <c r="W141" s="736" t="s">
        <v>1181</v>
      </c>
      <c r="X141" s="736" t="s">
        <v>1181</v>
      </c>
      <c r="Y141" s="736">
        <v>94.317364269999999</v>
      </c>
      <c r="Z141" s="736">
        <v>85.244622440000001</v>
      </c>
      <c r="AA141" s="736">
        <v>95.386367700000008</v>
      </c>
      <c r="AB141" s="736">
        <v>85.454382379999998</v>
      </c>
      <c r="AC141" s="736"/>
      <c r="AD141" s="807"/>
      <c r="AE141" s="807"/>
      <c r="AF141" s="736"/>
      <c r="AG141" s="736"/>
      <c r="AH141" s="736"/>
      <c r="AI141" s="736"/>
      <c r="AJ141" s="736"/>
      <c r="AK141" s="736"/>
      <c r="AL141" s="736"/>
      <c r="AM141" s="736"/>
      <c r="AN141" s="736"/>
      <c r="AO141" s="736"/>
      <c r="AP141" s="736"/>
      <c r="AQ141" s="736"/>
      <c r="AR141" s="736"/>
      <c r="AS141" s="736"/>
      <c r="AT141" s="736"/>
      <c r="AU141" s="736"/>
      <c r="AV141" s="736"/>
      <c r="AW141" s="736"/>
      <c r="AX141" s="736"/>
      <c r="AY141" s="736"/>
      <c r="AZ141" s="736"/>
      <c r="BA141" s="736"/>
      <c r="BB141" s="736"/>
      <c r="BC141" s="736"/>
      <c r="BD141" s="736"/>
      <c r="BE141" s="736"/>
      <c r="BF141" s="736"/>
      <c r="BG141" s="736"/>
      <c r="BH141" s="736"/>
      <c r="BI141" s="736"/>
      <c r="BJ141" s="736"/>
      <c r="BK141" s="736"/>
      <c r="BL141" s="736"/>
      <c r="BM141" s="736"/>
      <c r="BN141" s="736"/>
      <c r="BO141" s="736"/>
      <c r="BP141" s="736"/>
      <c r="BQ141" s="736"/>
      <c r="BR141" s="736"/>
      <c r="BS141" s="736"/>
      <c r="BT141" s="736"/>
      <c r="BU141" s="736"/>
      <c r="BV141" s="736"/>
      <c r="BW141" s="736"/>
      <c r="BX141" s="736"/>
      <c r="BY141" s="736"/>
      <c r="BZ141" s="736"/>
      <c r="CA141" s="736"/>
      <c r="CB141" s="736" t="s">
        <v>1181</v>
      </c>
      <c r="CC141" s="736" t="s">
        <v>1181</v>
      </c>
      <c r="CD141" s="736" t="s">
        <v>1181</v>
      </c>
      <c r="CE141" s="736" t="s">
        <v>1181</v>
      </c>
      <c r="CF141" s="736">
        <v>75.093108920000006</v>
      </c>
      <c r="CG141" s="736">
        <v>77.33385426000001</v>
      </c>
      <c r="CH141" s="736">
        <v>96.66292304000001</v>
      </c>
      <c r="CI141" s="736">
        <v>94.317364269999999</v>
      </c>
      <c r="CJ141" s="736">
        <v>91.185890090000001</v>
      </c>
      <c r="CK141" s="736">
        <v>88.60663812</v>
      </c>
      <c r="CL141" s="736">
        <v>85.243573120000008</v>
      </c>
      <c r="CM141" s="736">
        <v>85.244622440000001</v>
      </c>
      <c r="CN141" s="736">
        <v>82.519210659999999</v>
      </c>
      <c r="CO141" s="736">
        <v>79.818118170000005</v>
      </c>
      <c r="CP141" s="736">
        <v>75.862076829999992</v>
      </c>
      <c r="CQ141" s="736">
        <v>95.386367700000008</v>
      </c>
      <c r="CR141" s="736">
        <v>92.933580550000002</v>
      </c>
      <c r="CS141" s="656">
        <v>91.631272469999999</v>
      </c>
      <c r="CT141" s="656">
        <v>86.597679049999996</v>
      </c>
      <c r="CU141" s="656">
        <v>85.454382379999998</v>
      </c>
      <c r="CV141" s="656">
        <v>84.09067211</v>
      </c>
      <c r="CW141" s="656">
        <v>415.15971466000002</v>
      </c>
      <c r="CX141" s="656">
        <v>410.85987997000001</v>
      </c>
      <c r="CZ141" s="656" t="e">
        <v>#NAME?</v>
      </c>
    </row>
    <row r="142" spans="1:111" ht="12.75">
      <c r="A142" s="165" t="s">
        <v>377</v>
      </c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6"/>
      <c r="P142" s="656"/>
      <c r="Q142" s="656"/>
      <c r="R142" s="656"/>
      <c r="S142" s="656"/>
      <c r="T142" s="656"/>
      <c r="U142" s="656"/>
      <c r="V142" s="656"/>
      <c r="W142" s="656"/>
      <c r="X142" s="656"/>
      <c r="Y142" s="656">
        <v>0</v>
      </c>
      <c r="Z142" s="656"/>
      <c r="AA142" s="656"/>
      <c r="AB142" s="656">
        <v>0</v>
      </c>
      <c r="AC142" s="656"/>
      <c r="AD142" s="158"/>
      <c r="AE142" s="158"/>
      <c r="AF142" s="656"/>
      <c r="AG142" s="656"/>
      <c r="AH142" s="656"/>
      <c r="AI142" s="656"/>
      <c r="AJ142" s="656"/>
      <c r="AK142" s="656"/>
      <c r="AL142" s="656"/>
      <c r="AM142" s="656"/>
      <c r="AN142" s="656"/>
      <c r="AO142" s="656"/>
      <c r="AP142" s="656"/>
      <c r="AQ142" s="656"/>
      <c r="AR142" s="656"/>
      <c r="AS142" s="656"/>
      <c r="AT142" s="656"/>
      <c r="AU142" s="656"/>
      <c r="AV142" s="656"/>
      <c r="AW142" s="656"/>
      <c r="AX142" s="656"/>
      <c r="AY142" s="656"/>
      <c r="AZ142" s="656"/>
      <c r="BA142" s="656"/>
      <c r="BB142" s="656"/>
      <c r="BC142" s="656"/>
      <c r="BD142" s="656"/>
      <c r="BE142" s="656"/>
      <c r="BF142" s="656"/>
      <c r="BG142" s="656"/>
      <c r="BH142" s="656"/>
      <c r="BI142" s="656"/>
      <c r="BJ142" s="656"/>
      <c r="BK142" s="656"/>
      <c r="BL142" s="656"/>
      <c r="BM142" s="656"/>
      <c r="BN142" s="656"/>
      <c r="BO142" s="656"/>
      <c r="BP142" s="656"/>
      <c r="BQ142" s="656"/>
      <c r="BR142" s="656"/>
      <c r="BS142" s="656"/>
      <c r="BT142" s="656"/>
      <c r="BU142" s="656"/>
      <c r="BV142" s="656"/>
      <c r="BW142" s="656"/>
      <c r="BX142" s="656"/>
      <c r="BY142" s="656"/>
      <c r="BZ142" s="656"/>
      <c r="CA142" s="656"/>
      <c r="CB142" s="656"/>
      <c r="CC142" s="656"/>
      <c r="CD142" s="656"/>
      <c r="CE142" s="656"/>
      <c r="CF142" s="656"/>
      <c r="CG142" s="656"/>
      <c r="CH142" s="656"/>
      <c r="CI142" s="656"/>
      <c r="CJ142" s="656"/>
      <c r="CK142" s="656"/>
      <c r="CL142" s="656"/>
      <c r="CM142" s="656"/>
      <c r="CN142" s="656"/>
      <c r="CO142" s="656"/>
      <c r="CP142" s="656"/>
      <c r="CQ142" s="656"/>
      <c r="CR142" s="656"/>
      <c r="CS142" s="656">
        <v>0</v>
      </c>
      <c r="CT142" s="656">
        <v>0</v>
      </c>
      <c r="CU142" s="656">
        <v>0</v>
      </c>
      <c r="CV142" s="656">
        <v>0</v>
      </c>
      <c r="CW142" s="656">
        <v>0</v>
      </c>
      <c r="CX142" s="656">
        <v>0</v>
      </c>
      <c r="CZ142" s="656" t="e">
        <v>#NAME?</v>
      </c>
      <c r="DB142" s="156" t="s">
        <v>377</v>
      </c>
    </row>
    <row r="143" spans="1:111" ht="12.75">
      <c r="A143" s="165" t="s">
        <v>376</v>
      </c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6"/>
      <c r="P143" s="656"/>
      <c r="Q143" s="656"/>
      <c r="R143" s="656"/>
      <c r="S143" s="656"/>
      <c r="T143" s="656"/>
      <c r="U143" s="656"/>
      <c r="V143" s="656"/>
      <c r="W143" s="656"/>
      <c r="X143" s="656"/>
      <c r="Y143" s="656">
        <v>0</v>
      </c>
      <c r="Z143" s="656"/>
      <c r="AA143" s="656"/>
      <c r="AB143" s="656">
        <v>0</v>
      </c>
      <c r="AC143" s="656"/>
      <c r="AD143" s="158"/>
      <c r="AE143" s="158"/>
      <c r="AF143" s="656"/>
      <c r="AG143" s="656"/>
      <c r="AH143" s="656"/>
      <c r="AI143" s="656"/>
      <c r="AJ143" s="656"/>
      <c r="AK143" s="656"/>
      <c r="AL143" s="656"/>
      <c r="AM143" s="656"/>
      <c r="AN143" s="656"/>
      <c r="AO143" s="656"/>
      <c r="AP143" s="656"/>
      <c r="AQ143" s="656"/>
      <c r="AR143" s="656"/>
      <c r="AS143" s="656"/>
      <c r="AT143" s="656"/>
      <c r="AU143" s="656"/>
      <c r="AV143" s="656"/>
      <c r="AW143" s="656"/>
      <c r="AX143" s="656"/>
      <c r="AY143" s="656"/>
      <c r="AZ143" s="656"/>
      <c r="BA143" s="656"/>
      <c r="BB143" s="656"/>
      <c r="BC143" s="656"/>
      <c r="BD143" s="656"/>
      <c r="BE143" s="656"/>
      <c r="BF143" s="656"/>
      <c r="BG143" s="656"/>
      <c r="BH143" s="656"/>
      <c r="BI143" s="656"/>
      <c r="BJ143" s="656"/>
      <c r="BK143" s="656"/>
      <c r="BL143" s="656"/>
      <c r="BM143" s="656"/>
      <c r="BN143" s="656"/>
      <c r="BO143" s="656"/>
      <c r="BP143" s="656"/>
      <c r="BQ143" s="656"/>
      <c r="BR143" s="656"/>
      <c r="BS143" s="656"/>
      <c r="BT143" s="656"/>
      <c r="BU143" s="656"/>
      <c r="BV143" s="656"/>
      <c r="BW143" s="656"/>
      <c r="BX143" s="656"/>
      <c r="BY143" s="656"/>
      <c r="BZ143" s="656"/>
      <c r="CA143" s="656"/>
      <c r="CB143" s="656"/>
      <c r="CC143" s="656"/>
      <c r="CD143" s="656"/>
      <c r="CE143" s="656"/>
      <c r="CF143" s="656"/>
      <c r="CG143" s="656"/>
      <c r="CH143" s="656"/>
      <c r="CI143" s="656"/>
      <c r="CJ143" s="656"/>
      <c r="CK143" s="656"/>
      <c r="CL143" s="656"/>
      <c r="CM143" s="656"/>
      <c r="CN143" s="656"/>
      <c r="CO143" s="656"/>
      <c r="CP143" s="656"/>
      <c r="CQ143" s="656"/>
      <c r="CR143" s="656"/>
      <c r="CS143" s="656">
        <v>0</v>
      </c>
      <c r="CT143" s="656">
        <v>0</v>
      </c>
      <c r="CU143" s="656">
        <v>0</v>
      </c>
      <c r="CV143" s="656">
        <v>0</v>
      </c>
      <c r="CW143" s="656">
        <v>0</v>
      </c>
      <c r="CX143" s="656">
        <v>0</v>
      </c>
      <c r="CZ143" s="656" t="e">
        <v>#NAME?</v>
      </c>
      <c r="DB143" s="156" t="s">
        <v>376</v>
      </c>
      <c r="DG143" s="156">
        <v>20430.14</v>
      </c>
    </row>
    <row r="144" spans="1:111" ht="12.75">
      <c r="A144" s="165" t="s">
        <v>375</v>
      </c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6"/>
      <c r="P144" s="656"/>
      <c r="Q144" s="656"/>
      <c r="R144" s="656"/>
      <c r="S144" s="656"/>
      <c r="T144" s="656"/>
      <c r="U144" s="656"/>
      <c r="V144" s="656">
        <v>1.2543094800000001</v>
      </c>
      <c r="W144" s="656"/>
      <c r="X144" s="656"/>
      <c r="Y144" s="656">
        <v>0</v>
      </c>
      <c r="Z144" s="656"/>
      <c r="AA144" s="656"/>
      <c r="AB144" s="656">
        <v>0</v>
      </c>
      <c r="AC144" s="656"/>
      <c r="AD144" s="158"/>
      <c r="AE144" s="158"/>
      <c r="AF144" s="656"/>
      <c r="AG144" s="656"/>
      <c r="AH144" s="656"/>
      <c r="AI144" s="656"/>
      <c r="AJ144" s="656"/>
      <c r="AK144" s="656"/>
      <c r="AL144" s="656"/>
      <c r="AM144" s="656"/>
      <c r="AN144" s="656"/>
      <c r="AO144" s="656"/>
      <c r="AP144" s="656"/>
      <c r="AQ144" s="656"/>
      <c r="AR144" s="656"/>
      <c r="AS144" s="656"/>
      <c r="AT144" s="656"/>
      <c r="AU144" s="656"/>
      <c r="AV144" s="656"/>
      <c r="AW144" s="656"/>
      <c r="AX144" s="656"/>
      <c r="AY144" s="656"/>
      <c r="AZ144" s="656"/>
      <c r="BA144" s="656"/>
      <c r="BB144" s="656"/>
      <c r="BC144" s="656"/>
      <c r="BD144" s="656"/>
      <c r="BE144" s="656"/>
      <c r="BF144" s="656"/>
      <c r="BG144" s="656"/>
      <c r="BH144" s="656"/>
      <c r="BI144" s="656"/>
      <c r="BJ144" s="656"/>
      <c r="BK144" s="656"/>
      <c r="BL144" s="656"/>
      <c r="BM144" s="656"/>
      <c r="BN144" s="656"/>
      <c r="BO144" s="656"/>
      <c r="BP144" s="656"/>
      <c r="BQ144" s="656"/>
      <c r="BR144" s="656"/>
      <c r="BS144" s="656"/>
      <c r="BT144" s="656"/>
      <c r="BU144" s="656"/>
      <c r="BV144" s="656"/>
      <c r="BW144" s="656"/>
      <c r="BX144" s="656"/>
      <c r="BY144" s="656"/>
      <c r="BZ144" s="656"/>
      <c r="CA144" s="656"/>
      <c r="CB144" s="656"/>
      <c r="CC144" s="656"/>
      <c r="CD144" s="656"/>
      <c r="CE144" s="656"/>
      <c r="CF144" s="656"/>
      <c r="CG144" s="656"/>
      <c r="CH144" s="656"/>
      <c r="CI144" s="656"/>
      <c r="CJ144" s="656"/>
      <c r="CK144" s="656"/>
      <c r="CL144" s="656"/>
      <c r="CM144" s="656"/>
      <c r="CN144" s="656"/>
      <c r="CO144" s="656"/>
      <c r="CP144" s="656"/>
      <c r="CQ144" s="656"/>
      <c r="CR144" s="656"/>
      <c r="CS144" s="656">
        <v>0</v>
      </c>
      <c r="CT144" s="656">
        <v>0</v>
      </c>
      <c r="CU144" s="656">
        <v>0</v>
      </c>
      <c r="CV144" s="656">
        <v>0</v>
      </c>
      <c r="CW144" s="656">
        <v>0</v>
      </c>
      <c r="CX144" s="656">
        <v>0</v>
      </c>
      <c r="CZ144" s="656" t="e">
        <v>#NAME?</v>
      </c>
      <c r="DB144" s="156" t="s">
        <v>375</v>
      </c>
      <c r="DG144" s="156">
        <v>44.37</v>
      </c>
    </row>
    <row r="145" spans="1:111" ht="12.75">
      <c r="A145" s="165" t="s">
        <v>374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>
        <v>0.55322981999999998</v>
      </c>
      <c r="W145" s="656">
        <v>1.1834865700000001</v>
      </c>
      <c r="X145" s="656">
        <v>0.98638053000000003</v>
      </c>
      <c r="Y145" s="656">
        <v>4.01799705</v>
      </c>
      <c r="Z145" s="656">
        <v>0.74930797999999998</v>
      </c>
      <c r="AA145" s="656">
        <v>3.60535125</v>
      </c>
      <c r="AB145" s="656">
        <v>3.2687164100000001</v>
      </c>
      <c r="AC145" s="656"/>
      <c r="AD145" s="158"/>
      <c r="AE145" s="158"/>
      <c r="AF145" s="656"/>
      <c r="AG145" s="656"/>
      <c r="AH145" s="656"/>
      <c r="AI145" s="656"/>
      <c r="AJ145" s="656"/>
      <c r="AK145" s="656"/>
      <c r="AL145" s="656"/>
      <c r="AM145" s="656"/>
      <c r="AN145" s="656"/>
      <c r="AO145" s="656"/>
      <c r="AP145" s="656"/>
      <c r="AQ145" s="656"/>
      <c r="AR145" s="656"/>
      <c r="AS145" s="656"/>
      <c r="AT145" s="656"/>
      <c r="AU145" s="656"/>
      <c r="AV145" s="656"/>
      <c r="AW145" s="656"/>
      <c r="AX145" s="656"/>
      <c r="AY145" s="656"/>
      <c r="AZ145" s="656"/>
      <c r="BA145" s="656"/>
      <c r="BB145" s="656"/>
      <c r="BC145" s="656"/>
      <c r="BD145" s="656"/>
      <c r="BE145" s="656"/>
      <c r="BF145" s="656"/>
      <c r="BG145" s="656"/>
      <c r="BH145" s="656"/>
      <c r="BI145" s="656"/>
      <c r="BJ145" s="656"/>
      <c r="BK145" s="656"/>
      <c r="BL145" s="656"/>
      <c r="BM145" s="656"/>
      <c r="BN145" s="656"/>
      <c r="BO145" s="656"/>
      <c r="BP145" s="656"/>
      <c r="BQ145" s="656"/>
      <c r="BR145" s="656"/>
      <c r="BS145" s="656"/>
      <c r="BT145" s="656"/>
      <c r="BU145" s="656"/>
      <c r="BV145" s="656"/>
      <c r="BW145" s="656"/>
      <c r="BX145" s="656"/>
      <c r="BY145" s="656"/>
      <c r="BZ145" s="656"/>
      <c r="CA145" s="656"/>
      <c r="CB145" s="656"/>
      <c r="CC145" s="656">
        <v>1.1538999999999999</v>
      </c>
      <c r="CD145" s="656"/>
      <c r="CE145" s="656">
        <v>0.98638053000000003</v>
      </c>
      <c r="CF145" s="656">
        <v>0.95996961999999997</v>
      </c>
      <c r="CG145" s="656">
        <v>0.92894847999999997</v>
      </c>
      <c r="CH145" s="656">
        <v>2.7633322799999998</v>
      </c>
      <c r="CI145" s="656">
        <v>4.01799705</v>
      </c>
      <c r="CJ145" s="656">
        <v>2.9008897500000002</v>
      </c>
      <c r="CK145" s="656">
        <v>7.1511178600000003</v>
      </c>
      <c r="CL145" s="656">
        <v>0.96062099999999995</v>
      </c>
      <c r="CM145" s="656">
        <v>0.74930797999999998</v>
      </c>
      <c r="CN145" s="656">
        <v>0.7197208100000001</v>
      </c>
      <c r="CO145" s="656">
        <v>6.7872364699999999</v>
      </c>
      <c r="CP145" s="656">
        <v>5.8360346600000002</v>
      </c>
      <c r="CQ145" s="656">
        <v>3.60535125</v>
      </c>
      <c r="CR145" s="656">
        <v>10.0562103</v>
      </c>
      <c r="CS145" s="656">
        <v>2.1177896400000003</v>
      </c>
      <c r="CT145" s="656">
        <v>4.1741435299999994</v>
      </c>
      <c r="CU145" s="656">
        <v>3.2687164100000001</v>
      </c>
      <c r="CV145" s="656">
        <v>3.1794675200000002</v>
      </c>
      <c r="CW145" s="656">
        <v>0.71928137999999997</v>
      </c>
      <c r="CX145" s="656">
        <v>0.84299157999999996</v>
      </c>
      <c r="CZ145" s="656" t="e">
        <v>#NAME?</v>
      </c>
      <c r="DB145" s="156" t="s">
        <v>374</v>
      </c>
      <c r="DG145" s="156">
        <v>182.38</v>
      </c>
    </row>
    <row r="146" spans="1:111" ht="12.75">
      <c r="A146" s="165" t="s">
        <v>373</v>
      </c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6"/>
      <c r="P146" s="656"/>
      <c r="Q146" s="656"/>
      <c r="R146" s="656"/>
      <c r="S146" s="656"/>
      <c r="T146" s="656"/>
      <c r="U146" s="656"/>
      <c r="V146" s="656">
        <v>12.002923819999999</v>
      </c>
      <c r="W146" s="656">
        <v>15.44958596</v>
      </c>
      <c r="X146" s="656">
        <v>15.316965779999999</v>
      </c>
      <c r="Y146" s="656">
        <v>13.117385259999999</v>
      </c>
      <c r="Z146" s="656">
        <v>13.664405550000001</v>
      </c>
      <c r="AA146" s="656">
        <v>19.960515749999999</v>
      </c>
      <c r="AB146" s="656">
        <v>50.951298890000004</v>
      </c>
      <c r="AC146" s="656"/>
      <c r="AD146" s="158"/>
      <c r="AE146" s="158"/>
      <c r="AF146" s="656"/>
      <c r="AG146" s="656"/>
      <c r="AH146" s="656"/>
      <c r="AI146" s="656"/>
      <c r="AJ146" s="656"/>
      <c r="AK146" s="656"/>
      <c r="AL146" s="656"/>
      <c r="AM146" s="656"/>
      <c r="AN146" s="656"/>
      <c r="AO146" s="656"/>
      <c r="AP146" s="656"/>
      <c r="AQ146" s="656"/>
      <c r="AR146" s="656"/>
      <c r="AS146" s="656"/>
      <c r="AT146" s="656"/>
      <c r="AU146" s="656"/>
      <c r="AV146" s="656"/>
      <c r="AW146" s="656"/>
      <c r="AX146" s="656"/>
      <c r="AY146" s="656"/>
      <c r="AZ146" s="656"/>
      <c r="BA146" s="656"/>
      <c r="BB146" s="656"/>
      <c r="BC146" s="656"/>
      <c r="BD146" s="656"/>
      <c r="BE146" s="656"/>
      <c r="BF146" s="656"/>
      <c r="BG146" s="656"/>
      <c r="BH146" s="656"/>
      <c r="BI146" s="656"/>
      <c r="BJ146" s="656"/>
      <c r="BK146" s="656"/>
      <c r="BL146" s="656"/>
      <c r="BM146" s="656"/>
      <c r="BN146" s="656"/>
      <c r="BO146" s="656"/>
      <c r="BP146" s="656"/>
      <c r="BQ146" s="656"/>
      <c r="BR146" s="656"/>
      <c r="BS146" s="656"/>
      <c r="BT146" s="656"/>
      <c r="BU146" s="656"/>
      <c r="BV146" s="656"/>
      <c r="BW146" s="656"/>
      <c r="BX146" s="656"/>
      <c r="BY146" s="656"/>
      <c r="BZ146" s="656"/>
      <c r="CA146" s="656"/>
      <c r="CB146" s="656"/>
      <c r="CC146" s="656">
        <v>16.416799999999999</v>
      </c>
      <c r="CD146" s="656"/>
      <c r="CE146" s="656">
        <v>15.316965779999999</v>
      </c>
      <c r="CF146" s="656">
        <v>14.767070650000001</v>
      </c>
      <c r="CG146" s="656">
        <v>14.21717552</v>
      </c>
      <c r="CH146" s="656">
        <v>13.66728039</v>
      </c>
      <c r="CI146" s="656">
        <v>13.117385259999999</v>
      </c>
      <c r="CJ146" s="656">
        <v>12.567490150000001</v>
      </c>
      <c r="CK146" s="656">
        <v>12.017595</v>
      </c>
      <c r="CL146" s="656">
        <v>11.46769989</v>
      </c>
      <c r="CM146" s="656">
        <v>13.664405550000001</v>
      </c>
      <c r="CN146" s="656">
        <v>13.144504939999999</v>
      </c>
      <c r="CO146" s="656">
        <v>18.031147230000002</v>
      </c>
      <c r="CP146" s="656">
        <v>19.14268032</v>
      </c>
      <c r="CQ146" s="656">
        <v>19.960515749999999</v>
      </c>
      <c r="CR146" s="656">
        <v>24.01479475</v>
      </c>
      <c r="CS146" s="656">
        <v>30.388777050000002</v>
      </c>
      <c r="CT146" s="656">
        <v>34.372523210000004</v>
      </c>
      <c r="CU146" s="656">
        <v>50.951298890000004</v>
      </c>
      <c r="CV146" s="656">
        <v>54.777163219999998</v>
      </c>
      <c r="CW146" s="656">
        <v>56.901325970000002</v>
      </c>
      <c r="CX146" s="656">
        <v>68.982845339999997</v>
      </c>
      <c r="CZ146" s="656" t="e">
        <v>#NAME?</v>
      </c>
      <c r="DB146" s="156" t="s">
        <v>373</v>
      </c>
      <c r="DG146" s="156" t="e">
        <v>#VALUE!</v>
      </c>
    </row>
    <row r="147" spans="1:111" ht="12.75">
      <c r="A147" s="165" t="s">
        <v>372</v>
      </c>
      <c r="B147" s="656"/>
      <c r="C147" s="656"/>
      <c r="D147" s="656"/>
      <c r="E147" s="656"/>
      <c r="F147" s="656"/>
      <c r="G147" s="656"/>
      <c r="H147" s="656"/>
      <c r="I147" s="656"/>
      <c r="J147" s="656"/>
      <c r="K147" s="656"/>
      <c r="L147" s="656"/>
      <c r="M147" s="656"/>
      <c r="N147" s="656"/>
      <c r="O147" s="656"/>
      <c r="P147" s="656"/>
      <c r="Q147" s="656"/>
      <c r="R147" s="656"/>
      <c r="S147" s="656"/>
      <c r="T147" s="656"/>
      <c r="U147" s="656"/>
      <c r="V147" s="656"/>
      <c r="W147" s="656"/>
      <c r="X147" s="656"/>
      <c r="Y147" s="656">
        <v>0</v>
      </c>
      <c r="Z147" s="656"/>
      <c r="AA147" s="656"/>
      <c r="AB147" s="656">
        <v>0</v>
      </c>
      <c r="AC147" s="656"/>
      <c r="AD147" s="158"/>
      <c r="AE147" s="158"/>
      <c r="AF147" s="656"/>
      <c r="AG147" s="656"/>
      <c r="AH147" s="656"/>
      <c r="AI147" s="656"/>
      <c r="AJ147" s="656"/>
      <c r="AK147" s="656"/>
      <c r="AL147" s="656"/>
      <c r="AM147" s="656"/>
      <c r="AN147" s="656"/>
      <c r="AO147" s="656"/>
      <c r="AP147" s="656"/>
      <c r="AQ147" s="656"/>
      <c r="AR147" s="656"/>
      <c r="AS147" s="656"/>
      <c r="AT147" s="656"/>
      <c r="AU147" s="656"/>
      <c r="AV147" s="656"/>
      <c r="AW147" s="656"/>
      <c r="AX147" s="656"/>
      <c r="AY147" s="656"/>
      <c r="AZ147" s="656"/>
      <c r="BA147" s="656"/>
      <c r="BB147" s="656"/>
      <c r="BC147" s="656"/>
      <c r="BD147" s="656"/>
      <c r="BE147" s="656"/>
      <c r="BF147" s="656"/>
      <c r="BG147" s="656"/>
      <c r="BH147" s="656"/>
      <c r="BI147" s="656"/>
      <c r="BJ147" s="656"/>
      <c r="BK147" s="656"/>
      <c r="BL147" s="656"/>
      <c r="BM147" s="656"/>
      <c r="BN147" s="656"/>
      <c r="BO147" s="656"/>
      <c r="BP147" s="656"/>
      <c r="BQ147" s="656"/>
      <c r="BR147" s="656"/>
      <c r="BS147" s="656"/>
      <c r="BT147" s="656"/>
      <c r="BU147" s="656"/>
      <c r="BV147" s="656"/>
      <c r="BW147" s="656"/>
      <c r="BX147" s="656"/>
      <c r="BY147" s="656"/>
      <c r="BZ147" s="656"/>
      <c r="CA147" s="656"/>
      <c r="CB147" s="656"/>
      <c r="CC147" s="656"/>
      <c r="CD147" s="656"/>
      <c r="CE147" s="656"/>
      <c r="CF147" s="656"/>
      <c r="CG147" s="656"/>
      <c r="CH147" s="656"/>
      <c r="CI147" s="656"/>
      <c r="CJ147" s="656"/>
      <c r="CK147" s="656"/>
      <c r="CL147" s="656"/>
      <c r="CM147" s="656"/>
      <c r="CN147" s="656"/>
      <c r="CO147" s="656"/>
      <c r="CP147" s="656"/>
      <c r="CQ147" s="656"/>
      <c r="CR147" s="656"/>
      <c r="CS147" s="656">
        <v>0</v>
      </c>
      <c r="CT147" s="656">
        <v>0</v>
      </c>
      <c r="CU147" s="656">
        <v>0</v>
      </c>
      <c r="CV147" s="656">
        <v>0</v>
      </c>
      <c r="CW147" s="656">
        <v>0</v>
      </c>
      <c r="CX147" s="656">
        <v>0</v>
      </c>
      <c r="CZ147" s="656" t="e">
        <v>#NAME?</v>
      </c>
      <c r="DB147" s="156" t="s">
        <v>372</v>
      </c>
      <c r="DG147" s="156" t="e">
        <v>#VALUE!</v>
      </c>
    </row>
    <row r="148" spans="1:111" ht="12.75">
      <c r="A148" s="165" t="s">
        <v>371</v>
      </c>
      <c r="B148" s="656"/>
      <c r="C148" s="656"/>
      <c r="D148" s="656"/>
      <c r="E148" s="656"/>
      <c r="F148" s="656"/>
      <c r="G148" s="656"/>
      <c r="H148" s="656"/>
      <c r="I148" s="656"/>
      <c r="J148" s="656"/>
      <c r="K148" s="656"/>
      <c r="L148" s="656"/>
      <c r="M148" s="656"/>
      <c r="N148" s="656"/>
      <c r="O148" s="656"/>
      <c r="P148" s="656"/>
      <c r="Q148" s="656"/>
      <c r="R148" s="656"/>
      <c r="S148" s="656"/>
      <c r="T148" s="656"/>
      <c r="U148" s="656"/>
      <c r="V148" s="656"/>
      <c r="W148" s="656"/>
      <c r="X148" s="656"/>
      <c r="Y148" s="656">
        <v>0</v>
      </c>
      <c r="Z148" s="656"/>
      <c r="AA148" s="656"/>
      <c r="AB148" s="656">
        <v>0</v>
      </c>
      <c r="AC148" s="656"/>
      <c r="AD148" s="158"/>
      <c r="AE148" s="158"/>
      <c r="AF148" s="656"/>
      <c r="AG148" s="656"/>
      <c r="AH148" s="656"/>
      <c r="AI148" s="656"/>
      <c r="AJ148" s="656"/>
      <c r="AK148" s="656"/>
      <c r="AL148" s="656"/>
      <c r="AM148" s="656"/>
      <c r="AN148" s="656"/>
      <c r="AO148" s="656"/>
      <c r="AP148" s="656"/>
      <c r="AQ148" s="656"/>
      <c r="AR148" s="656"/>
      <c r="AS148" s="656"/>
      <c r="AT148" s="656"/>
      <c r="AU148" s="656"/>
      <c r="AV148" s="656"/>
      <c r="AW148" s="656"/>
      <c r="AX148" s="656"/>
      <c r="AY148" s="656"/>
      <c r="AZ148" s="656"/>
      <c r="BA148" s="656"/>
      <c r="BB148" s="656"/>
      <c r="BC148" s="656"/>
      <c r="BD148" s="656"/>
      <c r="BE148" s="656"/>
      <c r="BF148" s="656"/>
      <c r="BG148" s="656"/>
      <c r="BH148" s="656"/>
      <c r="BI148" s="656"/>
      <c r="BJ148" s="656"/>
      <c r="BK148" s="656"/>
      <c r="BL148" s="656"/>
      <c r="BM148" s="656"/>
      <c r="BN148" s="656"/>
      <c r="BO148" s="656"/>
      <c r="BP148" s="656"/>
      <c r="BQ148" s="656"/>
      <c r="BR148" s="656"/>
      <c r="BS148" s="656"/>
      <c r="BT148" s="656"/>
      <c r="BU148" s="656"/>
      <c r="BV148" s="656"/>
      <c r="BW148" s="656"/>
      <c r="BX148" s="656"/>
      <c r="BY148" s="656"/>
      <c r="BZ148" s="656"/>
      <c r="CA148" s="656"/>
      <c r="CB148" s="656"/>
      <c r="CC148" s="656"/>
      <c r="CD148" s="656"/>
      <c r="CE148" s="656"/>
      <c r="CF148" s="656"/>
      <c r="CG148" s="656"/>
      <c r="CH148" s="656"/>
      <c r="CI148" s="656"/>
      <c r="CJ148" s="656"/>
      <c r="CK148" s="656"/>
      <c r="CL148" s="656"/>
      <c r="CM148" s="656"/>
      <c r="CN148" s="656"/>
      <c r="CO148" s="656"/>
      <c r="CP148" s="656"/>
      <c r="CQ148" s="656"/>
      <c r="CR148" s="656"/>
      <c r="CS148" s="656">
        <v>0</v>
      </c>
      <c r="CT148" s="656">
        <v>0</v>
      </c>
      <c r="CU148" s="656">
        <v>0</v>
      </c>
      <c r="CV148" s="656">
        <v>0</v>
      </c>
      <c r="CW148" s="656">
        <v>0</v>
      </c>
      <c r="CX148" s="656">
        <v>0</v>
      </c>
      <c r="CZ148" s="656" t="e">
        <v>#NAME?</v>
      </c>
      <c r="DB148" s="156" t="s">
        <v>371</v>
      </c>
      <c r="DG148" s="156">
        <v>20656.88</v>
      </c>
    </row>
    <row r="149" spans="1:111" ht="12.75">
      <c r="A149" s="165" t="s">
        <v>370</v>
      </c>
      <c r="B149" s="656"/>
      <c r="C149" s="656"/>
      <c r="D149" s="656"/>
      <c r="E149" s="656"/>
      <c r="F149" s="656"/>
      <c r="G149" s="656"/>
      <c r="H149" s="656"/>
      <c r="I149" s="656"/>
      <c r="J149" s="656"/>
      <c r="K149" s="656"/>
      <c r="L149" s="656"/>
      <c r="M149" s="656"/>
      <c r="N149" s="656"/>
      <c r="O149" s="656"/>
      <c r="P149" s="656"/>
      <c r="Q149" s="656"/>
      <c r="R149" s="656"/>
      <c r="S149" s="656"/>
      <c r="T149" s="656"/>
      <c r="U149" s="656"/>
      <c r="V149" s="656"/>
      <c r="W149" s="656"/>
      <c r="X149" s="656"/>
      <c r="Y149" s="656">
        <v>0</v>
      </c>
      <c r="Z149" s="656"/>
      <c r="AA149" s="656"/>
      <c r="AB149" s="656">
        <v>0</v>
      </c>
      <c r="AC149" s="656"/>
      <c r="AD149" s="158"/>
      <c r="AE149" s="158"/>
      <c r="AF149" s="656"/>
      <c r="AG149" s="656"/>
      <c r="AH149" s="656"/>
      <c r="AI149" s="656"/>
      <c r="AJ149" s="656"/>
      <c r="AK149" s="656"/>
      <c r="AL149" s="656"/>
      <c r="AM149" s="656"/>
      <c r="AN149" s="656"/>
      <c r="AO149" s="656"/>
      <c r="AP149" s="656"/>
      <c r="AQ149" s="656"/>
      <c r="AR149" s="656"/>
      <c r="AS149" s="656"/>
      <c r="AT149" s="656"/>
      <c r="AU149" s="656"/>
      <c r="AV149" s="656"/>
      <c r="AW149" s="656"/>
      <c r="AX149" s="656"/>
      <c r="AY149" s="656"/>
      <c r="AZ149" s="656"/>
      <c r="BA149" s="656"/>
      <c r="BB149" s="656"/>
      <c r="BC149" s="656"/>
      <c r="BD149" s="656"/>
      <c r="BE149" s="656"/>
      <c r="BF149" s="656"/>
      <c r="BG149" s="656"/>
      <c r="BH149" s="656"/>
      <c r="BI149" s="656"/>
      <c r="BJ149" s="656"/>
      <c r="BK149" s="656"/>
      <c r="BL149" s="656"/>
      <c r="BM149" s="656"/>
      <c r="BN149" s="656"/>
      <c r="BO149" s="656"/>
      <c r="BP149" s="656"/>
      <c r="BQ149" s="656"/>
      <c r="BR149" s="656"/>
      <c r="BS149" s="656"/>
      <c r="BT149" s="656"/>
      <c r="BU149" s="656"/>
      <c r="BV149" s="656"/>
      <c r="BW149" s="656"/>
      <c r="BX149" s="656"/>
      <c r="BY149" s="656"/>
      <c r="BZ149" s="656"/>
      <c r="CA149" s="656"/>
      <c r="CB149" s="656"/>
      <c r="CC149" s="656"/>
      <c r="CD149" s="656"/>
      <c r="CE149" s="656"/>
      <c r="CF149" s="656"/>
      <c r="CG149" s="656"/>
      <c r="CH149" s="656"/>
      <c r="CI149" s="656"/>
      <c r="CJ149" s="656"/>
      <c r="CK149" s="656"/>
      <c r="CL149" s="656"/>
      <c r="CM149" s="656"/>
      <c r="CN149" s="656"/>
      <c r="CO149" s="656"/>
      <c r="CP149" s="656"/>
      <c r="CQ149" s="656"/>
      <c r="CR149" s="656"/>
      <c r="CS149" s="656">
        <v>0</v>
      </c>
      <c r="CT149" s="656">
        <v>0</v>
      </c>
      <c r="CU149" s="656">
        <v>0</v>
      </c>
      <c r="CV149" s="656">
        <v>0</v>
      </c>
      <c r="CW149" s="656">
        <v>0</v>
      </c>
      <c r="CX149" s="656">
        <v>0</v>
      </c>
      <c r="CZ149" s="656" t="e">
        <v>#NAME?</v>
      </c>
      <c r="DB149" s="156" t="s">
        <v>370</v>
      </c>
      <c r="DG149" s="156">
        <v>9610.98</v>
      </c>
    </row>
    <row r="150" spans="1:111" ht="12.75">
      <c r="A150" s="167" t="s">
        <v>369</v>
      </c>
      <c r="B150" s="655"/>
      <c r="C150" s="655"/>
      <c r="D150" s="655"/>
      <c r="E150" s="655"/>
      <c r="F150" s="655"/>
      <c r="G150" s="655"/>
      <c r="H150" s="655"/>
      <c r="I150" s="655"/>
      <c r="J150" s="655"/>
      <c r="K150" s="655"/>
      <c r="L150" s="655"/>
      <c r="M150" s="655"/>
      <c r="N150" s="655"/>
      <c r="O150" s="655"/>
      <c r="P150" s="655"/>
      <c r="Q150" s="655"/>
      <c r="R150" s="655"/>
      <c r="S150" s="655"/>
      <c r="T150" s="655"/>
      <c r="U150" s="655">
        <v>40.501300000000001</v>
      </c>
      <c r="V150" s="655">
        <v>63.810463119999994</v>
      </c>
      <c r="W150" s="655">
        <v>253.50807252999999</v>
      </c>
      <c r="X150" s="655">
        <v>318.02999010000002</v>
      </c>
      <c r="Y150" s="655">
        <v>137.27774658000001</v>
      </c>
      <c r="Z150" s="655">
        <v>99.658335969999996</v>
      </c>
      <c r="AA150" s="655">
        <v>338.95223469999996</v>
      </c>
      <c r="AB150" s="655">
        <v>139.67439768</v>
      </c>
      <c r="AC150" s="655"/>
      <c r="AD150" s="158"/>
      <c r="AE150" s="158"/>
      <c r="AF150" s="655"/>
      <c r="AG150" s="655"/>
      <c r="AH150" s="655"/>
      <c r="AI150" s="655"/>
      <c r="AJ150" s="655"/>
      <c r="AK150" s="655"/>
      <c r="AL150" s="655"/>
      <c r="AM150" s="655"/>
      <c r="AN150" s="655"/>
      <c r="AO150" s="655"/>
      <c r="AP150" s="655"/>
      <c r="AQ150" s="655"/>
      <c r="AR150" s="655"/>
      <c r="AS150" s="655"/>
      <c r="AT150" s="655"/>
      <c r="AU150" s="655"/>
      <c r="AV150" s="655"/>
      <c r="AW150" s="655"/>
      <c r="AX150" s="655"/>
      <c r="AY150" s="655"/>
      <c r="AZ150" s="655"/>
      <c r="BA150" s="655"/>
      <c r="BB150" s="655"/>
      <c r="BC150" s="655"/>
      <c r="BD150" s="655"/>
      <c r="BE150" s="655"/>
      <c r="BF150" s="655"/>
      <c r="BG150" s="655"/>
      <c r="BH150" s="655"/>
      <c r="BI150" s="655"/>
      <c r="BJ150" s="655"/>
      <c r="BK150" s="655"/>
      <c r="BL150" s="655"/>
      <c r="BM150" s="655"/>
      <c r="BN150" s="655"/>
      <c r="BO150" s="655"/>
      <c r="BP150" s="655"/>
      <c r="BQ150" s="655"/>
      <c r="BR150" s="655"/>
      <c r="BS150" s="655"/>
      <c r="BT150" s="655"/>
      <c r="BU150" s="655"/>
      <c r="BV150" s="655"/>
      <c r="BW150" s="655"/>
      <c r="BX150" s="655"/>
      <c r="BY150" s="655"/>
      <c r="BZ150" s="655"/>
      <c r="CA150" s="655"/>
      <c r="CB150" s="655"/>
      <c r="CC150" s="655">
        <v>272.27069999999998</v>
      </c>
      <c r="CD150" s="655"/>
      <c r="CE150" s="655">
        <v>318.02999010000002</v>
      </c>
      <c r="CF150" s="655">
        <v>405.70679298000005</v>
      </c>
      <c r="CG150" s="655">
        <v>133.47997826</v>
      </c>
      <c r="CH150" s="655">
        <v>146.50603571000002</v>
      </c>
      <c r="CI150" s="655">
        <v>137.27774658000001</v>
      </c>
      <c r="CJ150" s="655">
        <v>124.89176999</v>
      </c>
      <c r="CK150" s="655">
        <v>118.42535098</v>
      </c>
      <c r="CL150" s="655">
        <v>100.73439401</v>
      </c>
      <c r="CM150" s="655">
        <v>99.658335969999996</v>
      </c>
      <c r="CN150" s="655">
        <v>96.383436410000002</v>
      </c>
      <c r="CO150" s="655">
        <v>124.64927964</v>
      </c>
      <c r="CP150" s="655">
        <v>186.85356956999999</v>
      </c>
      <c r="CQ150" s="655">
        <v>338.95223469999996</v>
      </c>
      <c r="CR150" s="655">
        <v>427.00458560000004</v>
      </c>
      <c r="CS150" s="655">
        <v>424.13783916</v>
      </c>
      <c r="CT150" s="655">
        <v>125.14434579</v>
      </c>
      <c r="CU150" s="655">
        <v>139.67439768</v>
      </c>
      <c r="CV150" s="655">
        <v>142.04730284999999</v>
      </c>
      <c r="CW150" s="655">
        <v>472.78032200999996</v>
      </c>
      <c r="CX150" s="655">
        <v>480.68571688999998</v>
      </c>
      <c r="CZ150" s="655" t="e">
        <v>#NAME?</v>
      </c>
      <c r="DB150" s="156" t="s">
        <v>369</v>
      </c>
      <c r="DG150" s="156">
        <v>1599.83</v>
      </c>
    </row>
    <row r="151" spans="1:111" ht="12.75">
      <c r="A151" s="165" t="s">
        <v>368</v>
      </c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6"/>
      <c r="P151" s="656"/>
      <c r="Q151" s="656"/>
      <c r="R151" s="656"/>
      <c r="S151" s="656"/>
      <c r="T151" s="656"/>
      <c r="U151" s="656"/>
      <c r="V151" s="656"/>
      <c r="W151" s="656"/>
      <c r="X151" s="656"/>
      <c r="Y151" s="656">
        <v>0</v>
      </c>
      <c r="Z151" s="656"/>
      <c r="AA151" s="656"/>
      <c r="AB151" s="656">
        <v>0</v>
      </c>
      <c r="AC151" s="656"/>
      <c r="AD151" s="158"/>
      <c r="AE151" s="158"/>
      <c r="AF151" s="656"/>
      <c r="AG151" s="656"/>
      <c r="AH151" s="656"/>
      <c r="AI151" s="656"/>
      <c r="AJ151" s="656"/>
      <c r="AK151" s="656"/>
      <c r="AL151" s="656"/>
      <c r="AM151" s="656"/>
      <c r="AN151" s="656"/>
      <c r="AO151" s="656"/>
      <c r="AP151" s="656"/>
      <c r="AQ151" s="656"/>
      <c r="AR151" s="656"/>
      <c r="AS151" s="656"/>
      <c r="AT151" s="656"/>
      <c r="AU151" s="656"/>
      <c r="AV151" s="656"/>
      <c r="AW151" s="656"/>
      <c r="AX151" s="656"/>
      <c r="AY151" s="656"/>
      <c r="AZ151" s="656"/>
      <c r="BA151" s="656"/>
      <c r="BB151" s="656"/>
      <c r="BC151" s="656"/>
      <c r="BD151" s="656"/>
      <c r="BE151" s="656"/>
      <c r="BF151" s="656"/>
      <c r="BG151" s="656"/>
      <c r="BH151" s="656"/>
      <c r="BI151" s="656"/>
      <c r="BJ151" s="656"/>
      <c r="BK151" s="656"/>
      <c r="BL151" s="656"/>
      <c r="BM151" s="656"/>
      <c r="BN151" s="656"/>
      <c r="BO151" s="656"/>
      <c r="BP151" s="656"/>
      <c r="BQ151" s="656"/>
      <c r="BR151" s="656"/>
      <c r="BS151" s="656"/>
      <c r="BT151" s="656"/>
      <c r="BU151" s="656"/>
      <c r="BV151" s="656"/>
      <c r="BW151" s="656"/>
      <c r="BX151" s="656"/>
      <c r="BY151" s="656"/>
      <c r="BZ151" s="656"/>
      <c r="CA151" s="656"/>
      <c r="CB151" s="656"/>
      <c r="CC151" s="656"/>
      <c r="CD151" s="656"/>
      <c r="CE151" s="656"/>
      <c r="CF151" s="656"/>
      <c r="CG151" s="656"/>
      <c r="CH151" s="656"/>
      <c r="CI151" s="656"/>
      <c r="CJ151" s="656"/>
      <c r="CK151" s="656"/>
      <c r="CL151" s="656"/>
      <c r="CM151" s="656"/>
      <c r="CN151" s="656"/>
      <c r="CO151" s="656"/>
      <c r="CP151" s="656"/>
      <c r="CQ151" s="656"/>
      <c r="CR151" s="656"/>
      <c r="CS151" s="656">
        <v>0</v>
      </c>
      <c r="CT151" s="656">
        <v>0</v>
      </c>
      <c r="CU151" s="656">
        <v>0</v>
      </c>
      <c r="CV151" s="656">
        <v>0</v>
      </c>
      <c r="CW151" s="656">
        <v>0</v>
      </c>
      <c r="CX151" s="656">
        <v>0</v>
      </c>
      <c r="CZ151" s="656" t="e">
        <v>#NAME?</v>
      </c>
      <c r="DB151" s="156" t="s">
        <v>368</v>
      </c>
      <c r="DG151" s="156">
        <v>1988.66</v>
      </c>
    </row>
    <row r="152" spans="1:111" ht="12.75">
      <c r="A152" s="165" t="s">
        <v>367</v>
      </c>
      <c r="B152" s="656"/>
      <c r="C152" s="656"/>
      <c r="D152" s="656"/>
      <c r="E152" s="656"/>
      <c r="F152" s="656"/>
      <c r="G152" s="656"/>
      <c r="H152" s="656"/>
      <c r="I152" s="656"/>
      <c r="J152" s="656"/>
      <c r="K152" s="656"/>
      <c r="L152" s="656"/>
      <c r="M152" s="656"/>
      <c r="N152" s="656"/>
      <c r="O152" s="656"/>
      <c r="P152" s="656"/>
      <c r="Q152" s="656"/>
      <c r="R152" s="656"/>
      <c r="S152" s="656"/>
      <c r="T152" s="656"/>
      <c r="U152" s="656">
        <v>1E-4</v>
      </c>
      <c r="V152" s="656"/>
      <c r="W152" s="656"/>
      <c r="X152" s="656"/>
      <c r="Y152" s="656">
        <v>0</v>
      </c>
      <c r="Z152" s="656"/>
      <c r="AA152" s="656"/>
      <c r="AB152" s="656">
        <v>0</v>
      </c>
      <c r="AC152" s="656"/>
      <c r="AD152" s="158"/>
      <c r="AE152" s="158"/>
      <c r="AF152" s="656"/>
      <c r="AG152" s="656"/>
      <c r="AH152" s="656"/>
      <c r="AI152" s="656"/>
      <c r="AJ152" s="656"/>
      <c r="AK152" s="656"/>
      <c r="AL152" s="656"/>
      <c r="AM152" s="656"/>
      <c r="AN152" s="656"/>
      <c r="AO152" s="656"/>
      <c r="AP152" s="656"/>
      <c r="AQ152" s="656"/>
      <c r="AR152" s="656"/>
      <c r="AS152" s="656"/>
      <c r="AT152" s="656"/>
      <c r="AU152" s="656"/>
      <c r="AV152" s="656"/>
      <c r="AW152" s="656"/>
      <c r="AX152" s="656"/>
      <c r="AY152" s="656"/>
      <c r="AZ152" s="656"/>
      <c r="BA152" s="656"/>
      <c r="BB152" s="656"/>
      <c r="BC152" s="656"/>
      <c r="BD152" s="656"/>
      <c r="BE152" s="656"/>
      <c r="BF152" s="656"/>
      <c r="BG152" s="656"/>
      <c r="BH152" s="656"/>
      <c r="BI152" s="656"/>
      <c r="BJ152" s="656"/>
      <c r="BK152" s="656"/>
      <c r="BL152" s="656"/>
      <c r="BM152" s="656"/>
      <c r="BN152" s="656"/>
      <c r="BO152" s="656"/>
      <c r="BP152" s="656"/>
      <c r="BQ152" s="656"/>
      <c r="BR152" s="656"/>
      <c r="BS152" s="656"/>
      <c r="BT152" s="656"/>
      <c r="BU152" s="656"/>
      <c r="BV152" s="656"/>
      <c r="BW152" s="656"/>
      <c r="BX152" s="656"/>
      <c r="BY152" s="656"/>
      <c r="BZ152" s="656"/>
      <c r="CA152" s="656"/>
      <c r="CB152" s="656"/>
      <c r="CC152" s="656"/>
      <c r="CD152" s="656"/>
      <c r="CE152" s="656"/>
      <c r="CF152" s="656"/>
      <c r="CG152" s="656"/>
      <c r="CH152" s="656"/>
      <c r="CI152" s="656"/>
      <c r="CJ152" s="656"/>
      <c r="CK152" s="656"/>
      <c r="CL152" s="656"/>
      <c r="CM152" s="656"/>
      <c r="CN152" s="656"/>
      <c r="CO152" s="656"/>
      <c r="CP152" s="656"/>
      <c r="CQ152" s="656"/>
      <c r="CR152" s="656"/>
      <c r="CS152" s="656">
        <v>0</v>
      </c>
      <c r="CT152" s="656">
        <v>0</v>
      </c>
      <c r="CU152" s="656">
        <v>0</v>
      </c>
      <c r="CV152" s="656">
        <v>0</v>
      </c>
      <c r="CW152" s="656">
        <v>0</v>
      </c>
      <c r="CX152" s="656">
        <v>0</v>
      </c>
      <c r="CZ152" s="656" t="e">
        <v>#NAME?</v>
      </c>
      <c r="DB152" s="156" t="s">
        <v>367</v>
      </c>
      <c r="DG152" s="156">
        <v>1668.01</v>
      </c>
    </row>
    <row r="153" spans="1:111" ht="12.75">
      <c r="A153" s="167" t="s">
        <v>366</v>
      </c>
      <c r="B153" s="655"/>
      <c r="C153" s="655"/>
      <c r="D153" s="655"/>
      <c r="E153" s="655"/>
      <c r="F153" s="655"/>
      <c r="G153" s="655"/>
      <c r="H153" s="655"/>
      <c r="I153" s="655"/>
      <c r="J153" s="655"/>
      <c r="K153" s="655"/>
      <c r="L153" s="655"/>
      <c r="M153" s="655"/>
      <c r="N153" s="655"/>
      <c r="O153" s="655"/>
      <c r="P153" s="655"/>
      <c r="Q153" s="655"/>
      <c r="R153" s="655"/>
      <c r="S153" s="655"/>
      <c r="T153" s="655"/>
      <c r="U153" s="655">
        <v>1179.9014999999999</v>
      </c>
      <c r="V153" s="655">
        <v>1020.5817193500001</v>
      </c>
      <c r="W153" s="655">
        <v>1705.5194437</v>
      </c>
      <c r="X153" s="655">
        <v>2448.0330728499998</v>
      </c>
      <c r="Y153" s="655">
        <v>3552.36561828</v>
      </c>
      <c r="Z153" s="655">
        <v>6805.3572748999995</v>
      </c>
      <c r="AA153" s="655">
        <v>8386.2920642999998</v>
      </c>
      <c r="AB153" s="655">
        <v>14984.7161629</v>
      </c>
      <c r="AC153" s="655"/>
      <c r="AD153" s="158"/>
      <c r="AE153" s="158"/>
      <c r="AF153" s="655"/>
      <c r="AG153" s="655"/>
      <c r="AH153" s="655"/>
      <c r="AI153" s="655"/>
      <c r="AJ153" s="655"/>
      <c r="AK153" s="655"/>
      <c r="AL153" s="655"/>
      <c r="AM153" s="655"/>
      <c r="AN153" s="655"/>
      <c r="AO153" s="655"/>
      <c r="AP153" s="655"/>
      <c r="AQ153" s="655"/>
      <c r="AR153" s="655"/>
      <c r="AS153" s="655"/>
      <c r="AT153" s="655"/>
      <c r="AU153" s="655"/>
      <c r="AV153" s="655"/>
      <c r="AW153" s="655"/>
      <c r="AX153" s="655"/>
      <c r="AY153" s="655"/>
      <c r="AZ153" s="655"/>
      <c r="BA153" s="655"/>
      <c r="BB153" s="655"/>
      <c r="BC153" s="655"/>
      <c r="BD153" s="655"/>
      <c r="BE153" s="655"/>
      <c r="BF153" s="655"/>
      <c r="BG153" s="655"/>
      <c r="BH153" s="655"/>
      <c r="BI153" s="655"/>
      <c r="BJ153" s="655"/>
      <c r="BK153" s="655"/>
      <c r="BL153" s="655"/>
      <c r="BM153" s="655"/>
      <c r="BN153" s="655"/>
      <c r="BO153" s="655"/>
      <c r="BP153" s="655"/>
      <c r="BQ153" s="655"/>
      <c r="BR153" s="655"/>
      <c r="BS153" s="655"/>
      <c r="BT153" s="655"/>
      <c r="BU153" s="655"/>
      <c r="BV153" s="655"/>
      <c r="BW153" s="655"/>
      <c r="BX153" s="655"/>
      <c r="BY153" s="655"/>
      <c r="BZ153" s="655"/>
      <c r="CA153" s="655"/>
      <c r="CB153" s="655"/>
      <c r="CC153" s="655">
        <v>2013.8522</v>
      </c>
      <c r="CD153" s="655"/>
      <c r="CE153" s="655">
        <v>2448.0330728499998</v>
      </c>
      <c r="CF153" s="655">
        <v>2406.0395014199999</v>
      </c>
      <c r="CG153" s="655">
        <v>2775.9198385700001</v>
      </c>
      <c r="CH153" s="655">
        <v>2637.5404756299999</v>
      </c>
      <c r="CI153" s="655">
        <v>3552.36561828</v>
      </c>
      <c r="CJ153" s="655">
        <v>4972.8034522700009</v>
      </c>
      <c r="CK153" s="655">
        <v>5254.7896221400006</v>
      </c>
      <c r="CL153" s="655">
        <v>5679.2996952600006</v>
      </c>
      <c r="CM153" s="655">
        <v>6805.3572748999995</v>
      </c>
      <c r="CN153" s="655">
        <v>7274.61151453</v>
      </c>
      <c r="CO153" s="655">
        <v>8083.6343164</v>
      </c>
      <c r="CP153" s="655">
        <v>8654.0656755</v>
      </c>
      <c r="CQ153" s="655">
        <v>8386.2920642999998</v>
      </c>
      <c r="CR153" s="655">
        <v>8828.1237892299996</v>
      </c>
      <c r="CS153" s="655">
        <v>11582.44996552</v>
      </c>
      <c r="CT153" s="655">
        <v>12886.6763501</v>
      </c>
      <c r="CU153" s="655">
        <v>14984.7161629</v>
      </c>
      <c r="CV153" s="655">
        <v>14019.94356295</v>
      </c>
      <c r="CW153" s="655">
        <v>14176.27706674</v>
      </c>
      <c r="CX153" s="655">
        <v>15142.13193519</v>
      </c>
      <c r="CZ153" s="655" t="e">
        <v>#NAME?</v>
      </c>
      <c r="DB153" s="156" t="s">
        <v>366</v>
      </c>
      <c r="DG153" s="156" t="e">
        <v>#VALUE!</v>
      </c>
    </row>
    <row r="154" spans="1:111">
      <c r="A154" s="167" t="s">
        <v>365</v>
      </c>
      <c r="B154" s="658"/>
      <c r="C154" s="658"/>
      <c r="D154" s="658"/>
      <c r="E154" s="658"/>
      <c r="F154" s="658"/>
      <c r="G154" s="658"/>
      <c r="H154" s="658"/>
      <c r="I154" s="658"/>
      <c r="J154" s="658"/>
      <c r="K154" s="658"/>
      <c r="L154" s="658"/>
      <c r="M154" s="658"/>
      <c r="N154" s="658"/>
      <c r="O154" s="658"/>
      <c r="P154" s="658"/>
      <c r="Q154" s="658"/>
      <c r="R154" s="658"/>
      <c r="S154" s="658"/>
      <c r="T154" s="658"/>
      <c r="U154" s="658"/>
      <c r="V154" s="658"/>
      <c r="W154" s="658"/>
      <c r="X154" s="658"/>
      <c r="Y154" s="658"/>
      <c r="Z154" s="658"/>
      <c r="AA154" s="658"/>
      <c r="AB154" s="658"/>
      <c r="AC154" s="658"/>
      <c r="AD154" s="158"/>
      <c r="AE154" s="158"/>
      <c r="AF154" s="658"/>
      <c r="AG154" s="658"/>
      <c r="AH154" s="658"/>
      <c r="AI154" s="658"/>
      <c r="AJ154" s="658"/>
      <c r="AK154" s="658"/>
      <c r="AL154" s="658"/>
      <c r="AM154" s="658"/>
      <c r="AN154" s="658"/>
      <c r="AO154" s="658"/>
      <c r="AP154" s="658"/>
      <c r="AQ154" s="658"/>
      <c r="AR154" s="658"/>
      <c r="AS154" s="658"/>
      <c r="AT154" s="658"/>
      <c r="AU154" s="658"/>
      <c r="AV154" s="658"/>
      <c r="AW154" s="658"/>
      <c r="AX154" s="658"/>
      <c r="AY154" s="658"/>
      <c r="AZ154" s="658"/>
      <c r="BA154" s="658"/>
      <c r="BB154" s="658"/>
      <c r="BC154" s="658"/>
      <c r="BD154" s="658"/>
      <c r="BE154" s="658"/>
      <c r="BF154" s="658"/>
      <c r="BG154" s="658"/>
      <c r="BH154" s="658"/>
      <c r="BI154" s="658"/>
      <c r="BJ154" s="658"/>
      <c r="BK154" s="658"/>
      <c r="BL154" s="658"/>
      <c r="BM154" s="658"/>
      <c r="BN154" s="658"/>
      <c r="BO154" s="658"/>
      <c r="BP154" s="658"/>
      <c r="BQ154" s="658"/>
      <c r="BR154" s="658"/>
      <c r="BS154" s="658"/>
      <c r="BT154" s="658"/>
      <c r="BU154" s="658"/>
      <c r="BV154" s="658"/>
      <c r="BW154" s="658"/>
      <c r="BX154" s="658"/>
      <c r="BY154" s="658"/>
      <c r="BZ154" s="658"/>
      <c r="CA154" s="658"/>
      <c r="CB154" s="658"/>
      <c r="CC154" s="658"/>
      <c r="CD154" s="658"/>
      <c r="CE154" s="658"/>
      <c r="CF154" s="658"/>
      <c r="CG154" s="658"/>
      <c r="CH154" s="658"/>
      <c r="CI154" s="658"/>
      <c r="CJ154" s="658"/>
      <c r="CK154" s="658"/>
      <c r="CL154" s="658"/>
      <c r="CM154" s="658"/>
      <c r="CN154" s="658"/>
      <c r="CO154" s="658"/>
      <c r="CP154" s="658"/>
      <c r="CQ154" s="658"/>
      <c r="CR154" s="658"/>
      <c r="CS154" s="658"/>
      <c r="CT154" s="658"/>
      <c r="CU154" s="658"/>
      <c r="CV154" s="658"/>
      <c r="CW154" s="658"/>
      <c r="CX154" s="658"/>
      <c r="CZ154" s="658"/>
      <c r="DB154" s="156" t="s">
        <v>365</v>
      </c>
      <c r="DG154" s="156" t="e">
        <v>#VALUE!</v>
      </c>
    </row>
    <row r="155" spans="1:111" ht="12.75">
      <c r="A155" s="165" t="s">
        <v>364</v>
      </c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6"/>
      <c r="P155" s="656"/>
      <c r="Q155" s="656"/>
      <c r="R155" s="656"/>
      <c r="S155" s="656"/>
      <c r="T155" s="656"/>
      <c r="U155" s="656">
        <v>150.81970000000001</v>
      </c>
      <c r="V155" s="656">
        <v>350</v>
      </c>
      <c r="W155" s="656">
        <v>360</v>
      </c>
      <c r="X155" s="656">
        <v>360</v>
      </c>
      <c r="Y155" s="656">
        <v>400.01</v>
      </c>
      <c r="Z155" s="656">
        <v>400.01</v>
      </c>
      <c r="AA155" s="656">
        <v>400.01</v>
      </c>
      <c r="AB155" s="656">
        <v>520.01300000000003</v>
      </c>
      <c r="AC155" s="656"/>
      <c r="AD155" s="158"/>
      <c r="AE155" s="158"/>
      <c r="AF155" s="656"/>
      <c r="AG155" s="656"/>
      <c r="AH155" s="656"/>
      <c r="AI155" s="656"/>
      <c r="AJ155" s="656"/>
      <c r="AK155" s="656"/>
      <c r="AL155" s="656"/>
      <c r="AM155" s="656"/>
      <c r="AN155" s="656"/>
      <c r="AO155" s="656"/>
      <c r="AP155" s="656"/>
      <c r="AQ155" s="656"/>
      <c r="AR155" s="656"/>
      <c r="AS155" s="656"/>
      <c r="AT155" s="656"/>
      <c r="AU155" s="656"/>
      <c r="AV155" s="656"/>
      <c r="AW155" s="656"/>
      <c r="AX155" s="656"/>
      <c r="AY155" s="656"/>
      <c r="AZ155" s="656"/>
      <c r="BA155" s="656"/>
      <c r="BB155" s="656"/>
      <c r="BC155" s="656"/>
      <c r="BD155" s="656"/>
      <c r="BE155" s="656"/>
      <c r="BF155" s="656"/>
      <c r="BG155" s="656"/>
      <c r="BH155" s="656"/>
      <c r="BI155" s="656"/>
      <c r="BJ155" s="656"/>
      <c r="BK155" s="656"/>
      <c r="BL155" s="656"/>
      <c r="BM155" s="656"/>
      <c r="BN155" s="656"/>
      <c r="BO155" s="656"/>
      <c r="BP155" s="656"/>
      <c r="BQ155" s="656"/>
      <c r="BR155" s="656"/>
      <c r="BS155" s="656"/>
      <c r="BT155" s="656"/>
      <c r="BU155" s="656"/>
      <c r="BV155" s="656"/>
      <c r="BW155" s="656"/>
      <c r="BX155" s="656"/>
      <c r="BY155" s="656"/>
      <c r="BZ155" s="656"/>
      <c r="CA155" s="656"/>
      <c r="CB155" s="656"/>
      <c r="CC155" s="656">
        <v>360</v>
      </c>
      <c r="CD155" s="656"/>
      <c r="CE155" s="656">
        <v>360</v>
      </c>
      <c r="CF155" s="656">
        <v>360</v>
      </c>
      <c r="CG155" s="656">
        <v>400.01</v>
      </c>
      <c r="CH155" s="656">
        <v>400.01</v>
      </c>
      <c r="CI155" s="656">
        <v>400.01</v>
      </c>
      <c r="CJ155" s="656">
        <v>400.01</v>
      </c>
      <c r="CK155" s="656">
        <v>400.01</v>
      </c>
      <c r="CL155" s="656">
        <v>400.01</v>
      </c>
      <c r="CM155" s="656">
        <v>400.01</v>
      </c>
      <c r="CN155" s="656">
        <v>400.01</v>
      </c>
      <c r="CO155" s="656">
        <v>400.01</v>
      </c>
      <c r="CP155" s="656">
        <v>400.01</v>
      </c>
      <c r="CQ155" s="656">
        <v>400.01</v>
      </c>
      <c r="CR155" s="656">
        <v>400.01</v>
      </c>
      <c r="CS155" s="656">
        <v>400.01</v>
      </c>
      <c r="CT155" s="656">
        <v>520.01300000000003</v>
      </c>
      <c r="CU155" s="656">
        <v>520.01300000000003</v>
      </c>
      <c r="CV155" s="656">
        <v>520.01300000000003</v>
      </c>
      <c r="CW155" s="656">
        <v>520.01300000000003</v>
      </c>
      <c r="CX155" s="656">
        <v>520.01300000000003</v>
      </c>
      <c r="CZ155" s="656" t="e">
        <v>#NAME?</v>
      </c>
      <c r="DB155" s="156" t="s">
        <v>364</v>
      </c>
      <c r="DG155" s="156">
        <v>14867.48</v>
      </c>
    </row>
    <row r="156" spans="1:111" ht="12.75">
      <c r="A156" s="165" t="s">
        <v>363</v>
      </c>
      <c r="B156" s="656"/>
      <c r="C156" s="656"/>
      <c r="D156" s="656"/>
      <c r="E156" s="656"/>
      <c r="F156" s="656"/>
      <c r="G156" s="656"/>
      <c r="H156" s="656"/>
      <c r="I156" s="656"/>
      <c r="J156" s="656"/>
      <c r="K156" s="656"/>
      <c r="L156" s="656"/>
      <c r="M156" s="656"/>
      <c r="N156" s="656"/>
      <c r="O156" s="656"/>
      <c r="P156" s="656"/>
      <c r="Q156" s="656"/>
      <c r="R156" s="656"/>
      <c r="S156" s="656"/>
      <c r="T156" s="656"/>
      <c r="U156" s="656">
        <v>284.68029999999999</v>
      </c>
      <c r="V156" s="656">
        <v>274.80763628</v>
      </c>
      <c r="W156" s="656">
        <v>382.47063627999995</v>
      </c>
      <c r="X156" s="656">
        <v>388.47963627999997</v>
      </c>
      <c r="Y156" s="656">
        <v>2080.3963948299997</v>
      </c>
      <c r="Z156" s="656">
        <v>2080.3963948299997</v>
      </c>
      <c r="AA156" s="656">
        <v>2080.3963948299997</v>
      </c>
      <c r="AB156" s="656">
        <v>1960.39339483</v>
      </c>
      <c r="AC156" s="656"/>
      <c r="AD156" s="158"/>
      <c r="AE156" s="158"/>
      <c r="AF156" s="656"/>
      <c r="AG156" s="656"/>
      <c r="AH156" s="656"/>
      <c r="AI156" s="656"/>
      <c r="AJ156" s="656"/>
      <c r="AK156" s="656"/>
      <c r="AL156" s="656"/>
      <c r="AM156" s="656"/>
      <c r="AN156" s="656"/>
      <c r="AO156" s="656"/>
      <c r="AP156" s="656"/>
      <c r="AQ156" s="656"/>
      <c r="AR156" s="656"/>
      <c r="AS156" s="656"/>
      <c r="AT156" s="656"/>
      <c r="AU156" s="656"/>
      <c r="AV156" s="656"/>
      <c r="AW156" s="656"/>
      <c r="AX156" s="656"/>
      <c r="AY156" s="656"/>
      <c r="AZ156" s="656"/>
      <c r="BA156" s="656"/>
      <c r="BB156" s="656"/>
      <c r="BC156" s="656"/>
      <c r="BD156" s="656"/>
      <c r="BE156" s="656"/>
      <c r="BF156" s="656"/>
      <c r="BG156" s="656"/>
      <c r="BH156" s="656"/>
      <c r="BI156" s="656"/>
      <c r="BJ156" s="656"/>
      <c r="BK156" s="656"/>
      <c r="BL156" s="656"/>
      <c r="BM156" s="656"/>
      <c r="BN156" s="656"/>
      <c r="BO156" s="656"/>
      <c r="BP156" s="656"/>
      <c r="BQ156" s="656"/>
      <c r="BR156" s="656"/>
      <c r="BS156" s="656"/>
      <c r="BT156" s="656"/>
      <c r="BU156" s="656"/>
      <c r="BV156" s="656"/>
      <c r="BW156" s="656"/>
      <c r="BX156" s="656"/>
      <c r="BY156" s="656"/>
      <c r="BZ156" s="656"/>
      <c r="CA156" s="656"/>
      <c r="CB156" s="656"/>
      <c r="CC156" s="656">
        <v>382.76859999999999</v>
      </c>
      <c r="CD156" s="656"/>
      <c r="CE156" s="656">
        <v>388.47963627999997</v>
      </c>
      <c r="CF156" s="656">
        <v>388.47963627999997</v>
      </c>
      <c r="CG156" s="656">
        <v>2080.3963948299997</v>
      </c>
      <c r="CH156" s="656">
        <v>2080.3963948299997</v>
      </c>
      <c r="CI156" s="656">
        <v>2080.3963948299997</v>
      </c>
      <c r="CJ156" s="656">
        <v>2080.3963948299997</v>
      </c>
      <c r="CK156" s="656">
        <v>2080.3963948299997</v>
      </c>
      <c r="CL156" s="656">
        <v>2080.3963948299997</v>
      </c>
      <c r="CM156" s="656">
        <v>2080.3963948299997</v>
      </c>
      <c r="CN156" s="656">
        <v>2080.3963948299997</v>
      </c>
      <c r="CO156" s="656">
        <v>2080.3963948299997</v>
      </c>
      <c r="CP156" s="656">
        <v>2080.3963948299997</v>
      </c>
      <c r="CQ156" s="656">
        <v>2080.3963948299997</v>
      </c>
      <c r="CR156" s="656">
        <v>2080.3963948299997</v>
      </c>
      <c r="CS156" s="656">
        <v>2080.3963948299997</v>
      </c>
      <c r="CT156" s="656">
        <v>1960.39339483</v>
      </c>
      <c r="CU156" s="656">
        <v>1960.39339483</v>
      </c>
      <c r="CV156" s="656">
        <v>1960.39339483</v>
      </c>
      <c r="CW156" s="656">
        <v>1960.39339483</v>
      </c>
      <c r="CX156" s="656">
        <v>1960.39339483</v>
      </c>
      <c r="CZ156" s="656" t="e">
        <v>#NAME?</v>
      </c>
      <c r="DB156" s="156" t="s">
        <v>363</v>
      </c>
      <c r="DG156" s="156" t="e">
        <v>#VALUE!</v>
      </c>
    </row>
    <row r="157" spans="1:111" ht="12.75">
      <c r="A157" s="165" t="s">
        <v>362</v>
      </c>
      <c r="B157" s="656"/>
      <c r="C157" s="656"/>
      <c r="D157" s="656"/>
      <c r="E157" s="656"/>
      <c r="F157" s="656"/>
      <c r="G157" s="656"/>
      <c r="H157" s="656"/>
      <c r="I157" s="656"/>
      <c r="J157" s="656"/>
      <c r="K157" s="656"/>
      <c r="L157" s="656"/>
      <c r="M157" s="656"/>
      <c r="N157" s="656"/>
      <c r="O157" s="656"/>
      <c r="P157" s="656"/>
      <c r="Q157" s="656"/>
      <c r="R157" s="656"/>
      <c r="S157" s="656"/>
      <c r="T157" s="656"/>
      <c r="U157" s="656"/>
      <c r="V157" s="656"/>
      <c r="W157" s="656"/>
      <c r="X157" s="656"/>
      <c r="Y157" s="656">
        <v>0</v>
      </c>
      <c r="Z157" s="656"/>
      <c r="AA157" s="656"/>
      <c r="AB157" s="656">
        <v>0</v>
      </c>
      <c r="AC157" s="656"/>
      <c r="AD157" s="158"/>
      <c r="AE157" s="158"/>
      <c r="AF157" s="656"/>
      <c r="AG157" s="656"/>
      <c r="AH157" s="656"/>
      <c r="AI157" s="656"/>
      <c r="AJ157" s="656"/>
      <c r="AK157" s="656"/>
      <c r="AL157" s="656"/>
      <c r="AM157" s="656"/>
      <c r="AN157" s="656"/>
      <c r="AO157" s="656"/>
      <c r="AP157" s="656"/>
      <c r="AQ157" s="656"/>
      <c r="AR157" s="656"/>
      <c r="AS157" s="656"/>
      <c r="AT157" s="656"/>
      <c r="AU157" s="656"/>
      <c r="AV157" s="656"/>
      <c r="AW157" s="656"/>
      <c r="AX157" s="656"/>
      <c r="AY157" s="656"/>
      <c r="AZ157" s="656"/>
      <c r="BA157" s="656"/>
      <c r="BB157" s="656"/>
      <c r="BC157" s="656"/>
      <c r="BD157" s="656"/>
      <c r="BE157" s="656"/>
      <c r="BF157" s="656"/>
      <c r="BG157" s="656"/>
      <c r="BH157" s="656"/>
      <c r="BI157" s="656"/>
      <c r="BJ157" s="656"/>
      <c r="BK157" s="656"/>
      <c r="BL157" s="656"/>
      <c r="BM157" s="656"/>
      <c r="BN157" s="656"/>
      <c r="BO157" s="656"/>
      <c r="BP157" s="656"/>
      <c r="BQ157" s="656"/>
      <c r="BR157" s="656"/>
      <c r="BS157" s="656"/>
      <c r="BT157" s="656"/>
      <c r="BU157" s="656"/>
      <c r="BV157" s="656"/>
      <c r="BW157" s="656"/>
      <c r="BX157" s="656"/>
      <c r="BY157" s="656"/>
      <c r="BZ157" s="656"/>
      <c r="CA157" s="656"/>
      <c r="CB157" s="656"/>
      <c r="CC157" s="656"/>
      <c r="CD157" s="656"/>
      <c r="CE157" s="656"/>
      <c r="CF157" s="656"/>
      <c r="CG157" s="656"/>
      <c r="CH157" s="656"/>
      <c r="CI157" s="656"/>
      <c r="CJ157" s="656"/>
      <c r="CK157" s="656"/>
      <c r="CL157" s="656"/>
      <c r="CM157" s="656"/>
      <c r="CN157" s="656"/>
      <c r="CO157" s="656"/>
      <c r="CP157" s="656"/>
      <c r="CQ157" s="656"/>
      <c r="CR157" s="656"/>
      <c r="CS157" s="656">
        <v>0</v>
      </c>
      <c r="CT157" s="656">
        <v>0</v>
      </c>
      <c r="CU157" s="656">
        <v>0</v>
      </c>
      <c r="CV157" s="656">
        <v>0</v>
      </c>
      <c r="CW157" s="656">
        <v>0</v>
      </c>
      <c r="CX157" s="656">
        <v>0</v>
      </c>
      <c r="CZ157" s="656" t="e">
        <v>#NAME?</v>
      </c>
      <c r="DB157" s="156" t="s">
        <v>362</v>
      </c>
      <c r="DG157" s="156">
        <v>5789.41</v>
      </c>
    </row>
    <row r="158" spans="1:111" ht="12.75">
      <c r="A158" s="165" t="s">
        <v>361</v>
      </c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6"/>
      <c r="P158" s="656"/>
      <c r="Q158" s="656"/>
      <c r="R158" s="656"/>
      <c r="S158" s="656"/>
      <c r="T158" s="656"/>
      <c r="U158" s="656">
        <v>24.8187</v>
      </c>
      <c r="V158" s="656">
        <v>35.877302350000001</v>
      </c>
      <c r="W158" s="656">
        <v>88.694978579999997</v>
      </c>
      <c r="X158" s="656">
        <v>112.32950006999999</v>
      </c>
      <c r="Y158" s="656">
        <v>200.005</v>
      </c>
      <c r="Z158" s="656">
        <v>200.005</v>
      </c>
      <c r="AA158" s="656">
        <v>200.005</v>
      </c>
      <c r="AB158" s="656">
        <v>260.00650000000002</v>
      </c>
      <c r="AC158" s="656"/>
      <c r="AD158" s="158"/>
      <c r="AE158" s="158"/>
      <c r="AF158" s="656"/>
      <c r="AG158" s="656"/>
      <c r="AH158" s="656"/>
      <c r="AI158" s="656"/>
      <c r="AJ158" s="656"/>
      <c r="AK158" s="656"/>
      <c r="AL158" s="656"/>
      <c r="AM158" s="656"/>
      <c r="AN158" s="656"/>
      <c r="AO158" s="656"/>
      <c r="AP158" s="656"/>
      <c r="AQ158" s="656"/>
      <c r="AR158" s="656"/>
      <c r="AS158" s="656"/>
      <c r="AT158" s="656"/>
      <c r="AU158" s="656"/>
      <c r="AV158" s="656"/>
      <c r="AW158" s="656"/>
      <c r="AX158" s="656"/>
      <c r="AY158" s="656"/>
      <c r="AZ158" s="656"/>
      <c r="BA158" s="656"/>
      <c r="BB158" s="656"/>
      <c r="BC158" s="656"/>
      <c r="BD158" s="656"/>
      <c r="BE158" s="656"/>
      <c r="BF158" s="656"/>
      <c r="BG158" s="656"/>
      <c r="BH158" s="656"/>
      <c r="BI158" s="656"/>
      <c r="BJ158" s="656"/>
      <c r="BK158" s="656"/>
      <c r="BL158" s="656"/>
      <c r="BM158" s="656"/>
      <c r="BN158" s="656"/>
      <c r="BO158" s="656"/>
      <c r="BP158" s="656"/>
      <c r="BQ158" s="656"/>
      <c r="BR158" s="656"/>
      <c r="BS158" s="656"/>
      <c r="BT158" s="656"/>
      <c r="BU158" s="656"/>
      <c r="BV158" s="656"/>
      <c r="BW158" s="656"/>
      <c r="BX158" s="656"/>
      <c r="BY158" s="656"/>
      <c r="BZ158" s="656"/>
      <c r="CA158" s="656"/>
      <c r="CB158" s="656"/>
      <c r="CC158" s="656">
        <v>88.694999999999993</v>
      </c>
      <c r="CD158" s="656"/>
      <c r="CE158" s="656">
        <v>112.32950006999999</v>
      </c>
      <c r="CF158" s="656">
        <v>112.32950006999999</v>
      </c>
      <c r="CG158" s="656">
        <v>112.32950006999999</v>
      </c>
      <c r="CH158" s="656">
        <v>112.32950006999999</v>
      </c>
      <c r="CI158" s="656">
        <v>200.005</v>
      </c>
      <c r="CJ158" s="656">
        <v>200.005</v>
      </c>
      <c r="CK158" s="656">
        <v>200.005</v>
      </c>
      <c r="CL158" s="656">
        <v>200.005</v>
      </c>
      <c r="CM158" s="656">
        <v>200.005</v>
      </c>
      <c r="CN158" s="656">
        <v>200.005</v>
      </c>
      <c r="CO158" s="656">
        <v>200.005</v>
      </c>
      <c r="CP158" s="656">
        <v>200.005</v>
      </c>
      <c r="CQ158" s="656">
        <v>200.005</v>
      </c>
      <c r="CR158" s="656">
        <v>200.005</v>
      </c>
      <c r="CS158" s="656">
        <v>200.005</v>
      </c>
      <c r="CT158" s="656">
        <v>200.005</v>
      </c>
      <c r="CU158" s="656">
        <v>260.00650000000002</v>
      </c>
      <c r="CV158" s="656">
        <v>260.00650000000002</v>
      </c>
      <c r="CW158" s="656">
        <v>260.00650000000002</v>
      </c>
      <c r="CX158" s="656">
        <v>260.00650000000002</v>
      </c>
      <c r="CZ158" s="656" t="e">
        <v>#NAME?</v>
      </c>
      <c r="DB158" s="156" t="s">
        <v>361</v>
      </c>
    </row>
    <row r="159" spans="1:111" ht="12.75">
      <c r="A159" s="165" t="s">
        <v>360</v>
      </c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6"/>
      <c r="P159" s="656"/>
      <c r="Q159" s="656"/>
      <c r="R159" s="656"/>
      <c r="S159" s="656"/>
      <c r="T159" s="656"/>
      <c r="U159" s="656"/>
      <c r="V159" s="656"/>
      <c r="W159" s="656"/>
      <c r="X159" s="656"/>
      <c r="Y159" s="656">
        <v>0</v>
      </c>
      <c r="Z159" s="656"/>
      <c r="AA159" s="656"/>
      <c r="AB159" s="656">
        <v>0</v>
      </c>
      <c r="AC159" s="656"/>
      <c r="AD159" s="158"/>
      <c r="AE159" s="158"/>
      <c r="AF159" s="656"/>
      <c r="AG159" s="656"/>
      <c r="AH159" s="656"/>
      <c r="AI159" s="656"/>
      <c r="AJ159" s="656"/>
      <c r="AK159" s="656"/>
      <c r="AL159" s="656"/>
      <c r="AM159" s="656"/>
      <c r="AN159" s="656"/>
      <c r="AO159" s="656"/>
      <c r="AP159" s="656"/>
      <c r="AQ159" s="656"/>
      <c r="AR159" s="656"/>
      <c r="AS159" s="656"/>
      <c r="AT159" s="656"/>
      <c r="AU159" s="656"/>
      <c r="AV159" s="656"/>
      <c r="AW159" s="656"/>
      <c r="AX159" s="656"/>
      <c r="AY159" s="656"/>
      <c r="AZ159" s="656"/>
      <c r="BA159" s="656"/>
      <c r="BB159" s="656"/>
      <c r="BC159" s="656"/>
      <c r="BD159" s="656"/>
      <c r="BE159" s="656"/>
      <c r="BF159" s="656"/>
      <c r="BG159" s="656"/>
      <c r="BH159" s="656"/>
      <c r="BI159" s="656"/>
      <c r="BJ159" s="656"/>
      <c r="BK159" s="656"/>
      <c r="BL159" s="656"/>
      <c r="BM159" s="656"/>
      <c r="BN159" s="656"/>
      <c r="BO159" s="656"/>
      <c r="BP159" s="656"/>
      <c r="BQ159" s="656"/>
      <c r="BR159" s="656"/>
      <c r="BS159" s="656"/>
      <c r="BT159" s="656"/>
      <c r="BU159" s="656"/>
      <c r="BV159" s="656"/>
      <c r="BW159" s="656"/>
      <c r="BX159" s="656"/>
      <c r="BY159" s="656"/>
      <c r="BZ159" s="656"/>
      <c r="CA159" s="656"/>
      <c r="CB159" s="656"/>
      <c r="CC159" s="656"/>
      <c r="CD159" s="656"/>
      <c r="CE159" s="656"/>
      <c r="CF159" s="656"/>
      <c r="CG159" s="656"/>
      <c r="CH159" s="656"/>
      <c r="CI159" s="656"/>
      <c r="CJ159" s="656"/>
      <c r="CK159" s="656"/>
      <c r="CL159" s="656"/>
      <c r="CM159" s="656"/>
      <c r="CN159" s="656"/>
      <c r="CO159" s="656"/>
      <c r="CP159" s="656"/>
      <c r="CQ159" s="656"/>
      <c r="CR159" s="656"/>
      <c r="CS159" s="656">
        <v>0</v>
      </c>
      <c r="CT159" s="656">
        <v>0</v>
      </c>
      <c r="CU159" s="656">
        <v>0</v>
      </c>
      <c r="CV159" s="656">
        <v>0</v>
      </c>
      <c r="CW159" s="656">
        <v>0</v>
      </c>
      <c r="CX159" s="656">
        <v>0</v>
      </c>
      <c r="CZ159" s="656" t="e">
        <v>#NAME?</v>
      </c>
      <c r="DB159" s="156" t="s">
        <v>360</v>
      </c>
      <c r="DG159" s="156">
        <v>14172.86</v>
      </c>
    </row>
    <row r="160" spans="1:111" ht="12.75">
      <c r="A160" s="165" t="s">
        <v>359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>
        <v>410.79430000000002</v>
      </c>
      <c r="V160" s="656">
        <v>426.25902936</v>
      </c>
      <c r="W160" s="656">
        <v>804.01524872000005</v>
      </c>
      <c r="X160" s="656">
        <v>1052.4442382100001</v>
      </c>
      <c r="Y160" s="656">
        <v>1557.7141458699998</v>
      </c>
      <c r="Z160" s="656">
        <v>2398.2197172300002</v>
      </c>
      <c r="AA160" s="656">
        <v>3638.2813147900001</v>
      </c>
      <c r="AB160" s="656">
        <v>4904.9386672299997</v>
      </c>
      <c r="AC160" s="656"/>
      <c r="AD160" s="158"/>
      <c r="AE160" s="158"/>
      <c r="AF160" s="656"/>
      <c r="AG160" s="656"/>
      <c r="AH160" s="656"/>
      <c r="AI160" s="656"/>
      <c r="AJ160" s="656"/>
      <c r="AK160" s="656"/>
      <c r="AL160" s="656"/>
      <c r="AM160" s="656"/>
      <c r="AN160" s="656"/>
      <c r="AO160" s="656"/>
      <c r="AP160" s="656"/>
      <c r="AQ160" s="656"/>
      <c r="AR160" s="656"/>
      <c r="AS160" s="656"/>
      <c r="AT160" s="656"/>
      <c r="AU160" s="656"/>
      <c r="AV160" s="656"/>
      <c r="AW160" s="656"/>
      <c r="AX160" s="656"/>
      <c r="AY160" s="656"/>
      <c r="AZ160" s="656"/>
      <c r="BA160" s="656"/>
      <c r="BB160" s="656"/>
      <c r="BC160" s="656"/>
      <c r="BD160" s="656"/>
      <c r="BE160" s="656"/>
      <c r="BF160" s="656"/>
      <c r="BG160" s="656"/>
      <c r="BH160" s="656"/>
      <c r="BI160" s="656"/>
      <c r="BJ160" s="656"/>
      <c r="BK160" s="656"/>
      <c r="BL160" s="656"/>
      <c r="BM160" s="656"/>
      <c r="BN160" s="656"/>
      <c r="BO160" s="656"/>
      <c r="BP160" s="656"/>
      <c r="BQ160" s="656"/>
      <c r="BR160" s="656"/>
      <c r="BS160" s="656"/>
      <c r="BT160" s="656"/>
      <c r="BU160" s="656"/>
      <c r="BV160" s="656"/>
      <c r="BW160" s="656"/>
      <c r="BX160" s="656"/>
      <c r="BY160" s="656"/>
      <c r="BZ160" s="656"/>
      <c r="CA160" s="656"/>
      <c r="CB160" s="656"/>
      <c r="CC160" s="656">
        <v>885.32240000000002</v>
      </c>
      <c r="CD160" s="656"/>
      <c r="CE160" s="656">
        <v>1052.4442382100001</v>
      </c>
      <c r="CF160" s="656">
        <v>1394.3337037700001</v>
      </c>
      <c r="CG160" s="656">
        <v>1728.2703686500001</v>
      </c>
      <c r="CH160" s="656">
        <v>1448.4631876999999</v>
      </c>
      <c r="CI160" s="656">
        <v>1557.7141458699998</v>
      </c>
      <c r="CJ160" s="656">
        <v>1302.3480656400002</v>
      </c>
      <c r="CK160" s="656">
        <v>1712.32892279</v>
      </c>
      <c r="CL160" s="656">
        <v>2123.2051962199998</v>
      </c>
      <c r="CM160" s="656">
        <v>2398.2197172300002</v>
      </c>
      <c r="CN160" s="656">
        <v>2895.7802408699999</v>
      </c>
      <c r="CO160" s="656">
        <v>2706.6287599899997</v>
      </c>
      <c r="CP160" s="656">
        <v>3254.10936524</v>
      </c>
      <c r="CQ160" s="656">
        <v>3638.2813147900001</v>
      </c>
      <c r="CR160" s="656">
        <v>4302.1617130900004</v>
      </c>
      <c r="CS160" s="656">
        <v>4368.8478135799996</v>
      </c>
      <c r="CT160" s="656">
        <v>4345.6237222299997</v>
      </c>
      <c r="CU160" s="656">
        <v>4904.9386672299997</v>
      </c>
      <c r="CV160" s="656">
        <v>5884.94819749</v>
      </c>
      <c r="CW160" s="656">
        <v>5979.6569526700005</v>
      </c>
      <c r="CX160" s="656">
        <v>6065.7969534700005</v>
      </c>
      <c r="CZ160" s="656" t="e">
        <v>#NAME?</v>
      </c>
      <c r="DB160" s="156" t="s">
        <v>359</v>
      </c>
      <c r="DG160" s="156">
        <v>191.56</v>
      </c>
    </row>
    <row r="161" spans="1:111" ht="12.75">
      <c r="A161" s="165" t="s">
        <v>358</v>
      </c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6"/>
      <c r="P161" s="656"/>
      <c r="Q161" s="656"/>
      <c r="R161" s="656"/>
      <c r="S161" s="656"/>
      <c r="T161" s="656"/>
      <c r="U161" s="656"/>
      <c r="V161" s="656"/>
      <c r="W161" s="656"/>
      <c r="X161" s="656"/>
      <c r="Y161" s="656">
        <v>0</v>
      </c>
      <c r="Z161" s="656"/>
      <c r="AA161" s="656"/>
      <c r="AB161" s="656">
        <v>0</v>
      </c>
      <c r="AC161" s="656"/>
      <c r="AD161" s="158"/>
      <c r="AE161" s="158"/>
      <c r="AF161" s="656"/>
      <c r="AG161" s="656"/>
      <c r="AH161" s="656"/>
      <c r="AI161" s="656"/>
      <c r="AJ161" s="656"/>
      <c r="AK161" s="656"/>
      <c r="AL161" s="656"/>
      <c r="AM161" s="656"/>
      <c r="AN161" s="656"/>
      <c r="AO161" s="656"/>
      <c r="AP161" s="656"/>
      <c r="AQ161" s="656"/>
      <c r="AR161" s="656"/>
      <c r="AS161" s="656"/>
      <c r="AT161" s="656"/>
      <c r="AU161" s="656"/>
      <c r="AV161" s="656"/>
      <c r="AW161" s="656"/>
      <c r="AX161" s="656"/>
      <c r="AY161" s="656"/>
      <c r="AZ161" s="656"/>
      <c r="BA161" s="656"/>
      <c r="BB161" s="656"/>
      <c r="BC161" s="656"/>
      <c r="BD161" s="656"/>
      <c r="BE161" s="656"/>
      <c r="BF161" s="656"/>
      <c r="BG161" s="656"/>
      <c r="BH161" s="656"/>
      <c r="BI161" s="656"/>
      <c r="BJ161" s="656"/>
      <c r="BK161" s="656"/>
      <c r="BL161" s="656"/>
      <c r="BM161" s="656"/>
      <c r="BN161" s="656"/>
      <c r="BO161" s="656"/>
      <c r="BP161" s="656"/>
      <c r="BQ161" s="656"/>
      <c r="BR161" s="656"/>
      <c r="BS161" s="656"/>
      <c r="BT161" s="656"/>
      <c r="BU161" s="656"/>
      <c r="BV161" s="656"/>
      <c r="BW161" s="656"/>
      <c r="BX161" s="656"/>
      <c r="BY161" s="656"/>
      <c r="BZ161" s="656"/>
      <c r="CA161" s="656"/>
      <c r="CB161" s="656"/>
      <c r="CC161" s="656"/>
      <c r="CD161" s="656"/>
      <c r="CE161" s="656"/>
      <c r="CF161" s="656"/>
      <c r="CG161" s="656"/>
      <c r="CH161" s="656"/>
      <c r="CI161" s="656"/>
      <c r="CJ161" s="656"/>
      <c r="CK161" s="656"/>
      <c r="CL161" s="656"/>
      <c r="CM161" s="656"/>
      <c r="CN161" s="656"/>
      <c r="CO161" s="656"/>
      <c r="CP161" s="656"/>
      <c r="CQ161" s="656"/>
      <c r="CR161" s="656"/>
      <c r="CS161" s="656">
        <v>0</v>
      </c>
      <c r="CT161" s="656">
        <v>0</v>
      </c>
      <c r="CU161" s="656">
        <v>0</v>
      </c>
      <c r="CV161" s="656">
        <v>0</v>
      </c>
      <c r="CW161" s="656">
        <v>0</v>
      </c>
      <c r="CX161" s="656">
        <v>0</v>
      </c>
      <c r="CZ161" s="656" t="e">
        <v>#NAME?</v>
      </c>
      <c r="DB161" s="156" t="s">
        <v>358</v>
      </c>
      <c r="DG161" s="156">
        <v>3.21</v>
      </c>
    </row>
    <row r="162" spans="1:111" ht="12.75">
      <c r="A162" s="165" t="s">
        <v>273</v>
      </c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6"/>
      <c r="P162" s="656"/>
      <c r="Q162" s="656"/>
      <c r="R162" s="656"/>
      <c r="S162" s="656"/>
      <c r="T162" s="656"/>
      <c r="U162" s="656"/>
      <c r="V162" s="656"/>
      <c r="W162" s="656"/>
      <c r="X162" s="656"/>
      <c r="Y162" s="656">
        <v>0</v>
      </c>
      <c r="Z162" s="656"/>
      <c r="AA162" s="656"/>
      <c r="AB162" s="656">
        <v>0</v>
      </c>
      <c r="AC162" s="656"/>
      <c r="AD162" s="158"/>
      <c r="AE162" s="158"/>
      <c r="AF162" s="656"/>
      <c r="AG162" s="656"/>
      <c r="AH162" s="656"/>
      <c r="AI162" s="656"/>
      <c r="AJ162" s="656"/>
      <c r="AK162" s="656"/>
      <c r="AL162" s="656"/>
      <c r="AM162" s="656"/>
      <c r="AN162" s="656"/>
      <c r="AO162" s="656"/>
      <c r="AP162" s="656"/>
      <c r="AQ162" s="656"/>
      <c r="AR162" s="656"/>
      <c r="AS162" s="656"/>
      <c r="AT162" s="656"/>
      <c r="AU162" s="656"/>
      <c r="AV162" s="656"/>
      <c r="AW162" s="656"/>
      <c r="AX162" s="656"/>
      <c r="AY162" s="656"/>
      <c r="AZ162" s="656"/>
      <c r="BA162" s="656"/>
      <c r="BB162" s="656"/>
      <c r="BC162" s="656"/>
      <c r="BD162" s="656"/>
      <c r="BE162" s="656"/>
      <c r="BF162" s="656"/>
      <c r="BG162" s="656"/>
      <c r="BH162" s="656"/>
      <c r="BI162" s="656"/>
      <c r="BJ162" s="656"/>
      <c r="BK162" s="656"/>
      <c r="BL162" s="656"/>
      <c r="BM162" s="656"/>
      <c r="BN162" s="656"/>
      <c r="BO162" s="656"/>
      <c r="BP162" s="656"/>
      <c r="BQ162" s="656"/>
      <c r="BR162" s="656"/>
      <c r="BS162" s="656"/>
      <c r="BT162" s="656"/>
      <c r="BU162" s="656"/>
      <c r="BV162" s="656"/>
      <c r="BW162" s="656"/>
      <c r="BX162" s="656"/>
      <c r="BY162" s="656"/>
      <c r="BZ162" s="656"/>
      <c r="CA162" s="656"/>
      <c r="CB162" s="656"/>
      <c r="CC162" s="656"/>
      <c r="CD162" s="656"/>
      <c r="CE162" s="656"/>
      <c r="CF162" s="656"/>
      <c r="CG162" s="656"/>
      <c r="CH162" s="656"/>
      <c r="CI162" s="656"/>
      <c r="CJ162" s="656"/>
      <c r="CK162" s="656"/>
      <c r="CL162" s="656"/>
      <c r="CM162" s="656"/>
      <c r="CN162" s="656"/>
      <c r="CO162" s="656"/>
      <c r="CP162" s="656"/>
      <c r="CQ162" s="656"/>
      <c r="CR162" s="656"/>
      <c r="CS162" s="656">
        <v>0</v>
      </c>
      <c r="CT162" s="656">
        <v>0</v>
      </c>
      <c r="CU162" s="656">
        <v>0</v>
      </c>
      <c r="CV162" s="656">
        <v>0</v>
      </c>
      <c r="CW162" s="656">
        <v>0</v>
      </c>
      <c r="CX162" s="656">
        <v>0</v>
      </c>
      <c r="CZ162" s="656" t="e">
        <v>#NAME?</v>
      </c>
      <c r="DB162" s="156" t="s">
        <v>273</v>
      </c>
      <c r="DG162" s="156" t="e">
        <v>#VALUE!</v>
      </c>
    </row>
    <row r="163" spans="1:111" ht="12.75">
      <c r="A163" s="165" t="s">
        <v>357</v>
      </c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6"/>
      <c r="P163" s="656"/>
      <c r="Q163" s="656"/>
      <c r="R163" s="656"/>
      <c r="S163" s="656"/>
      <c r="T163" s="656"/>
      <c r="U163" s="656"/>
      <c r="V163" s="656"/>
      <c r="W163" s="656"/>
      <c r="X163" s="656"/>
      <c r="Y163" s="656">
        <v>0</v>
      </c>
      <c r="Z163" s="656"/>
      <c r="AA163" s="656"/>
      <c r="AB163" s="656">
        <v>3.77663225</v>
      </c>
      <c r="AC163" s="656"/>
      <c r="AD163" s="158"/>
      <c r="AE163" s="158"/>
      <c r="AF163" s="656"/>
      <c r="AG163" s="656"/>
      <c r="AH163" s="656"/>
      <c r="AI163" s="656"/>
      <c r="AJ163" s="656"/>
      <c r="AK163" s="656"/>
      <c r="AL163" s="656"/>
      <c r="AM163" s="656"/>
      <c r="AN163" s="656"/>
      <c r="AO163" s="656"/>
      <c r="AP163" s="656"/>
      <c r="AQ163" s="656"/>
      <c r="AR163" s="656"/>
      <c r="AS163" s="656"/>
      <c r="AT163" s="656"/>
      <c r="AU163" s="656"/>
      <c r="AV163" s="656"/>
      <c r="AW163" s="656"/>
      <c r="AX163" s="656"/>
      <c r="AY163" s="656"/>
      <c r="AZ163" s="656"/>
      <c r="BA163" s="656"/>
      <c r="BB163" s="656"/>
      <c r="BC163" s="656"/>
      <c r="BD163" s="656"/>
      <c r="BE163" s="656"/>
      <c r="BF163" s="656"/>
      <c r="BG163" s="656"/>
      <c r="BH163" s="656"/>
      <c r="BI163" s="656"/>
      <c r="BJ163" s="656"/>
      <c r="BK163" s="656"/>
      <c r="BL163" s="656"/>
      <c r="BM163" s="656"/>
      <c r="BN163" s="656"/>
      <c r="BO163" s="656"/>
      <c r="BP163" s="656"/>
      <c r="BQ163" s="656"/>
      <c r="BR163" s="656"/>
      <c r="BS163" s="656"/>
      <c r="BT163" s="656"/>
      <c r="BU163" s="656"/>
      <c r="BV163" s="656"/>
      <c r="BW163" s="656"/>
      <c r="BX163" s="656"/>
      <c r="BY163" s="656"/>
      <c r="BZ163" s="656"/>
      <c r="CA163" s="656"/>
      <c r="CB163" s="656"/>
      <c r="CC163" s="656"/>
      <c r="CD163" s="656"/>
      <c r="CE163" s="656"/>
      <c r="CF163" s="656"/>
      <c r="CG163" s="656"/>
      <c r="CH163" s="656"/>
      <c r="CI163" s="656"/>
      <c r="CJ163" s="656"/>
      <c r="CK163" s="656"/>
      <c r="CL163" s="656"/>
      <c r="CM163" s="656"/>
      <c r="CN163" s="656"/>
      <c r="CO163" s="656"/>
      <c r="CP163" s="656"/>
      <c r="CQ163" s="656"/>
      <c r="CR163" s="656"/>
      <c r="CS163" s="656">
        <v>0</v>
      </c>
      <c r="CT163" s="656">
        <v>0</v>
      </c>
      <c r="CU163" s="656">
        <v>3.77663225</v>
      </c>
      <c r="CV163" s="656">
        <v>3.7224751499999997</v>
      </c>
      <c r="CW163" s="656">
        <v>3.5404106099999999</v>
      </c>
      <c r="CX163" s="656">
        <v>2.6660651500000001</v>
      </c>
      <c r="CZ163" s="656" t="e">
        <v>#NAME?</v>
      </c>
      <c r="DB163" s="156" t="s">
        <v>357</v>
      </c>
      <c r="DG163" s="156">
        <v>0.33</v>
      </c>
    </row>
    <row r="164" spans="1:111" ht="12.75">
      <c r="A164" s="165" t="s">
        <v>356</v>
      </c>
      <c r="B164" s="656"/>
      <c r="C164" s="656"/>
      <c r="D164" s="656"/>
      <c r="E164" s="656"/>
      <c r="F164" s="656"/>
      <c r="G164" s="656"/>
      <c r="H164" s="656"/>
      <c r="I164" s="656"/>
      <c r="J164" s="656"/>
      <c r="K164" s="656"/>
      <c r="L164" s="656"/>
      <c r="M164" s="656"/>
      <c r="N164" s="656"/>
      <c r="O164" s="656"/>
      <c r="P164" s="656"/>
      <c r="Q164" s="656"/>
      <c r="R164" s="656"/>
      <c r="S164" s="656"/>
      <c r="T164" s="656"/>
      <c r="U164" s="656"/>
      <c r="V164" s="656"/>
      <c r="W164" s="656"/>
      <c r="X164" s="656"/>
      <c r="Y164" s="656">
        <v>0</v>
      </c>
      <c r="Z164" s="656"/>
      <c r="AA164" s="656"/>
      <c r="AB164" s="656">
        <v>0</v>
      </c>
      <c r="AC164" s="656"/>
      <c r="AD164" s="158"/>
      <c r="AE164" s="158"/>
      <c r="AF164" s="656"/>
      <c r="AG164" s="656"/>
      <c r="AH164" s="656"/>
      <c r="AI164" s="656"/>
      <c r="AJ164" s="656"/>
      <c r="AK164" s="656"/>
      <c r="AL164" s="656"/>
      <c r="AM164" s="656"/>
      <c r="AN164" s="656"/>
      <c r="AO164" s="656"/>
      <c r="AP164" s="656"/>
      <c r="AQ164" s="656"/>
      <c r="AR164" s="656"/>
      <c r="AS164" s="656"/>
      <c r="AT164" s="656"/>
      <c r="AU164" s="656"/>
      <c r="AV164" s="656"/>
      <c r="AW164" s="656"/>
      <c r="AX164" s="656"/>
      <c r="AY164" s="656"/>
      <c r="AZ164" s="656"/>
      <c r="BA164" s="656"/>
      <c r="BB164" s="656"/>
      <c r="BC164" s="656"/>
      <c r="BD164" s="656"/>
      <c r="BE164" s="656"/>
      <c r="BF164" s="656"/>
      <c r="BG164" s="656"/>
      <c r="BH164" s="656"/>
      <c r="BI164" s="656"/>
      <c r="BJ164" s="656"/>
      <c r="BK164" s="656"/>
      <c r="BL164" s="656"/>
      <c r="BM164" s="656"/>
      <c r="BN164" s="656"/>
      <c r="BO164" s="656"/>
      <c r="BP164" s="656"/>
      <c r="BQ164" s="656"/>
      <c r="BR164" s="656"/>
      <c r="BS164" s="656"/>
      <c r="BT164" s="656"/>
      <c r="BU164" s="656"/>
      <c r="BV164" s="656"/>
      <c r="BW164" s="656"/>
      <c r="BX164" s="656"/>
      <c r="BY164" s="656"/>
      <c r="BZ164" s="656"/>
      <c r="CA164" s="656"/>
      <c r="CB164" s="656"/>
      <c r="CC164" s="656"/>
      <c r="CD164" s="656"/>
      <c r="CE164" s="656"/>
      <c r="CF164" s="656"/>
      <c r="CG164" s="656"/>
      <c r="CH164" s="656"/>
      <c r="CI164" s="656"/>
      <c r="CJ164" s="656"/>
      <c r="CK164" s="656"/>
      <c r="CL164" s="656"/>
      <c r="CM164" s="656"/>
      <c r="CN164" s="656"/>
      <c r="CO164" s="656"/>
      <c r="CP164" s="656"/>
      <c r="CQ164" s="656"/>
      <c r="CR164" s="656"/>
      <c r="CS164" s="656">
        <v>0</v>
      </c>
      <c r="CT164" s="656">
        <v>0</v>
      </c>
      <c r="CU164" s="656">
        <v>0</v>
      </c>
      <c r="CV164" s="656">
        <v>0</v>
      </c>
      <c r="CW164" s="656">
        <v>0</v>
      </c>
      <c r="CX164" s="656">
        <v>0</v>
      </c>
      <c r="CZ164" s="656" t="e">
        <v>#NAME?</v>
      </c>
      <c r="DB164" s="156" t="s">
        <v>356</v>
      </c>
      <c r="DG164" s="156" t="e">
        <v>#VALUE!</v>
      </c>
    </row>
    <row r="165" spans="1:111" ht="12.75">
      <c r="A165" s="165" t="s">
        <v>355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>
        <v>0</v>
      </c>
      <c r="Z165" s="656"/>
      <c r="AA165" s="656"/>
      <c r="AB165" s="656">
        <v>0</v>
      </c>
      <c r="AC165" s="656"/>
      <c r="AD165" s="158"/>
      <c r="AE165" s="158"/>
      <c r="AF165" s="656"/>
      <c r="AG165" s="656"/>
      <c r="AH165" s="656"/>
      <c r="AI165" s="656"/>
      <c r="AJ165" s="656"/>
      <c r="AK165" s="656"/>
      <c r="AL165" s="656"/>
      <c r="AM165" s="656"/>
      <c r="AN165" s="656"/>
      <c r="AO165" s="656"/>
      <c r="AP165" s="656"/>
      <c r="AQ165" s="656"/>
      <c r="AR165" s="656"/>
      <c r="AS165" s="656"/>
      <c r="AT165" s="656"/>
      <c r="AU165" s="656"/>
      <c r="AV165" s="656"/>
      <c r="AW165" s="656"/>
      <c r="AX165" s="656"/>
      <c r="AY165" s="656"/>
      <c r="AZ165" s="656"/>
      <c r="BA165" s="656"/>
      <c r="BB165" s="656"/>
      <c r="BC165" s="656"/>
      <c r="BD165" s="656"/>
      <c r="BE165" s="656"/>
      <c r="BF165" s="656"/>
      <c r="BG165" s="656"/>
      <c r="BH165" s="656"/>
      <c r="BI165" s="656"/>
      <c r="BJ165" s="656"/>
      <c r="BK165" s="656"/>
      <c r="BL165" s="656"/>
      <c r="BM165" s="656"/>
      <c r="BN165" s="656"/>
      <c r="BO165" s="656"/>
      <c r="BP165" s="656"/>
      <c r="BQ165" s="656"/>
      <c r="BR165" s="656"/>
      <c r="BS165" s="656"/>
      <c r="BT165" s="656"/>
      <c r="BU165" s="656"/>
      <c r="BV165" s="656"/>
      <c r="BW165" s="656"/>
      <c r="BX165" s="656"/>
      <c r="BY165" s="656"/>
      <c r="BZ165" s="656"/>
      <c r="CA165" s="656"/>
      <c r="CB165" s="656"/>
      <c r="CC165" s="656"/>
      <c r="CD165" s="656"/>
      <c r="CE165" s="656"/>
      <c r="CF165" s="656"/>
      <c r="CG165" s="656"/>
      <c r="CH165" s="656"/>
      <c r="CI165" s="656"/>
      <c r="CJ165" s="656"/>
      <c r="CK165" s="656"/>
      <c r="CL165" s="656"/>
      <c r="CM165" s="656"/>
      <c r="CN165" s="656"/>
      <c r="CO165" s="656"/>
      <c r="CP165" s="656"/>
      <c r="CQ165" s="656"/>
      <c r="CR165" s="656"/>
      <c r="CS165" s="656">
        <v>0</v>
      </c>
      <c r="CT165" s="656">
        <v>0</v>
      </c>
      <c r="CU165" s="656">
        <v>0</v>
      </c>
      <c r="CV165" s="656">
        <v>0</v>
      </c>
      <c r="CW165" s="656">
        <v>0</v>
      </c>
      <c r="CX165" s="656">
        <v>0</v>
      </c>
      <c r="CZ165" s="656" t="e">
        <v>#NAME?</v>
      </c>
      <c r="DB165" s="156" t="s">
        <v>355</v>
      </c>
      <c r="DG165" s="156" t="e">
        <v>#VALUE!</v>
      </c>
    </row>
    <row r="166" spans="1:111" ht="12.75">
      <c r="A166" s="167" t="s">
        <v>354</v>
      </c>
      <c r="B166" s="655"/>
      <c r="C166" s="655"/>
      <c r="D166" s="655"/>
      <c r="E166" s="655"/>
      <c r="F166" s="655"/>
      <c r="G166" s="655"/>
      <c r="H166" s="655"/>
      <c r="I166" s="655"/>
      <c r="J166" s="655"/>
      <c r="K166" s="655"/>
      <c r="L166" s="655"/>
      <c r="M166" s="655"/>
      <c r="N166" s="655"/>
      <c r="O166" s="655"/>
      <c r="P166" s="655"/>
      <c r="Q166" s="655"/>
      <c r="R166" s="655"/>
      <c r="S166" s="655"/>
      <c r="T166" s="655"/>
      <c r="U166" s="655">
        <v>871.11300000000006</v>
      </c>
      <c r="V166" s="655">
        <v>1086.9439679899999</v>
      </c>
      <c r="W166" s="655">
        <v>1635.1808635799998</v>
      </c>
      <c r="X166" s="655">
        <v>1913.2533745599999</v>
      </c>
      <c r="Y166" s="655">
        <v>4238.1255406999999</v>
      </c>
      <c r="Z166" s="655">
        <v>5064.2910109599998</v>
      </c>
      <c r="AA166" s="655">
        <v>6323.7578483699999</v>
      </c>
      <c r="AB166" s="655">
        <v>7687.8033377499996</v>
      </c>
      <c r="AC166" s="655"/>
      <c r="AD166" s="158"/>
      <c r="AE166" s="158"/>
      <c r="AF166" s="655"/>
      <c r="AG166" s="655"/>
      <c r="AH166" s="655"/>
      <c r="AI166" s="655"/>
      <c r="AJ166" s="655"/>
      <c r="AK166" s="655"/>
      <c r="AL166" s="655"/>
      <c r="AM166" s="655"/>
      <c r="AN166" s="655"/>
      <c r="AO166" s="655"/>
      <c r="AP166" s="655"/>
      <c r="AQ166" s="655"/>
      <c r="AR166" s="655"/>
      <c r="AS166" s="655"/>
      <c r="AT166" s="655"/>
      <c r="AU166" s="655"/>
      <c r="AV166" s="655"/>
      <c r="AW166" s="655"/>
      <c r="AX166" s="655"/>
      <c r="AY166" s="655"/>
      <c r="AZ166" s="655"/>
      <c r="BA166" s="655"/>
      <c r="BB166" s="655"/>
      <c r="BC166" s="655"/>
      <c r="BD166" s="655"/>
      <c r="BE166" s="655"/>
      <c r="BF166" s="655"/>
      <c r="BG166" s="655"/>
      <c r="BH166" s="655"/>
      <c r="BI166" s="655"/>
      <c r="BJ166" s="655"/>
      <c r="BK166" s="655"/>
      <c r="BL166" s="655"/>
      <c r="BM166" s="655"/>
      <c r="BN166" s="655"/>
      <c r="BO166" s="655"/>
      <c r="BP166" s="655"/>
      <c r="BQ166" s="655"/>
      <c r="BR166" s="655"/>
      <c r="BS166" s="655"/>
      <c r="BT166" s="655"/>
      <c r="BU166" s="655"/>
      <c r="BV166" s="655"/>
      <c r="BW166" s="655"/>
      <c r="BX166" s="655"/>
      <c r="BY166" s="655"/>
      <c r="BZ166" s="655"/>
      <c r="CA166" s="655"/>
      <c r="CB166" s="655"/>
      <c r="CC166" s="655">
        <v>1716.7860000000001</v>
      </c>
      <c r="CD166" s="655"/>
      <c r="CE166" s="655">
        <v>1913.2533745599999</v>
      </c>
      <c r="CF166" s="655">
        <v>2255.1428401200001</v>
      </c>
      <c r="CG166" s="655">
        <v>4321.0062635499999</v>
      </c>
      <c r="CH166" s="655">
        <v>4041.1990826000001</v>
      </c>
      <c r="CI166" s="655">
        <v>4238.1255406999999</v>
      </c>
      <c r="CJ166" s="655">
        <v>3982.7594604699998</v>
      </c>
      <c r="CK166" s="655">
        <v>4392.7403176199996</v>
      </c>
      <c r="CL166" s="655">
        <v>4803.6257187700003</v>
      </c>
      <c r="CM166" s="655">
        <v>5064.2910109599998</v>
      </c>
      <c r="CN166" s="655">
        <v>5553.32830302</v>
      </c>
      <c r="CO166" s="655">
        <v>5434.6706242800001</v>
      </c>
      <c r="CP166" s="655">
        <v>5975.9170325499999</v>
      </c>
      <c r="CQ166" s="655">
        <v>6323.7578483699999</v>
      </c>
      <c r="CR166" s="655">
        <v>6988.1608382700006</v>
      </c>
      <c r="CS166" s="655">
        <v>7064.8772300200008</v>
      </c>
      <c r="CT166" s="655">
        <v>7022.8655438999995</v>
      </c>
      <c r="CU166" s="655">
        <v>7687.8033377499996</v>
      </c>
      <c r="CV166" s="655">
        <v>8658.1544321599995</v>
      </c>
      <c r="CW166" s="655">
        <v>8735.5839576299986</v>
      </c>
      <c r="CX166" s="655">
        <v>8798.5487554899992</v>
      </c>
      <c r="CZ166" s="655" t="e">
        <v>#NAME?</v>
      </c>
      <c r="DB166" s="156" t="s">
        <v>354</v>
      </c>
      <c r="DG166" s="156">
        <v>14367.95</v>
      </c>
    </row>
    <row r="167" spans="1:111" ht="12.75">
      <c r="A167" s="167" t="s">
        <v>353</v>
      </c>
      <c r="B167" s="655"/>
      <c r="C167" s="655"/>
      <c r="D167" s="655"/>
      <c r="E167" s="655"/>
      <c r="F167" s="655"/>
      <c r="G167" s="655"/>
      <c r="H167" s="655"/>
      <c r="I167" s="655"/>
      <c r="J167" s="655"/>
      <c r="K167" s="655"/>
      <c r="L167" s="655"/>
      <c r="M167" s="655"/>
      <c r="N167" s="655"/>
      <c r="O167" s="655"/>
      <c r="P167" s="655"/>
      <c r="Q167" s="655"/>
      <c r="R167" s="655"/>
      <c r="S167" s="655"/>
      <c r="T167" s="655"/>
      <c r="U167" s="655">
        <v>871.11300000000006</v>
      </c>
      <c r="V167" s="655">
        <v>1086.9439679899999</v>
      </c>
      <c r="W167" s="655">
        <v>1635.1808635799998</v>
      </c>
      <c r="X167" s="655">
        <v>1913.2533745599999</v>
      </c>
      <c r="Y167" s="655">
        <v>4238.1255406999999</v>
      </c>
      <c r="Z167" s="655">
        <v>5064.2910109599998</v>
      </c>
      <c r="AA167" s="655">
        <v>6323.7578483699999</v>
      </c>
      <c r="AB167" s="655">
        <v>7691.5799699999998</v>
      </c>
      <c r="AC167" s="655"/>
      <c r="AD167" s="158"/>
      <c r="AE167" s="158"/>
      <c r="AF167" s="655"/>
      <c r="AG167" s="655"/>
      <c r="AH167" s="655"/>
      <c r="AI167" s="655"/>
      <c r="AJ167" s="655"/>
      <c r="AK167" s="655"/>
      <c r="AL167" s="655"/>
      <c r="AM167" s="655"/>
      <c r="AN167" s="655"/>
      <c r="AO167" s="655"/>
      <c r="AP167" s="655"/>
      <c r="AQ167" s="655"/>
      <c r="AR167" s="655"/>
      <c r="AS167" s="655"/>
      <c r="AT167" s="655"/>
      <c r="AU167" s="655"/>
      <c r="AV167" s="655"/>
      <c r="AW167" s="655"/>
      <c r="AX167" s="655"/>
      <c r="AY167" s="655"/>
      <c r="AZ167" s="655"/>
      <c r="BA167" s="655"/>
      <c r="BB167" s="655"/>
      <c r="BC167" s="655"/>
      <c r="BD167" s="655"/>
      <c r="BE167" s="655"/>
      <c r="BF167" s="655"/>
      <c r="BG167" s="655"/>
      <c r="BH167" s="655"/>
      <c r="BI167" s="655"/>
      <c r="BJ167" s="655"/>
      <c r="BK167" s="655"/>
      <c r="BL167" s="655"/>
      <c r="BM167" s="655"/>
      <c r="BN167" s="655"/>
      <c r="BO167" s="655"/>
      <c r="BP167" s="655"/>
      <c r="BQ167" s="655"/>
      <c r="BR167" s="655"/>
      <c r="BS167" s="655"/>
      <c r="BT167" s="655"/>
      <c r="BU167" s="655"/>
      <c r="BV167" s="655"/>
      <c r="BW167" s="655"/>
      <c r="BX167" s="655"/>
      <c r="BY167" s="655"/>
      <c r="BZ167" s="655"/>
      <c r="CA167" s="655"/>
      <c r="CB167" s="655"/>
      <c r="CC167" s="655">
        <v>1716.7860000000001</v>
      </c>
      <c r="CD167" s="655"/>
      <c r="CE167" s="655">
        <v>1913.2533745599999</v>
      </c>
      <c r="CF167" s="655">
        <v>2255.1428401200001</v>
      </c>
      <c r="CG167" s="655">
        <v>4321.0062635499999</v>
      </c>
      <c r="CH167" s="655">
        <v>4041.1990826000001</v>
      </c>
      <c r="CI167" s="655">
        <v>4238.1255406999999</v>
      </c>
      <c r="CJ167" s="655">
        <v>3982.7594604699998</v>
      </c>
      <c r="CK167" s="655">
        <v>4392.7403176199996</v>
      </c>
      <c r="CL167" s="655">
        <v>4803.6257187700003</v>
      </c>
      <c r="CM167" s="655">
        <v>5064.2910109599998</v>
      </c>
      <c r="CN167" s="655">
        <v>5553.32830302</v>
      </c>
      <c r="CO167" s="655">
        <v>5434.6706242800001</v>
      </c>
      <c r="CP167" s="655">
        <v>5975.9170325499999</v>
      </c>
      <c r="CQ167" s="655">
        <v>6323.7578483699999</v>
      </c>
      <c r="CR167" s="655">
        <v>6988.1608382700006</v>
      </c>
      <c r="CS167" s="655">
        <v>7064.8772300200008</v>
      </c>
      <c r="CT167" s="655">
        <v>7022.8655438999995</v>
      </c>
      <c r="CU167" s="655">
        <v>7691.5799699999998</v>
      </c>
      <c r="CV167" s="655">
        <v>8661.8769073099993</v>
      </c>
      <c r="CW167" s="655">
        <v>8739.12436824</v>
      </c>
      <c r="CX167" s="655">
        <v>8801.2148206399997</v>
      </c>
      <c r="CZ167" s="655" t="e">
        <v>#NAME?</v>
      </c>
      <c r="DB167" s="156" t="s">
        <v>353</v>
      </c>
      <c r="DG167" s="156">
        <v>1687.48</v>
      </c>
    </row>
    <row r="168" spans="1:111" ht="12.75">
      <c r="A168" s="165" t="s">
        <v>352</v>
      </c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6"/>
      <c r="P168" s="656"/>
      <c r="Q168" s="656"/>
      <c r="R168" s="656"/>
      <c r="S168" s="656"/>
      <c r="T168" s="656"/>
      <c r="U168" s="656"/>
      <c r="V168" s="656"/>
      <c r="W168" s="656"/>
      <c r="X168" s="656"/>
      <c r="Y168" s="656">
        <v>0</v>
      </c>
      <c r="Z168" s="656"/>
      <c r="AA168" s="656"/>
      <c r="AB168" s="656">
        <v>0</v>
      </c>
      <c r="AC168" s="656"/>
      <c r="AD168" s="158"/>
      <c r="AE168" s="158"/>
      <c r="AF168" s="656"/>
      <c r="AG168" s="656"/>
      <c r="AH168" s="656"/>
      <c r="AI168" s="656"/>
      <c r="AJ168" s="656"/>
      <c r="AK168" s="656"/>
      <c r="AL168" s="656"/>
      <c r="AM168" s="656"/>
      <c r="AN168" s="656"/>
      <c r="AO168" s="656"/>
      <c r="AP168" s="656"/>
      <c r="AQ168" s="656"/>
      <c r="AR168" s="656"/>
      <c r="AS168" s="656"/>
      <c r="AT168" s="656"/>
      <c r="AU168" s="656"/>
      <c r="AV168" s="656"/>
      <c r="AW168" s="656"/>
      <c r="AX168" s="656"/>
      <c r="AY168" s="656"/>
      <c r="AZ168" s="656"/>
      <c r="BA168" s="656"/>
      <c r="BB168" s="656"/>
      <c r="BC168" s="656"/>
      <c r="BD168" s="656"/>
      <c r="BE168" s="656"/>
      <c r="BF168" s="656"/>
      <c r="BG168" s="656"/>
      <c r="BH168" s="656"/>
      <c r="BI168" s="656"/>
      <c r="BJ168" s="656"/>
      <c r="BK168" s="656"/>
      <c r="BL168" s="656"/>
      <c r="BM168" s="656"/>
      <c r="BN168" s="656"/>
      <c r="BO168" s="656"/>
      <c r="BP168" s="656"/>
      <c r="BQ168" s="656"/>
      <c r="BR168" s="656"/>
      <c r="BS168" s="656"/>
      <c r="BT168" s="656"/>
      <c r="BU168" s="656"/>
      <c r="BV168" s="656"/>
      <c r="BW168" s="656"/>
      <c r="BX168" s="656"/>
      <c r="BY168" s="656"/>
      <c r="BZ168" s="656"/>
      <c r="CA168" s="656"/>
      <c r="CB168" s="656"/>
      <c r="CC168" s="656"/>
      <c r="CD168" s="656"/>
      <c r="CE168" s="656"/>
      <c r="CF168" s="656"/>
      <c r="CG168" s="656"/>
      <c r="CH168" s="656"/>
      <c r="CI168" s="656"/>
      <c r="CJ168" s="656"/>
      <c r="CK168" s="656"/>
      <c r="CL168" s="656"/>
      <c r="CM168" s="656"/>
      <c r="CN168" s="656"/>
      <c r="CO168" s="656"/>
      <c r="CP168" s="656"/>
      <c r="CQ168" s="656"/>
      <c r="CR168" s="656"/>
      <c r="CS168" s="656">
        <v>0</v>
      </c>
      <c r="CT168" s="656">
        <v>0</v>
      </c>
      <c r="CU168" s="656">
        <v>0</v>
      </c>
      <c r="CV168" s="656">
        <v>0</v>
      </c>
      <c r="CW168" s="656">
        <v>0</v>
      </c>
      <c r="CX168" s="656">
        <v>0</v>
      </c>
      <c r="CZ168" s="656" t="e">
        <v>#NAME?</v>
      </c>
      <c r="DB168" s="156" t="s">
        <v>352</v>
      </c>
      <c r="DG168" s="156">
        <v>19555.96</v>
      </c>
    </row>
    <row r="169" spans="1:111" ht="12.75">
      <c r="A169" s="165" t="s">
        <v>351</v>
      </c>
      <c r="B169" s="656"/>
      <c r="C169" s="656"/>
      <c r="D169" s="656"/>
      <c r="E169" s="656"/>
      <c r="F169" s="656"/>
      <c r="G169" s="656"/>
      <c r="H169" s="656"/>
      <c r="I169" s="656"/>
      <c r="J169" s="656"/>
      <c r="K169" s="656"/>
      <c r="L169" s="656"/>
      <c r="M169" s="656"/>
      <c r="N169" s="656"/>
      <c r="O169" s="656"/>
      <c r="P169" s="656"/>
      <c r="Q169" s="656"/>
      <c r="R169" s="656"/>
      <c r="S169" s="656"/>
      <c r="T169" s="656"/>
      <c r="U169" s="656">
        <v>-1E-4</v>
      </c>
      <c r="V169" s="656"/>
      <c r="W169" s="656"/>
      <c r="X169" s="656"/>
      <c r="Y169" s="656">
        <v>0</v>
      </c>
      <c r="Z169" s="656"/>
      <c r="AA169" s="656"/>
      <c r="AB169" s="656">
        <v>0</v>
      </c>
      <c r="AC169" s="656"/>
      <c r="AD169" s="158"/>
      <c r="AE169" s="158"/>
      <c r="AF169" s="656"/>
      <c r="AG169" s="656"/>
      <c r="AH169" s="656"/>
      <c r="AI169" s="656"/>
      <c r="AJ169" s="656"/>
      <c r="AK169" s="656"/>
      <c r="AL169" s="656"/>
      <c r="AM169" s="656"/>
      <c r="AN169" s="656"/>
      <c r="AO169" s="656"/>
      <c r="AP169" s="656"/>
      <c r="AQ169" s="656"/>
      <c r="AR169" s="656"/>
      <c r="AS169" s="656"/>
      <c r="AT169" s="656"/>
      <c r="AU169" s="656"/>
      <c r="AV169" s="656"/>
      <c r="AW169" s="656"/>
      <c r="AX169" s="656"/>
      <c r="AY169" s="656"/>
      <c r="AZ169" s="656"/>
      <c r="BA169" s="656"/>
      <c r="BB169" s="656"/>
      <c r="BC169" s="656"/>
      <c r="BD169" s="656"/>
      <c r="BE169" s="656"/>
      <c r="BF169" s="656"/>
      <c r="BG169" s="656"/>
      <c r="BH169" s="656"/>
      <c r="BI169" s="656"/>
      <c r="BJ169" s="656"/>
      <c r="BK169" s="656"/>
      <c r="BL169" s="656"/>
      <c r="BM169" s="656"/>
      <c r="BN169" s="656"/>
      <c r="BO169" s="656"/>
      <c r="BP169" s="656"/>
      <c r="BQ169" s="656"/>
      <c r="BR169" s="656"/>
      <c r="BS169" s="656"/>
      <c r="BT169" s="656"/>
      <c r="BU169" s="656"/>
      <c r="BV169" s="656"/>
      <c r="BW169" s="656"/>
      <c r="BX169" s="656"/>
      <c r="BY169" s="656"/>
      <c r="BZ169" s="656"/>
      <c r="CA169" s="656"/>
      <c r="CB169" s="656"/>
      <c r="CC169" s="656"/>
      <c r="CD169" s="656"/>
      <c r="CE169" s="656"/>
      <c r="CF169" s="656"/>
      <c r="CG169" s="656"/>
      <c r="CH169" s="656"/>
      <c r="CI169" s="656"/>
      <c r="CJ169" s="656"/>
      <c r="CK169" s="656"/>
      <c r="CL169" s="656"/>
      <c r="CM169" s="656"/>
      <c r="CN169" s="656"/>
      <c r="CO169" s="656"/>
      <c r="CP169" s="656"/>
      <c r="CQ169" s="656"/>
      <c r="CR169" s="656"/>
      <c r="CS169" s="656">
        <v>0</v>
      </c>
      <c r="CT169" s="656">
        <v>0</v>
      </c>
      <c r="CU169" s="656">
        <v>0</v>
      </c>
      <c r="CV169" s="656">
        <v>0</v>
      </c>
      <c r="CW169" s="656">
        <v>0</v>
      </c>
      <c r="CX169" s="656">
        <v>0</v>
      </c>
      <c r="CZ169" s="656" t="e">
        <v>#NAME?</v>
      </c>
      <c r="DB169" s="156" t="s">
        <v>351</v>
      </c>
      <c r="DG169" s="156" t="e">
        <v>#VALUE!</v>
      </c>
    </row>
    <row r="170" spans="1:111" ht="12.75">
      <c r="A170" s="167" t="s">
        <v>350</v>
      </c>
      <c r="B170" s="655"/>
      <c r="C170" s="655"/>
      <c r="D170" s="655"/>
      <c r="E170" s="655"/>
      <c r="F170" s="655"/>
      <c r="G170" s="655"/>
      <c r="H170" s="655"/>
      <c r="I170" s="655"/>
      <c r="J170" s="655"/>
      <c r="K170" s="655"/>
      <c r="L170" s="655"/>
      <c r="M170" s="655"/>
      <c r="N170" s="655"/>
      <c r="O170" s="655"/>
      <c r="P170" s="655"/>
      <c r="Q170" s="655"/>
      <c r="R170" s="655"/>
      <c r="S170" s="655"/>
      <c r="T170" s="655"/>
      <c r="U170" s="655">
        <v>2051.0144</v>
      </c>
      <c r="V170" s="655">
        <v>2107.5256873399999</v>
      </c>
      <c r="W170" s="655">
        <v>3340.7003072800003</v>
      </c>
      <c r="X170" s="655">
        <v>4361.2864474099997</v>
      </c>
      <c r="Y170" s="655">
        <v>7790.4911589799995</v>
      </c>
      <c r="Z170" s="655">
        <v>11869.648285860001</v>
      </c>
      <c r="AA170" s="655">
        <v>14710.04991267</v>
      </c>
      <c r="AB170" s="655">
        <v>22676.296132900003</v>
      </c>
      <c r="AC170" s="655"/>
      <c r="AD170" s="158"/>
      <c r="AE170" s="158"/>
      <c r="AF170" s="655"/>
      <c r="AG170" s="655"/>
      <c r="AH170" s="655"/>
      <c r="AI170" s="655"/>
      <c r="AJ170" s="655"/>
      <c r="AK170" s="655"/>
      <c r="AL170" s="655"/>
      <c r="AM170" s="655"/>
      <c r="AN170" s="655"/>
      <c r="AO170" s="655"/>
      <c r="AP170" s="655"/>
      <c r="AQ170" s="655"/>
      <c r="AR170" s="655"/>
      <c r="AS170" s="655"/>
      <c r="AT170" s="655"/>
      <c r="AU170" s="655"/>
      <c r="AV170" s="655"/>
      <c r="AW170" s="655"/>
      <c r="AX170" s="655"/>
      <c r="AY170" s="655"/>
      <c r="AZ170" s="655"/>
      <c r="BA170" s="655"/>
      <c r="BB170" s="655"/>
      <c r="BC170" s="655"/>
      <c r="BD170" s="655"/>
      <c r="BE170" s="655"/>
      <c r="BF170" s="655"/>
      <c r="BG170" s="655"/>
      <c r="BH170" s="655"/>
      <c r="BI170" s="655"/>
      <c r="BJ170" s="655"/>
      <c r="BK170" s="655"/>
      <c r="BL170" s="655"/>
      <c r="BM170" s="655"/>
      <c r="BN170" s="655"/>
      <c r="BO170" s="655"/>
      <c r="BP170" s="655"/>
      <c r="BQ170" s="655"/>
      <c r="BR170" s="655"/>
      <c r="BS170" s="655"/>
      <c r="BT170" s="655"/>
      <c r="BU170" s="655"/>
      <c r="BV170" s="655"/>
      <c r="BW170" s="655"/>
      <c r="BX170" s="655"/>
      <c r="BY170" s="655"/>
      <c r="BZ170" s="655"/>
      <c r="CA170" s="655"/>
      <c r="CB170" s="655"/>
      <c r="CC170" s="655">
        <v>3730.6381999999999</v>
      </c>
      <c r="CD170" s="655"/>
      <c r="CE170" s="655">
        <v>4361.2864474099997</v>
      </c>
      <c r="CF170" s="655">
        <v>4661.1823415400004</v>
      </c>
      <c r="CG170" s="655">
        <v>7096.92610212</v>
      </c>
      <c r="CH170" s="655">
        <v>6678.7395582299996</v>
      </c>
      <c r="CI170" s="655">
        <v>7790.4911589799995</v>
      </c>
      <c r="CJ170" s="655">
        <v>8955.5629127399989</v>
      </c>
      <c r="CK170" s="655">
        <v>9647.5299397600011</v>
      </c>
      <c r="CL170" s="655">
        <v>10482.92541403</v>
      </c>
      <c r="CM170" s="655">
        <v>11869.648285860001</v>
      </c>
      <c r="CN170" s="655">
        <v>12827.939817549999</v>
      </c>
      <c r="CO170" s="655">
        <v>13518.30494068</v>
      </c>
      <c r="CP170" s="655">
        <v>14629.98270805</v>
      </c>
      <c r="CQ170" s="655">
        <v>14710.04991267</v>
      </c>
      <c r="CR170" s="655">
        <v>15816.284627499999</v>
      </c>
      <c r="CS170" s="655">
        <v>18647.327195540001</v>
      </c>
      <c r="CT170" s="655">
        <v>19909.541894000002</v>
      </c>
      <c r="CU170" s="655">
        <v>22676.296132900003</v>
      </c>
      <c r="CV170" s="655">
        <v>22681.820470259998</v>
      </c>
      <c r="CW170" s="655">
        <v>22915.401434979998</v>
      </c>
      <c r="CX170" s="655">
        <v>23943.346755830004</v>
      </c>
      <c r="CZ170" s="655" t="e">
        <v>#NAME?</v>
      </c>
      <c r="DB170" s="156" t="s">
        <v>350</v>
      </c>
      <c r="DG170" s="156" t="e">
        <v>#VALUE!</v>
      </c>
    </row>
    <row r="171" spans="1:111" ht="12.75">
      <c r="AD171" s="158"/>
      <c r="AE171" s="158"/>
      <c r="AS171" s="156"/>
      <c r="AT171" s="156"/>
      <c r="AU171" s="156"/>
      <c r="AV171" s="156"/>
      <c r="AW171" s="156"/>
      <c r="AX171" s="156"/>
      <c r="AY171" s="156"/>
      <c r="AZ171" s="156"/>
      <c r="BA171" s="156"/>
      <c r="BB171" s="156"/>
      <c r="DG171" s="156" t="e">
        <v>#VALUE!</v>
      </c>
    </row>
    <row r="172" spans="1:111">
      <c r="B172" s="658"/>
      <c r="C172" s="658"/>
      <c r="D172" s="658"/>
      <c r="E172" s="658"/>
      <c r="F172" s="658"/>
      <c r="G172" s="658"/>
      <c r="H172" s="658"/>
      <c r="I172" s="658"/>
      <c r="J172" s="658"/>
      <c r="K172" s="658"/>
      <c r="L172" s="658"/>
      <c r="M172" s="658"/>
      <c r="N172" s="658"/>
      <c r="O172" s="658"/>
      <c r="P172" s="658"/>
      <c r="Q172" s="658"/>
      <c r="R172" s="658"/>
      <c r="S172" s="658"/>
      <c r="T172" s="658"/>
      <c r="U172" s="658"/>
      <c r="V172" s="658"/>
      <c r="W172" s="658"/>
      <c r="X172" s="658"/>
      <c r="Y172" s="658"/>
      <c r="Z172" s="658"/>
      <c r="AA172" s="658"/>
      <c r="AB172" s="658"/>
      <c r="AC172" s="658"/>
      <c r="AD172" s="158"/>
      <c r="AE172" s="158"/>
      <c r="AF172" s="658"/>
      <c r="AG172" s="658"/>
      <c r="AH172" s="658"/>
      <c r="AI172" s="658"/>
      <c r="AJ172" s="658"/>
      <c r="AK172" s="658"/>
      <c r="AL172" s="658"/>
      <c r="AM172" s="658"/>
      <c r="AN172" s="658"/>
      <c r="AO172" s="658"/>
      <c r="AP172" s="658"/>
      <c r="AQ172" s="658"/>
      <c r="AR172" s="658"/>
      <c r="AS172" s="658"/>
      <c r="AT172" s="658"/>
      <c r="AU172" s="658"/>
      <c r="AV172" s="658"/>
      <c r="AW172" s="658"/>
      <c r="AX172" s="658"/>
      <c r="AY172" s="658"/>
      <c r="AZ172" s="658"/>
      <c r="BA172" s="658"/>
      <c r="BB172" s="658"/>
      <c r="BC172" s="658"/>
      <c r="BD172" s="658"/>
      <c r="BE172" s="658"/>
      <c r="BF172" s="658"/>
      <c r="BG172" s="658"/>
      <c r="BH172" s="658"/>
      <c r="BI172" s="658"/>
      <c r="BJ172" s="658"/>
      <c r="BK172" s="658"/>
      <c r="BL172" s="658"/>
      <c r="BM172" s="658"/>
      <c r="BN172" s="658"/>
      <c r="BO172" s="658"/>
      <c r="BP172" s="658"/>
      <c r="BQ172" s="658"/>
      <c r="BR172" s="658"/>
      <c r="BS172" s="658"/>
      <c r="BT172" s="658"/>
      <c r="BU172" s="658"/>
      <c r="BV172" s="658"/>
      <c r="BW172" s="658"/>
      <c r="BX172" s="658"/>
      <c r="BY172" s="658"/>
      <c r="BZ172" s="658"/>
      <c r="CA172" s="658"/>
      <c r="CB172" s="658"/>
      <c r="CC172" s="658"/>
      <c r="CD172" s="658"/>
      <c r="CE172" s="658"/>
      <c r="CF172" s="658"/>
      <c r="CG172" s="658"/>
      <c r="CH172" s="658"/>
      <c r="CI172" s="658"/>
      <c r="CJ172" s="658"/>
      <c r="CK172" s="658"/>
      <c r="CL172" s="658"/>
      <c r="CM172" s="658"/>
      <c r="CN172" s="658"/>
      <c r="CO172" s="658"/>
      <c r="CP172" s="658"/>
      <c r="CQ172" s="658"/>
      <c r="CR172" s="658"/>
      <c r="CS172" s="658"/>
      <c r="CT172" s="658"/>
      <c r="CU172" s="658"/>
      <c r="CV172" s="658"/>
      <c r="CW172" s="658"/>
      <c r="CX172" s="658"/>
      <c r="CZ172" s="658"/>
      <c r="DG172" s="156" t="e">
        <v>#VALUE!</v>
      </c>
    </row>
    <row r="173" spans="1:111"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58"/>
      <c r="AB173" s="658"/>
      <c r="AC173" s="658"/>
      <c r="AD173" s="158"/>
      <c r="AE173" s="158"/>
      <c r="AF173" s="658"/>
      <c r="AG173" s="658"/>
      <c r="AH173" s="658"/>
      <c r="AI173" s="658"/>
      <c r="AJ173" s="658"/>
      <c r="AK173" s="658"/>
      <c r="AL173" s="658"/>
      <c r="AM173" s="658"/>
      <c r="AN173" s="658"/>
      <c r="AO173" s="658"/>
      <c r="AP173" s="658"/>
      <c r="AQ173" s="658"/>
      <c r="AR173" s="658"/>
      <c r="AS173" s="658"/>
      <c r="AT173" s="658"/>
      <c r="AU173" s="658"/>
      <c r="AV173" s="658"/>
      <c r="AW173" s="658"/>
      <c r="AX173" s="658"/>
      <c r="AY173" s="658"/>
      <c r="AZ173" s="658"/>
      <c r="BA173" s="658"/>
      <c r="BB173" s="658"/>
      <c r="BC173" s="658"/>
      <c r="BD173" s="658"/>
      <c r="BE173" s="658"/>
      <c r="BF173" s="658"/>
      <c r="BG173" s="658"/>
      <c r="BH173" s="658"/>
      <c r="BI173" s="658"/>
      <c r="BJ173" s="658"/>
      <c r="BK173" s="658"/>
      <c r="BL173" s="658"/>
      <c r="BM173" s="658"/>
      <c r="BN173" s="658"/>
      <c r="BO173" s="658"/>
      <c r="BP173" s="658"/>
      <c r="BQ173" s="658"/>
      <c r="BR173" s="658"/>
      <c r="BS173" s="658"/>
      <c r="BT173" s="658"/>
      <c r="BU173" s="658"/>
      <c r="BV173" s="658"/>
      <c r="BW173" s="658"/>
      <c r="BX173" s="658"/>
      <c r="BY173" s="658"/>
      <c r="BZ173" s="658"/>
      <c r="CA173" s="658"/>
      <c r="CB173" s="658"/>
      <c r="CC173" s="658"/>
      <c r="CD173" s="658"/>
      <c r="CE173" s="658"/>
      <c r="CF173" s="658"/>
      <c r="CG173" s="658"/>
      <c r="CH173" s="658"/>
      <c r="CI173" s="658"/>
      <c r="CJ173" s="658"/>
      <c r="CK173" s="658"/>
      <c r="CL173" s="658"/>
      <c r="CM173" s="658"/>
      <c r="CN173" s="658"/>
      <c r="CO173" s="658"/>
      <c r="CP173" s="658"/>
      <c r="CQ173" s="658"/>
      <c r="CR173" s="658"/>
      <c r="CS173" s="658"/>
      <c r="CT173" s="658"/>
      <c r="CU173" s="658"/>
      <c r="CV173" s="658"/>
      <c r="CW173" s="658"/>
      <c r="CX173" s="658"/>
      <c r="CZ173" s="658"/>
      <c r="DG173" s="156">
        <v>21243.439999999999</v>
      </c>
    </row>
    <row r="174" spans="1:111" ht="12.75">
      <c r="A174" s="998" t="s">
        <v>349</v>
      </c>
      <c r="B174" s="1002"/>
      <c r="C174" s="1002"/>
      <c r="D174" s="1002"/>
      <c r="E174" s="1002"/>
      <c r="F174" s="1002"/>
      <c r="G174" s="1002"/>
      <c r="H174" s="1002"/>
      <c r="I174" s="1002"/>
      <c r="J174" s="1002"/>
      <c r="K174" s="1002"/>
      <c r="L174" s="1002"/>
      <c r="M174" s="1002"/>
      <c r="N174" s="1002"/>
      <c r="O174" s="1002"/>
      <c r="P174" s="1002"/>
      <c r="Q174" s="1002"/>
      <c r="R174" s="1002"/>
      <c r="S174" s="1002"/>
      <c r="T174" s="1002"/>
      <c r="U174" s="1002"/>
      <c r="V174" s="1002"/>
      <c r="W174" s="1002"/>
      <c r="X174" s="1002"/>
      <c r="Y174" s="1002"/>
      <c r="Z174" s="1002"/>
      <c r="AA174" s="1002"/>
      <c r="AB174" s="1002"/>
      <c r="AC174" s="1002"/>
      <c r="AD174" s="158"/>
      <c r="AE174" s="158"/>
      <c r="AF174" s="1002"/>
      <c r="AG174" s="1002"/>
      <c r="AH174" s="1002"/>
      <c r="AI174" s="1002"/>
      <c r="AJ174" s="1002"/>
      <c r="AK174" s="1002"/>
      <c r="AL174" s="1002"/>
      <c r="AM174" s="1002"/>
      <c r="AN174" s="1002"/>
      <c r="AO174" s="1002"/>
      <c r="AP174" s="1002"/>
      <c r="AQ174" s="1002"/>
      <c r="AR174" s="1002"/>
      <c r="AS174" s="1002"/>
      <c r="AT174" s="1002"/>
      <c r="AU174" s="1002"/>
      <c r="AV174" s="1002"/>
      <c r="AW174" s="1002"/>
      <c r="AX174" s="1002"/>
      <c r="AY174" s="1002"/>
      <c r="AZ174" s="1002"/>
      <c r="BA174" s="1002"/>
      <c r="BB174" s="1002"/>
      <c r="BC174" s="1002"/>
      <c r="BD174" s="1002"/>
      <c r="BE174" s="1002"/>
      <c r="BF174" s="1002"/>
      <c r="BG174" s="1002"/>
      <c r="BH174" s="1002"/>
      <c r="BI174" s="1002"/>
      <c r="BJ174" s="1002"/>
      <c r="BK174" s="1002"/>
      <c r="BL174" s="1002"/>
      <c r="BM174" s="1002"/>
      <c r="BN174" s="1002"/>
      <c r="BO174" s="1002"/>
      <c r="BP174" s="1002"/>
      <c r="BQ174" s="1002"/>
      <c r="BR174" s="1002"/>
      <c r="BS174" s="1002"/>
      <c r="BT174" s="1002"/>
      <c r="BU174" s="1002"/>
      <c r="BV174" s="1002"/>
      <c r="BW174" s="1002"/>
      <c r="BX174" s="1002"/>
      <c r="BY174" s="1002"/>
      <c r="BZ174" s="1002"/>
      <c r="CA174" s="1002"/>
      <c r="CB174" s="1002"/>
      <c r="CC174" s="1002"/>
      <c r="CD174" s="1002"/>
      <c r="CE174" s="1002"/>
      <c r="CF174" s="1002"/>
      <c r="CG174" s="1002"/>
      <c r="CH174" s="1002"/>
      <c r="CI174" s="1002"/>
      <c r="CJ174" s="1002"/>
      <c r="CK174" s="1002"/>
      <c r="CL174" s="1002"/>
      <c r="CM174" s="1002"/>
      <c r="CN174" s="1002"/>
      <c r="CO174" s="1002"/>
      <c r="CP174" s="1002"/>
      <c r="CQ174" s="1002"/>
      <c r="CR174" s="1002"/>
      <c r="CS174" s="1002"/>
      <c r="CT174" s="1002"/>
      <c r="CU174" s="1002"/>
      <c r="CV174" s="1002"/>
      <c r="CW174" s="1002"/>
      <c r="CX174" s="1002"/>
      <c r="CZ174" s="1002"/>
      <c r="DB174" s="156" t="s">
        <v>349</v>
      </c>
      <c r="DG174" s="156" t="e">
        <v>#VALUE!</v>
      </c>
    </row>
    <row r="175" spans="1:111">
      <c r="A175" s="167" t="s">
        <v>348</v>
      </c>
      <c r="B175" s="658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58"/>
      <c r="P175" s="658"/>
      <c r="Q175" s="658"/>
      <c r="R175" s="658"/>
      <c r="S175" s="658"/>
      <c r="T175" s="658"/>
      <c r="U175" s="658"/>
      <c r="V175" s="658"/>
      <c r="W175" s="658"/>
      <c r="X175" s="658"/>
      <c r="Y175" s="658"/>
      <c r="Z175" s="658"/>
      <c r="AA175" s="658"/>
      <c r="AB175" s="658"/>
      <c r="AC175" s="658"/>
      <c r="AD175" s="158"/>
      <c r="AE175" s="158"/>
      <c r="AF175" s="658"/>
      <c r="AG175" s="658"/>
      <c r="AH175" s="658"/>
      <c r="AI175" s="658"/>
      <c r="AJ175" s="658"/>
      <c r="AK175" s="658"/>
      <c r="AL175" s="658"/>
      <c r="AM175" s="658"/>
      <c r="AN175" s="658"/>
      <c r="AO175" s="658"/>
      <c r="AP175" s="658"/>
      <c r="AQ175" s="658"/>
      <c r="AR175" s="658"/>
      <c r="AS175" s="658"/>
      <c r="AT175" s="658"/>
      <c r="AU175" s="658"/>
      <c r="AV175" s="658"/>
      <c r="AW175" s="658"/>
      <c r="AX175" s="658"/>
      <c r="AY175" s="658"/>
      <c r="AZ175" s="658"/>
      <c r="BA175" s="658"/>
      <c r="BB175" s="658"/>
      <c r="BC175" s="658"/>
      <c r="BD175" s="658"/>
      <c r="BE175" s="658"/>
      <c r="BF175" s="658"/>
      <c r="BG175" s="658"/>
      <c r="BH175" s="658"/>
      <c r="BI175" s="658"/>
      <c r="BJ175" s="658"/>
      <c r="BK175" s="658"/>
      <c r="BL175" s="658"/>
      <c r="BM175" s="658"/>
      <c r="BN175" s="658"/>
      <c r="BO175" s="658"/>
      <c r="BP175" s="658"/>
      <c r="BQ175" s="658"/>
      <c r="BR175" s="658"/>
      <c r="BS175" s="658"/>
      <c r="BT175" s="658"/>
      <c r="BU175" s="658"/>
      <c r="BV175" s="658"/>
      <c r="BW175" s="658"/>
      <c r="BX175" s="658"/>
      <c r="BY175" s="658"/>
      <c r="BZ175" s="658"/>
      <c r="CA175" s="658"/>
      <c r="CB175" s="658"/>
      <c r="CC175" s="658"/>
      <c r="CD175" s="658"/>
      <c r="CE175" s="658"/>
      <c r="CF175" s="658"/>
      <c r="CG175" s="658"/>
      <c r="CH175" s="658"/>
      <c r="CI175" s="658"/>
      <c r="CJ175" s="658"/>
      <c r="CK175" s="658"/>
      <c r="CL175" s="658"/>
      <c r="CM175" s="658"/>
      <c r="CN175" s="658"/>
      <c r="CO175" s="658"/>
      <c r="CP175" s="658"/>
      <c r="CQ175" s="658"/>
      <c r="CR175" s="658"/>
      <c r="CS175" s="658"/>
      <c r="CT175" s="658"/>
      <c r="CU175" s="658"/>
      <c r="CV175" s="658"/>
      <c r="CW175" s="658"/>
      <c r="CX175" s="658"/>
      <c r="CZ175" s="658"/>
      <c r="DB175" s="156" t="s">
        <v>348</v>
      </c>
      <c r="DG175" s="156">
        <v>-6875.49</v>
      </c>
    </row>
    <row r="176" spans="1:111" ht="12.75">
      <c r="A176" s="165" t="s">
        <v>347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>
        <v>3371.1860000000001</v>
      </c>
      <c r="V176" s="656">
        <v>3449.6235364499998</v>
      </c>
      <c r="W176" s="656">
        <v>5172.9764181700002</v>
      </c>
      <c r="X176" s="656">
        <v>6268.7120546800006</v>
      </c>
      <c r="Y176" s="656">
        <v>8359.4042511899988</v>
      </c>
      <c r="Z176" s="656">
        <v>10140.88219179</v>
      </c>
      <c r="AA176" s="656">
        <v>13900.04427592</v>
      </c>
      <c r="AB176" s="656">
        <v>20430.143600250001</v>
      </c>
      <c r="AC176" s="656"/>
      <c r="AD176" s="158"/>
      <c r="AE176" s="158"/>
      <c r="AF176" s="656"/>
      <c r="AG176" s="656"/>
      <c r="AH176" s="656"/>
      <c r="AI176" s="656"/>
      <c r="AJ176" s="656"/>
      <c r="AK176" s="656"/>
      <c r="AL176" s="656"/>
      <c r="AM176" s="656"/>
      <c r="AN176" s="656"/>
      <c r="AO176" s="656"/>
      <c r="AP176" s="656"/>
      <c r="AQ176" s="656"/>
      <c r="AR176" s="656"/>
      <c r="AS176" s="656"/>
      <c r="AT176" s="656"/>
      <c r="AU176" s="656"/>
      <c r="AV176" s="656"/>
      <c r="AW176" s="656"/>
      <c r="AX176" s="656"/>
      <c r="AY176" s="656"/>
      <c r="AZ176" s="656"/>
      <c r="BA176" s="656"/>
      <c r="BB176" s="656"/>
      <c r="BC176" s="656"/>
      <c r="BD176" s="656"/>
      <c r="BE176" s="656"/>
      <c r="BF176" s="656"/>
      <c r="BG176" s="656"/>
      <c r="BH176" s="656"/>
      <c r="BI176" s="656"/>
      <c r="BJ176" s="656"/>
      <c r="BK176" s="656"/>
      <c r="BL176" s="656"/>
      <c r="BM176" s="656"/>
      <c r="BN176" s="656"/>
      <c r="BO176" s="656"/>
      <c r="BP176" s="656"/>
      <c r="BQ176" s="656"/>
      <c r="BR176" s="656"/>
      <c r="BS176" s="656"/>
      <c r="BT176" s="656"/>
      <c r="BU176" s="656"/>
      <c r="BV176" s="656"/>
      <c r="BW176" s="656"/>
      <c r="BX176" s="656"/>
      <c r="BY176" s="656"/>
      <c r="BZ176" s="656"/>
      <c r="CA176" s="656"/>
      <c r="CB176" s="656">
        <v>1064.36222028</v>
      </c>
      <c r="CC176" s="656">
        <v>2978.6954000000001</v>
      </c>
      <c r="CD176" s="656">
        <v>4731.74752051</v>
      </c>
      <c r="CE176" s="656">
        <v>6268.7120546800006</v>
      </c>
      <c r="CF176" s="656">
        <v>1800.6408045599999</v>
      </c>
      <c r="CG176" s="656">
        <v>4081.23356044</v>
      </c>
      <c r="CH176" s="656">
        <v>6265.80338226</v>
      </c>
      <c r="CI176" s="656">
        <v>8359.4042511899988</v>
      </c>
      <c r="CJ176" s="656">
        <v>2314.9115629499997</v>
      </c>
      <c r="CK176" s="656">
        <v>4958.6716384700003</v>
      </c>
      <c r="CL176" s="656">
        <v>7696.31371339</v>
      </c>
      <c r="CM176" s="656">
        <v>10140.88219179</v>
      </c>
      <c r="CN176" s="656">
        <v>2943.76706775</v>
      </c>
      <c r="CO176" s="656">
        <v>6497.0879866999994</v>
      </c>
      <c r="CP176" s="656">
        <v>10208.24074494</v>
      </c>
      <c r="CQ176" s="656">
        <v>13900.04427592</v>
      </c>
      <c r="CR176" s="656">
        <v>4095.5743391399997</v>
      </c>
      <c r="CS176" s="656">
        <v>8884.3130102099985</v>
      </c>
      <c r="CT176" s="656">
        <v>13991.4716383</v>
      </c>
      <c r="CU176" s="656">
        <v>20430.143600250001</v>
      </c>
      <c r="CV176" s="656">
        <v>4863.4823844700004</v>
      </c>
      <c r="CW176" s="656">
        <v>11072.37235301</v>
      </c>
      <c r="CX176" s="656">
        <v>17857.339119029999</v>
      </c>
      <c r="CY176" s="808">
        <f>CV176/CR176-1</f>
        <v>0.18749703502909632</v>
      </c>
      <c r="CZ176" s="656" t="e">
        <v>#NAME?</v>
      </c>
      <c r="DB176" s="156" t="s">
        <v>347</v>
      </c>
    </row>
    <row r="177" spans="1:111" ht="12.75">
      <c r="A177" s="165" t="s">
        <v>346</v>
      </c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6"/>
      <c r="P177" s="656"/>
      <c r="Q177" s="656"/>
      <c r="R177" s="656"/>
      <c r="S177" s="656"/>
      <c r="T177" s="656"/>
      <c r="U177" s="656"/>
      <c r="V177" s="656"/>
      <c r="W177" s="656"/>
      <c r="X177" s="656">
        <v>1.78740655</v>
      </c>
      <c r="Y177" s="656">
        <v>33.344421089999997</v>
      </c>
      <c r="Z177" s="656">
        <v>22.62662516</v>
      </c>
      <c r="AA177" s="656">
        <v>12.6454851</v>
      </c>
      <c r="AB177" s="656">
        <v>44.365029579999998</v>
      </c>
      <c r="AC177" s="656"/>
      <c r="AD177" s="158"/>
      <c r="AE177" s="158"/>
      <c r="AF177" s="656"/>
      <c r="AG177" s="656"/>
      <c r="AH177" s="656"/>
      <c r="AI177" s="656"/>
      <c r="AJ177" s="656"/>
      <c r="AK177" s="656"/>
      <c r="AL177" s="656"/>
      <c r="AM177" s="656"/>
      <c r="AN177" s="656"/>
      <c r="AO177" s="656"/>
      <c r="AP177" s="656"/>
      <c r="AQ177" s="656"/>
      <c r="AR177" s="656"/>
      <c r="AS177" s="656"/>
      <c r="AT177" s="656"/>
      <c r="AU177" s="656"/>
      <c r="AV177" s="656"/>
      <c r="AW177" s="656"/>
      <c r="AX177" s="656"/>
      <c r="AY177" s="656"/>
      <c r="AZ177" s="656"/>
      <c r="BA177" s="656"/>
      <c r="BB177" s="656"/>
      <c r="BC177" s="656"/>
      <c r="BD177" s="656"/>
      <c r="BE177" s="656"/>
      <c r="BF177" s="656"/>
      <c r="BG177" s="656"/>
      <c r="BH177" s="656"/>
      <c r="BI177" s="656"/>
      <c r="BJ177" s="656"/>
      <c r="BK177" s="656"/>
      <c r="BL177" s="656"/>
      <c r="BM177" s="656"/>
      <c r="BN177" s="656"/>
      <c r="BO177" s="656"/>
      <c r="BP177" s="656"/>
      <c r="BQ177" s="656"/>
      <c r="BR177" s="656"/>
      <c r="BS177" s="656"/>
      <c r="BT177" s="656"/>
      <c r="BU177" s="656"/>
      <c r="BV177" s="656"/>
      <c r="BW177" s="656"/>
      <c r="BX177" s="656"/>
      <c r="BY177" s="656"/>
      <c r="BZ177" s="656"/>
      <c r="CA177" s="656"/>
      <c r="CB177" s="656"/>
      <c r="CC177" s="656"/>
      <c r="CD177" s="656">
        <v>1.78740655</v>
      </c>
      <c r="CE177" s="656">
        <v>1.78740655</v>
      </c>
      <c r="CF177" s="656">
        <v>7.3004734500000001</v>
      </c>
      <c r="CG177" s="656">
        <v>33.344421089999997</v>
      </c>
      <c r="CH177" s="656">
        <v>33.344421089999997</v>
      </c>
      <c r="CI177" s="656">
        <v>33.344421089999997</v>
      </c>
      <c r="CJ177" s="656"/>
      <c r="CK177" s="656">
        <v>22.457286910000001</v>
      </c>
      <c r="CL177" s="656">
        <v>48.337477530000001</v>
      </c>
      <c r="CM177" s="656">
        <v>22.62662516</v>
      </c>
      <c r="CN177" s="656"/>
      <c r="CO177" s="656">
        <v>16.21333164</v>
      </c>
      <c r="CP177" s="656">
        <v>37.456515700000004</v>
      </c>
      <c r="CQ177" s="656">
        <v>12.6454851</v>
      </c>
      <c r="CR177" s="656">
        <v>50.704656530000001</v>
      </c>
      <c r="CS177" s="656">
        <v>57.504023329999995</v>
      </c>
      <c r="CT177" s="656">
        <v>59.315862609999996</v>
      </c>
      <c r="CU177" s="656">
        <v>44.365029579999998</v>
      </c>
      <c r="CV177" s="656">
        <v>1.55657114</v>
      </c>
      <c r="CW177" s="656">
        <v>0</v>
      </c>
      <c r="CX177" s="656">
        <v>0</v>
      </c>
      <c r="CZ177" s="656" t="e">
        <v>#NAME?</v>
      </c>
      <c r="DB177" s="156" t="s">
        <v>346</v>
      </c>
      <c r="DG177" s="156">
        <v>4.0599999999999996</v>
      </c>
    </row>
    <row r="178" spans="1:111" ht="12.75">
      <c r="A178" s="165" t="s">
        <v>345</v>
      </c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6"/>
      <c r="P178" s="656"/>
      <c r="Q178" s="656"/>
      <c r="R178" s="656"/>
      <c r="S178" s="656"/>
      <c r="T178" s="656"/>
      <c r="U178" s="656">
        <v>45.957900000000002</v>
      </c>
      <c r="V178" s="656">
        <v>54.845760090000006</v>
      </c>
      <c r="W178" s="656">
        <v>61.118587909999995</v>
      </c>
      <c r="X178" s="656">
        <v>60.131825679999999</v>
      </c>
      <c r="Y178" s="656">
        <v>58.895859530000003</v>
      </c>
      <c r="Z178" s="656">
        <v>96.506586170000006</v>
      </c>
      <c r="AA178" s="656">
        <v>144.74534072999998</v>
      </c>
      <c r="AB178" s="656">
        <v>182.37599366000001</v>
      </c>
      <c r="AC178" s="656"/>
      <c r="AD178" s="158"/>
      <c r="AE178" s="158"/>
      <c r="AF178" s="656"/>
      <c r="AG178" s="656"/>
      <c r="AH178" s="656"/>
      <c r="AI178" s="656"/>
      <c r="AJ178" s="656"/>
      <c r="AK178" s="656"/>
      <c r="AL178" s="656"/>
      <c r="AM178" s="656"/>
      <c r="AN178" s="656"/>
      <c r="AO178" s="656"/>
      <c r="AP178" s="656"/>
      <c r="AQ178" s="656"/>
      <c r="AR178" s="656"/>
      <c r="AS178" s="656"/>
      <c r="AT178" s="656"/>
      <c r="AU178" s="656"/>
      <c r="AV178" s="656"/>
      <c r="AW178" s="656"/>
      <c r="AX178" s="656"/>
      <c r="AY178" s="656"/>
      <c r="AZ178" s="656"/>
      <c r="BA178" s="656"/>
      <c r="BB178" s="656"/>
      <c r="BC178" s="656"/>
      <c r="BD178" s="656"/>
      <c r="BE178" s="656"/>
      <c r="BF178" s="656"/>
      <c r="BG178" s="656"/>
      <c r="BH178" s="656"/>
      <c r="BI178" s="656"/>
      <c r="BJ178" s="656"/>
      <c r="BK178" s="656"/>
      <c r="BL178" s="656"/>
      <c r="BM178" s="656"/>
      <c r="BN178" s="656"/>
      <c r="BO178" s="656"/>
      <c r="BP178" s="656"/>
      <c r="BQ178" s="656"/>
      <c r="BR178" s="656"/>
      <c r="BS178" s="656"/>
      <c r="BT178" s="656"/>
      <c r="BU178" s="656"/>
      <c r="BV178" s="656"/>
      <c r="BW178" s="656"/>
      <c r="BX178" s="656"/>
      <c r="BY178" s="656"/>
      <c r="BZ178" s="656"/>
      <c r="CA178" s="656"/>
      <c r="CB178" s="656">
        <v>8.6363608800000016</v>
      </c>
      <c r="CC178" s="656">
        <v>21.9101</v>
      </c>
      <c r="CD178" s="656">
        <v>38.894880490000006</v>
      </c>
      <c r="CE178" s="656">
        <v>60.131825679999999</v>
      </c>
      <c r="CF178" s="656">
        <v>8.9353585100000004</v>
      </c>
      <c r="CG178" s="656">
        <v>26.618454120000003</v>
      </c>
      <c r="CH178" s="656">
        <v>40.091061420000003</v>
      </c>
      <c r="CI178" s="656">
        <v>58.895859530000003</v>
      </c>
      <c r="CJ178" s="656">
        <v>9.7515772300000005</v>
      </c>
      <c r="CK178" s="656">
        <v>23.810926739999999</v>
      </c>
      <c r="CL178" s="656">
        <v>63.163597179999996</v>
      </c>
      <c r="CM178" s="656">
        <v>96.506586170000006</v>
      </c>
      <c r="CN178" s="656">
        <v>27.21122866</v>
      </c>
      <c r="CO178" s="656">
        <v>33.16979877</v>
      </c>
      <c r="CP178" s="656">
        <v>57.338892710000003</v>
      </c>
      <c r="CQ178" s="656">
        <v>144.74534072999998</v>
      </c>
      <c r="CR178" s="656">
        <v>29.327504739999998</v>
      </c>
      <c r="CS178" s="656">
        <v>34.31498156</v>
      </c>
      <c r="CT178" s="656">
        <v>58.910803840000007</v>
      </c>
      <c r="CU178" s="656">
        <v>182.37599366000001</v>
      </c>
      <c r="CV178" s="656">
        <v>23.145279350000003</v>
      </c>
      <c r="CW178" s="656">
        <v>81.194174950000004</v>
      </c>
      <c r="CX178" s="656">
        <v>121.84337791</v>
      </c>
      <c r="CZ178" s="656" t="e">
        <v>#NAME?</v>
      </c>
      <c r="DB178" s="156" t="s">
        <v>345</v>
      </c>
      <c r="DG178" s="156">
        <v>4.0599999999999996</v>
      </c>
    </row>
    <row r="179" spans="1:111" ht="12.75">
      <c r="A179" s="165" t="s">
        <v>344</v>
      </c>
      <c r="B179" s="656"/>
      <c r="C179" s="656"/>
      <c r="D179" s="656"/>
      <c r="E179" s="656"/>
      <c r="F179" s="656"/>
      <c r="G179" s="656"/>
      <c r="H179" s="656"/>
      <c r="I179" s="656"/>
      <c r="J179" s="656"/>
      <c r="K179" s="656"/>
      <c r="L179" s="656"/>
      <c r="M179" s="656"/>
      <c r="N179" s="656"/>
      <c r="O179" s="656"/>
      <c r="P179" s="656"/>
      <c r="Q179" s="656"/>
      <c r="R179" s="656"/>
      <c r="S179" s="656"/>
      <c r="T179" s="656"/>
      <c r="U179" s="656"/>
      <c r="V179" s="656"/>
      <c r="W179" s="656"/>
      <c r="X179" s="656"/>
      <c r="Y179" s="656">
        <v>0</v>
      </c>
      <c r="Z179" s="656"/>
      <c r="AA179" s="656"/>
      <c r="AB179" s="656">
        <v>0</v>
      </c>
      <c r="AC179" s="656"/>
      <c r="AD179" s="158"/>
      <c r="AE179" s="158"/>
      <c r="AF179" s="656"/>
      <c r="AG179" s="656"/>
      <c r="AH179" s="656"/>
      <c r="AI179" s="656"/>
      <c r="AJ179" s="656"/>
      <c r="AK179" s="656"/>
      <c r="AL179" s="656"/>
      <c r="AM179" s="656"/>
      <c r="AN179" s="656"/>
      <c r="AO179" s="656"/>
      <c r="AP179" s="656"/>
      <c r="AQ179" s="656"/>
      <c r="AR179" s="656"/>
      <c r="AS179" s="656"/>
      <c r="AT179" s="656"/>
      <c r="AU179" s="656"/>
      <c r="AV179" s="656"/>
      <c r="AW179" s="656"/>
      <c r="AX179" s="656"/>
      <c r="AY179" s="656"/>
      <c r="AZ179" s="656"/>
      <c r="BA179" s="656"/>
      <c r="BB179" s="656"/>
      <c r="BC179" s="656"/>
      <c r="BD179" s="656"/>
      <c r="BE179" s="656"/>
      <c r="BF179" s="656"/>
      <c r="BG179" s="656"/>
      <c r="BH179" s="656"/>
      <c r="BI179" s="656"/>
      <c r="BJ179" s="656"/>
      <c r="BK179" s="656"/>
      <c r="BL179" s="656"/>
      <c r="BM179" s="656"/>
      <c r="BN179" s="656"/>
      <c r="BO179" s="656"/>
      <c r="BP179" s="656"/>
      <c r="BQ179" s="656"/>
      <c r="BR179" s="656"/>
      <c r="BS179" s="656"/>
      <c r="BT179" s="656"/>
      <c r="BU179" s="656"/>
      <c r="BV179" s="656"/>
      <c r="BW179" s="656"/>
      <c r="BX179" s="656"/>
      <c r="BY179" s="656"/>
      <c r="BZ179" s="656"/>
      <c r="CA179" s="656"/>
      <c r="CB179" s="656"/>
      <c r="CC179" s="656"/>
      <c r="CD179" s="656"/>
      <c r="CE179" s="656"/>
      <c r="CF179" s="656"/>
      <c r="CG179" s="656"/>
      <c r="CH179" s="656"/>
      <c r="CI179" s="656"/>
      <c r="CJ179" s="656"/>
      <c r="CK179" s="656"/>
      <c r="CL179" s="656"/>
      <c r="CM179" s="656"/>
      <c r="CN179" s="656"/>
      <c r="CO179" s="656"/>
      <c r="CP179" s="656"/>
      <c r="CQ179" s="656"/>
      <c r="CR179" s="656"/>
      <c r="CS179" s="656">
        <v>0</v>
      </c>
      <c r="CT179" s="656">
        <v>0</v>
      </c>
      <c r="CU179" s="656">
        <v>0</v>
      </c>
      <c r="CV179" s="656">
        <v>0</v>
      </c>
      <c r="CW179" s="656">
        <v>0</v>
      </c>
      <c r="CX179" s="656">
        <v>0</v>
      </c>
      <c r="CZ179" s="656" t="e">
        <v>#NAME?</v>
      </c>
      <c r="DB179" s="156" t="s">
        <v>344</v>
      </c>
      <c r="DG179" s="156">
        <v>9280.1299999999992</v>
      </c>
    </row>
    <row r="180" spans="1:111" ht="12.75">
      <c r="A180" s="165" t="s">
        <v>343</v>
      </c>
      <c r="B180" s="656"/>
      <c r="C180" s="656"/>
      <c r="D180" s="656"/>
      <c r="E180" s="656"/>
      <c r="F180" s="656"/>
      <c r="G180" s="656"/>
      <c r="H180" s="656"/>
      <c r="I180" s="656"/>
      <c r="J180" s="656"/>
      <c r="K180" s="656"/>
      <c r="L180" s="656"/>
      <c r="M180" s="656"/>
      <c r="N180" s="656"/>
      <c r="O180" s="656"/>
      <c r="P180" s="656"/>
      <c r="Q180" s="656"/>
      <c r="R180" s="656"/>
      <c r="S180" s="656"/>
      <c r="T180" s="656"/>
      <c r="U180" s="656"/>
      <c r="V180" s="656"/>
      <c r="W180" s="656"/>
      <c r="X180" s="656"/>
      <c r="Y180" s="656">
        <v>0</v>
      </c>
      <c r="Z180" s="656"/>
      <c r="AA180" s="656"/>
      <c r="AB180" s="656">
        <v>0</v>
      </c>
      <c r="AC180" s="656"/>
      <c r="AD180" s="158"/>
      <c r="AE180" s="158"/>
      <c r="AF180" s="656"/>
      <c r="AG180" s="656"/>
      <c r="AH180" s="656"/>
      <c r="AI180" s="656"/>
      <c r="AJ180" s="656"/>
      <c r="AK180" s="656"/>
      <c r="AL180" s="656"/>
      <c r="AM180" s="656"/>
      <c r="AN180" s="656"/>
      <c r="AO180" s="656"/>
      <c r="AP180" s="656"/>
      <c r="AQ180" s="656"/>
      <c r="AR180" s="656"/>
      <c r="AS180" s="656"/>
      <c r="AT180" s="656"/>
      <c r="AU180" s="656"/>
      <c r="AV180" s="656"/>
      <c r="AW180" s="656"/>
      <c r="AX180" s="656"/>
      <c r="AY180" s="656"/>
      <c r="AZ180" s="656"/>
      <c r="BA180" s="656"/>
      <c r="BB180" s="656"/>
      <c r="BC180" s="656"/>
      <c r="BD180" s="656"/>
      <c r="BE180" s="656"/>
      <c r="BF180" s="656"/>
      <c r="BG180" s="656"/>
      <c r="BH180" s="656"/>
      <c r="BI180" s="656"/>
      <c r="BJ180" s="656"/>
      <c r="BK180" s="656"/>
      <c r="BL180" s="656"/>
      <c r="BM180" s="656"/>
      <c r="BN180" s="656"/>
      <c r="BO180" s="656"/>
      <c r="BP180" s="656"/>
      <c r="BQ180" s="656"/>
      <c r="BR180" s="656"/>
      <c r="BS180" s="656"/>
      <c r="BT180" s="656"/>
      <c r="BU180" s="656"/>
      <c r="BV180" s="656"/>
      <c r="BW180" s="656"/>
      <c r="BX180" s="656"/>
      <c r="BY180" s="656"/>
      <c r="BZ180" s="656"/>
      <c r="CA180" s="656"/>
      <c r="CB180" s="656"/>
      <c r="CC180" s="656"/>
      <c r="CD180" s="656"/>
      <c r="CE180" s="656"/>
      <c r="CF180" s="656"/>
      <c r="CG180" s="656"/>
      <c r="CH180" s="656"/>
      <c r="CI180" s="656"/>
      <c r="CJ180" s="656"/>
      <c r="CK180" s="656"/>
      <c r="CL180" s="656"/>
      <c r="CM180" s="656"/>
      <c r="CN180" s="656"/>
      <c r="CO180" s="656"/>
      <c r="CP180" s="656"/>
      <c r="CQ180" s="656"/>
      <c r="CR180" s="656"/>
      <c r="CS180" s="656">
        <v>0</v>
      </c>
      <c r="CT180" s="656">
        <v>0</v>
      </c>
      <c r="CU180" s="656">
        <v>0</v>
      </c>
      <c r="CV180" s="656">
        <v>0</v>
      </c>
      <c r="CW180" s="656">
        <v>0</v>
      </c>
      <c r="CX180" s="656">
        <v>0</v>
      </c>
      <c r="CZ180" s="656" t="e">
        <v>#NAME?</v>
      </c>
      <c r="DB180" s="156" t="s">
        <v>343</v>
      </c>
      <c r="DG180" s="156">
        <v>305.8</v>
      </c>
    </row>
    <row r="181" spans="1:111" ht="12.75">
      <c r="A181" s="165" t="s">
        <v>342</v>
      </c>
      <c r="B181" s="656"/>
      <c r="C181" s="656"/>
      <c r="D181" s="656"/>
      <c r="E181" s="656"/>
      <c r="F181" s="656"/>
      <c r="G181" s="656"/>
      <c r="H181" s="656"/>
      <c r="I181" s="656"/>
      <c r="J181" s="656"/>
      <c r="K181" s="656"/>
      <c r="L181" s="656"/>
      <c r="M181" s="656"/>
      <c r="N181" s="656"/>
      <c r="O181" s="656"/>
      <c r="P181" s="656"/>
      <c r="Q181" s="656"/>
      <c r="R181" s="656"/>
      <c r="S181" s="656"/>
      <c r="T181" s="656"/>
      <c r="U181" s="656">
        <v>3417.1439</v>
      </c>
      <c r="V181" s="656">
        <v>3504.46929654</v>
      </c>
      <c r="W181" s="656">
        <v>5234.0950060799996</v>
      </c>
      <c r="X181" s="656">
        <v>6330.6312869100002</v>
      </c>
      <c r="Y181" s="656">
        <v>8451.6445318099995</v>
      </c>
      <c r="Z181" s="656">
        <v>10260.01540312</v>
      </c>
      <c r="AA181" s="656">
        <v>14057.435101749999</v>
      </c>
      <c r="AB181" s="656">
        <v>20656.884623490001</v>
      </c>
      <c r="AC181" s="656"/>
      <c r="AD181" s="158"/>
      <c r="AE181" s="158"/>
      <c r="AF181" s="656"/>
      <c r="AG181" s="656"/>
      <c r="AH181" s="656"/>
      <c r="AI181" s="656"/>
      <c r="AJ181" s="656"/>
      <c r="AK181" s="656"/>
      <c r="AL181" s="656"/>
      <c r="AM181" s="656"/>
      <c r="AN181" s="656"/>
      <c r="AO181" s="656"/>
      <c r="AP181" s="656"/>
      <c r="AQ181" s="656"/>
      <c r="AR181" s="656"/>
      <c r="AS181" s="656"/>
      <c r="AT181" s="656"/>
      <c r="AU181" s="656"/>
      <c r="AV181" s="656"/>
      <c r="AW181" s="656"/>
      <c r="AX181" s="656"/>
      <c r="AY181" s="656"/>
      <c r="AZ181" s="656"/>
      <c r="BA181" s="656"/>
      <c r="BB181" s="656"/>
      <c r="BC181" s="656"/>
      <c r="BD181" s="656"/>
      <c r="BE181" s="656"/>
      <c r="BF181" s="656"/>
      <c r="BG181" s="656"/>
      <c r="BH181" s="656"/>
      <c r="BI181" s="656"/>
      <c r="BJ181" s="656"/>
      <c r="BK181" s="656"/>
      <c r="BL181" s="656"/>
      <c r="BM181" s="656"/>
      <c r="BN181" s="656"/>
      <c r="BO181" s="656"/>
      <c r="BP181" s="656"/>
      <c r="BQ181" s="656"/>
      <c r="BR181" s="656"/>
      <c r="BS181" s="656"/>
      <c r="BT181" s="656"/>
      <c r="BU181" s="656"/>
      <c r="BV181" s="656"/>
      <c r="BW181" s="656"/>
      <c r="BX181" s="656"/>
      <c r="BY181" s="656"/>
      <c r="BZ181" s="656"/>
      <c r="CA181" s="656"/>
      <c r="CB181" s="656">
        <v>1072.99858116</v>
      </c>
      <c r="CC181" s="656">
        <v>3000.6055000000001</v>
      </c>
      <c r="CD181" s="656">
        <v>4772.4298075500001</v>
      </c>
      <c r="CE181" s="656">
        <v>6330.6312869100002</v>
      </c>
      <c r="CF181" s="656">
        <v>1816.8766365199999</v>
      </c>
      <c r="CG181" s="656">
        <v>4141.1964356500002</v>
      </c>
      <c r="CH181" s="656">
        <v>6339.2388647700009</v>
      </c>
      <c r="CI181" s="656">
        <v>8451.6445318099995</v>
      </c>
      <c r="CJ181" s="656">
        <v>2324.66314018</v>
      </c>
      <c r="CK181" s="656">
        <v>5004.9398521200001</v>
      </c>
      <c r="CL181" s="656">
        <v>7807.8147881000004</v>
      </c>
      <c r="CM181" s="656">
        <v>10260.01540312</v>
      </c>
      <c r="CN181" s="656">
        <v>2970.97829641</v>
      </c>
      <c r="CO181" s="656">
        <v>6546.4711171099998</v>
      </c>
      <c r="CP181" s="656">
        <v>10303.03615335</v>
      </c>
      <c r="CQ181" s="656">
        <v>14057.435101749999</v>
      </c>
      <c r="CR181" s="656">
        <v>4175.6065004100001</v>
      </c>
      <c r="CS181" s="656">
        <v>8976.1320151</v>
      </c>
      <c r="CT181" s="656">
        <v>14109.69830475</v>
      </c>
      <c r="CU181" s="656">
        <v>20656.884623490001</v>
      </c>
      <c r="CV181" s="656">
        <v>4888.1842349600001</v>
      </c>
      <c r="CW181" s="656">
        <v>11153.56652796</v>
      </c>
      <c r="CX181" s="656">
        <v>17979.18249694</v>
      </c>
      <c r="CZ181" s="656" t="e">
        <v>#NAME?</v>
      </c>
      <c r="DB181" s="156" t="s">
        <v>342</v>
      </c>
      <c r="DG181" s="156" t="e">
        <v>#VALUE!</v>
      </c>
    </row>
    <row r="182" spans="1:111" ht="12.75">
      <c r="A182" s="165" t="s">
        <v>341</v>
      </c>
      <c r="B182" s="656"/>
      <c r="C182" s="656"/>
      <c r="D182" s="656"/>
      <c r="E182" s="656"/>
      <c r="F182" s="656"/>
      <c r="G182" s="656"/>
      <c r="H182" s="656"/>
      <c r="I182" s="656"/>
      <c r="J182" s="656"/>
      <c r="K182" s="656"/>
      <c r="L182" s="656"/>
      <c r="M182" s="656"/>
      <c r="N182" s="656"/>
      <c r="O182" s="656"/>
      <c r="P182" s="656"/>
      <c r="Q182" s="656"/>
      <c r="R182" s="656"/>
      <c r="S182" s="656"/>
      <c r="T182" s="656"/>
      <c r="U182" s="656">
        <v>1820.3508999999999</v>
      </c>
      <c r="V182" s="656">
        <v>1682.7554984000001</v>
      </c>
      <c r="W182" s="656">
        <v>2450.3245893799999</v>
      </c>
      <c r="X182" s="656">
        <v>2940.5540139699997</v>
      </c>
      <c r="Y182" s="656">
        <v>3813.2531883800002</v>
      </c>
      <c r="Z182" s="656">
        <v>5236.8126970200001</v>
      </c>
      <c r="AA182" s="656">
        <v>6820.1226549599996</v>
      </c>
      <c r="AB182" s="656">
        <v>9610.9829390699997</v>
      </c>
      <c r="AC182" s="656"/>
      <c r="AD182" s="158"/>
      <c r="AE182" s="158"/>
      <c r="AF182" s="656"/>
      <c r="AG182" s="656"/>
      <c r="AH182" s="656"/>
      <c r="AI182" s="656"/>
      <c r="AJ182" s="656"/>
      <c r="AK182" s="656"/>
      <c r="AL182" s="656"/>
      <c r="AM182" s="656"/>
      <c r="AN182" s="656"/>
      <c r="AO182" s="656"/>
      <c r="AP182" s="656"/>
      <c r="AQ182" s="656"/>
      <c r="AR182" s="656"/>
      <c r="AS182" s="656"/>
      <c r="AT182" s="656"/>
      <c r="AU182" s="656"/>
      <c r="AV182" s="656"/>
      <c r="AW182" s="656"/>
      <c r="AX182" s="656"/>
      <c r="AY182" s="656"/>
      <c r="AZ182" s="656"/>
      <c r="BA182" s="656"/>
      <c r="BB182" s="656"/>
      <c r="BC182" s="656"/>
      <c r="BD182" s="656"/>
      <c r="BE182" s="656"/>
      <c r="BF182" s="656"/>
      <c r="BG182" s="656"/>
      <c r="BH182" s="656"/>
      <c r="BI182" s="656"/>
      <c r="BJ182" s="656"/>
      <c r="BK182" s="656"/>
      <c r="BL182" s="656"/>
      <c r="BM182" s="656"/>
      <c r="BN182" s="656"/>
      <c r="BO182" s="656"/>
      <c r="BP182" s="656"/>
      <c r="BQ182" s="656"/>
      <c r="BR182" s="656"/>
      <c r="BS182" s="656"/>
      <c r="BT182" s="656"/>
      <c r="BU182" s="656"/>
      <c r="BV182" s="656"/>
      <c r="BW182" s="656"/>
      <c r="BX182" s="656"/>
      <c r="BY182" s="656"/>
      <c r="BZ182" s="656"/>
      <c r="CA182" s="656"/>
      <c r="CB182" s="656">
        <v>692.29120253999997</v>
      </c>
      <c r="CC182" s="656">
        <v>1407.7791</v>
      </c>
      <c r="CD182" s="656">
        <v>2355.9305171399997</v>
      </c>
      <c r="CE182" s="656">
        <v>2940.5540139699997</v>
      </c>
      <c r="CF182" s="656">
        <v>789.54668422999998</v>
      </c>
      <c r="CG182" s="656">
        <v>1634.6327962</v>
      </c>
      <c r="CH182" s="656">
        <v>2798.7436769199999</v>
      </c>
      <c r="CI182" s="656">
        <v>3813.2531883800002</v>
      </c>
      <c r="CJ182" s="656">
        <v>1363.455727</v>
      </c>
      <c r="CK182" s="656">
        <v>2761.0440867100001</v>
      </c>
      <c r="CL182" s="656">
        <v>4132.4336450999999</v>
      </c>
      <c r="CM182" s="656">
        <v>5236.8126970200001</v>
      </c>
      <c r="CN182" s="656">
        <v>1478.4585157199999</v>
      </c>
      <c r="CO182" s="656">
        <v>3366.1224758200001</v>
      </c>
      <c r="CP182" s="656">
        <v>5434.8986476499995</v>
      </c>
      <c r="CQ182" s="656">
        <v>6820.1226549599996</v>
      </c>
      <c r="CR182" s="656">
        <v>2103.2079083799999</v>
      </c>
      <c r="CS182" s="656">
        <v>4205.7396207800002</v>
      </c>
      <c r="CT182" s="656">
        <v>7089.3626914099996</v>
      </c>
      <c r="CU182" s="656">
        <v>9610.9829390699997</v>
      </c>
      <c r="CV182" s="656">
        <v>2585.4157967399997</v>
      </c>
      <c r="CW182" s="656">
        <v>5979.9570765600001</v>
      </c>
      <c r="CX182" s="656">
        <v>9348.5043072299995</v>
      </c>
      <c r="CZ182" s="656" t="e">
        <v>#NAME?</v>
      </c>
      <c r="DB182" s="156" t="s">
        <v>341</v>
      </c>
      <c r="DG182" s="156" t="e">
        <v>#VALUE!</v>
      </c>
    </row>
    <row r="183" spans="1:111" ht="12.75">
      <c r="A183" s="165" t="s">
        <v>340</v>
      </c>
      <c r="B183" s="656"/>
      <c r="C183" s="656"/>
      <c r="D183" s="656"/>
      <c r="E183" s="656"/>
      <c r="F183" s="656"/>
      <c r="G183" s="656"/>
      <c r="H183" s="656"/>
      <c r="I183" s="656"/>
      <c r="J183" s="656"/>
      <c r="K183" s="656"/>
      <c r="L183" s="656"/>
      <c r="M183" s="656"/>
      <c r="N183" s="656"/>
      <c r="O183" s="656"/>
      <c r="P183" s="656"/>
      <c r="Q183" s="656"/>
      <c r="R183" s="656"/>
      <c r="S183" s="656"/>
      <c r="T183" s="656"/>
      <c r="U183" s="656">
        <v>401.42259999999999</v>
      </c>
      <c r="V183" s="656">
        <v>488.72936763000001</v>
      </c>
      <c r="W183" s="656">
        <v>484.33683474000003</v>
      </c>
      <c r="X183" s="656">
        <v>694.06845897000005</v>
      </c>
      <c r="Y183" s="656">
        <v>889.56085609000002</v>
      </c>
      <c r="Z183" s="656">
        <v>1050.7340220199999</v>
      </c>
      <c r="AA183" s="656">
        <v>1271.0257408900002</v>
      </c>
      <c r="AB183" s="656">
        <v>1599.8290798599999</v>
      </c>
      <c r="AC183" s="656"/>
      <c r="AD183" s="158"/>
      <c r="AE183" s="158"/>
      <c r="AF183" s="656"/>
      <c r="AG183" s="656"/>
      <c r="AH183" s="656"/>
      <c r="AI183" s="656"/>
      <c r="AJ183" s="656"/>
      <c r="AK183" s="656"/>
      <c r="AL183" s="656"/>
      <c r="AM183" s="656"/>
      <c r="AN183" s="656"/>
      <c r="AO183" s="656"/>
      <c r="AP183" s="656"/>
      <c r="AQ183" s="656"/>
      <c r="AR183" s="656"/>
      <c r="AS183" s="656"/>
      <c r="AT183" s="656"/>
      <c r="AU183" s="656"/>
      <c r="AV183" s="656"/>
      <c r="AW183" s="656"/>
      <c r="AX183" s="656"/>
      <c r="AY183" s="656"/>
      <c r="AZ183" s="656"/>
      <c r="BA183" s="656"/>
      <c r="BB183" s="656"/>
      <c r="BC183" s="656"/>
      <c r="BD183" s="656"/>
      <c r="BE183" s="656"/>
      <c r="BF183" s="656"/>
      <c r="BG183" s="656"/>
      <c r="BH183" s="656"/>
      <c r="BI183" s="656"/>
      <c r="BJ183" s="656"/>
      <c r="BK183" s="656"/>
      <c r="BL183" s="656"/>
      <c r="BM183" s="656"/>
      <c r="BN183" s="656"/>
      <c r="BO183" s="656"/>
      <c r="BP183" s="656"/>
      <c r="BQ183" s="656"/>
      <c r="BR183" s="656"/>
      <c r="BS183" s="656"/>
      <c r="BT183" s="656"/>
      <c r="BU183" s="656"/>
      <c r="BV183" s="656"/>
      <c r="BW183" s="656"/>
      <c r="BX183" s="656"/>
      <c r="BY183" s="656"/>
      <c r="BZ183" s="656"/>
      <c r="CA183" s="656"/>
      <c r="CB183" s="656">
        <v>189.79802984</v>
      </c>
      <c r="CC183" s="656">
        <v>378.7192</v>
      </c>
      <c r="CD183" s="656">
        <v>527.24451361000001</v>
      </c>
      <c r="CE183" s="656">
        <v>694.06845897000005</v>
      </c>
      <c r="CF183" s="656">
        <v>235.23409053999998</v>
      </c>
      <c r="CG183" s="656">
        <v>451.48223424999998</v>
      </c>
      <c r="CH183" s="656">
        <v>670.08446869000011</v>
      </c>
      <c r="CI183" s="656">
        <v>889.56085609000002</v>
      </c>
      <c r="CJ183" s="656">
        <v>330.63172001999999</v>
      </c>
      <c r="CK183" s="656">
        <v>570.00110715999995</v>
      </c>
      <c r="CL183" s="656">
        <v>821.48227352000004</v>
      </c>
      <c r="CM183" s="656">
        <v>1050.7340220199999</v>
      </c>
      <c r="CN183" s="656">
        <v>318.08955642000001</v>
      </c>
      <c r="CO183" s="656">
        <v>612.70375164999996</v>
      </c>
      <c r="CP183" s="656">
        <v>902.72283719000006</v>
      </c>
      <c r="CQ183" s="656">
        <v>1271.0257408900002</v>
      </c>
      <c r="CR183" s="656">
        <v>479.47688162999998</v>
      </c>
      <c r="CS183" s="656">
        <v>889.08822423000004</v>
      </c>
      <c r="CT183" s="656">
        <v>1271.09879727</v>
      </c>
      <c r="CU183" s="656">
        <v>1599.8290798599999</v>
      </c>
      <c r="CV183" s="656">
        <v>726.92561527999999</v>
      </c>
      <c r="CW183" s="656">
        <v>1187.1509773299999</v>
      </c>
      <c r="CX183" s="656">
        <v>1669.3416363699998</v>
      </c>
      <c r="CZ183" s="656" t="e">
        <v>#NAME?</v>
      </c>
      <c r="DB183" s="156" t="s">
        <v>340</v>
      </c>
      <c r="DG183" s="156" t="e">
        <v>#VALUE!</v>
      </c>
    </row>
    <row r="184" spans="1:111" ht="12.75">
      <c r="A184" s="165" t="s">
        <v>339</v>
      </c>
      <c r="B184" s="656"/>
      <c r="C184" s="656"/>
      <c r="D184" s="656"/>
      <c r="E184" s="656"/>
      <c r="F184" s="656"/>
      <c r="G184" s="656"/>
      <c r="H184" s="656"/>
      <c r="I184" s="656"/>
      <c r="J184" s="656"/>
      <c r="K184" s="656"/>
      <c r="L184" s="656"/>
      <c r="M184" s="656"/>
      <c r="N184" s="656"/>
      <c r="O184" s="656"/>
      <c r="P184" s="656"/>
      <c r="Q184" s="656"/>
      <c r="R184" s="656"/>
      <c r="S184" s="656"/>
      <c r="T184" s="656"/>
      <c r="U184" s="656">
        <v>478.33640000000003</v>
      </c>
      <c r="V184" s="656">
        <v>389.14250029000004</v>
      </c>
      <c r="W184" s="656">
        <v>449.36882002999999</v>
      </c>
      <c r="X184" s="656">
        <v>652.09151667999993</v>
      </c>
      <c r="Y184" s="656">
        <v>860.44403064999995</v>
      </c>
      <c r="Z184" s="656">
        <v>1103.94109099</v>
      </c>
      <c r="AA184" s="656">
        <v>1536.99056126</v>
      </c>
      <c r="AB184" s="656">
        <v>1988.6556279500001</v>
      </c>
      <c r="AC184" s="656"/>
      <c r="AD184" s="158"/>
      <c r="AE184" s="158"/>
      <c r="AF184" s="656"/>
      <c r="AG184" s="656"/>
      <c r="AH184" s="656"/>
      <c r="AI184" s="656"/>
      <c r="AJ184" s="656"/>
      <c r="AK184" s="656"/>
      <c r="AL184" s="656"/>
      <c r="AM184" s="656"/>
      <c r="AN184" s="656"/>
      <c r="AO184" s="656"/>
      <c r="AP184" s="656"/>
      <c r="AQ184" s="656"/>
      <c r="AR184" s="656"/>
      <c r="AS184" s="656"/>
      <c r="AT184" s="656"/>
      <c r="AU184" s="656"/>
      <c r="AV184" s="656"/>
      <c r="AW184" s="656"/>
      <c r="AX184" s="656"/>
      <c r="AY184" s="656"/>
      <c r="AZ184" s="656"/>
      <c r="BA184" s="656"/>
      <c r="BB184" s="656"/>
      <c r="BC184" s="656"/>
      <c r="BD184" s="656"/>
      <c r="BE184" s="656"/>
      <c r="BF184" s="656"/>
      <c r="BG184" s="656"/>
      <c r="BH184" s="656"/>
      <c r="BI184" s="656"/>
      <c r="BJ184" s="656"/>
      <c r="BK184" s="656"/>
      <c r="BL184" s="656"/>
      <c r="BM184" s="656"/>
      <c r="BN184" s="656"/>
      <c r="BO184" s="656"/>
      <c r="BP184" s="656"/>
      <c r="BQ184" s="656"/>
      <c r="BR184" s="656"/>
      <c r="BS184" s="656"/>
      <c r="BT184" s="656"/>
      <c r="BU184" s="656"/>
      <c r="BV184" s="656"/>
      <c r="BW184" s="656"/>
      <c r="BX184" s="656"/>
      <c r="BY184" s="656"/>
      <c r="BZ184" s="656"/>
      <c r="CA184" s="656"/>
      <c r="CB184" s="656">
        <v>112.14274596</v>
      </c>
      <c r="CC184" s="656">
        <v>318.43869999999998</v>
      </c>
      <c r="CD184" s="656">
        <v>517.20910134999997</v>
      </c>
      <c r="CE184" s="656">
        <v>652.09151667999993</v>
      </c>
      <c r="CF184" s="656">
        <v>151.72490827000001</v>
      </c>
      <c r="CG184" s="656">
        <v>453.60094998</v>
      </c>
      <c r="CH184" s="656">
        <v>698.20488771999999</v>
      </c>
      <c r="CI184" s="656">
        <v>860.44403064999995</v>
      </c>
      <c r="CJ184" s="656">
        <v>165.92368500000001</v>
      </c>
      <c r="CK184" s="656">
        <v>527.29632804000005</v>
      </c>
      <c r="CL184" s="656">
        <v>828.07227837000005</v>
      </c>
      <c r="CM184" s="656">
        <v>1103.94109099</v>
      </c>
      <c r="CN184" s="656">
        <v>275.82127205</v>
      </c>
      <c r="CO184" s="656">
        <v>817.14498503999994</v>
      </c>
      <c r="CP184" s="656">
        <v>1237.5097357300001</v>
      </c>
      <c r="CQ184" s="656">
        <v>1536.99056126</v>
      </c>
      <c r="CR184" s="656">
        <v>326.01232917999999</v>
      </c>
      <c r="CS184" s="656">
        <v>873.02944876000004</v>
      </c>
      <c r="CT184" s="656">
        <v>1496.1955445899998</v>
      </c>
      <c r="CU184" s="656">
        <v>1988.6556279500001</v>
      </c>
      <c r="CV184" s="656">
        <v>471.92508601999998</v>
      </c>
      <c r="CW184" s="656">
        <v>1281.61438426</v>
      </c>
      <c r="CX184" s="656">
        <v>2095.4802626400001</v>
      </c>
      <c r="CZ184" s="656" t="e">
        <v>#NAME?</v>
      </c>
      <c r="DB184" s="156" t="s">
        <v>339</v>
      </c>
      <c r="DG184" s="156">
        <v>9589.99</v>
      </c>
    </row>
    <row r="185" spans="1:111" ht="12.75">
      <c r="A185" s="165" t="s">
        <v>338</v>
      </c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6"/>
      <c r="P185" s="656"/>
      <c r="Q185" s="656"/>
      <c r="R185" s="656"/>
      <c r="S185" s="656"/>
      <c r="T185" s="656"/>
      <c r="U185" s="656">
        <v>527.32590000000005</v>
      </c>
      <c r="V185" s="656">
        <v>748.90225492999991</v>
      </c>
      <c r="W185" s="656">
        <v>639.08332679</v>
      </c>
      <c r="X185" s="656">
        <v>703.55414432000009</v>
      </c>
      <c r="Y185" s="656">
        <v>811.54241902000001</v>
      </c>
      <c r="Z185" s="656">
        <v>842.42245235999997</v>
      </c>
      <c r="AA185" s="656">
        <v>1148.0264919900001</v>
      </c>
      <c r="AB185" s="656">
        <v>1668.0084680699999</v>
      </c>
      <c r="AC185" s="656"/>
      <c r="AD185" s="158"/>
      <c r="AE185" s="158"/>
      <c r="AF185" s="656"/>
      <c r="AG185" s="656"/>
      <c r="AH185" s="656"/>
      <c r="AI185" s="656"/>
      <c r="AJ185" s="656"/>
      <c r="AK185" s="656"/>
      <c r="AL185" s="656"/>
      <c r="AM185" s="656"/>
      <c r="AN185" s="656"/>
      <c r="AO185" s="656"/>
      <c r="AP185" s="656"/>
      <c r="AQ185" s="656"/>
      <c r="AR185" s="656"/>
      <c r="AS185" s="656"/>
      <c r="AT185" s="656"/>
      <c r="AU185" s="656"/>
      <c r="AV185" s="656"/>
      <c r="AW185" s="656"/>
      <c r="AX185" s="656"/>
      <c r="AY185" s="656"/>
      <c r="AZ185" s="656"/>
      <c r="BA185" s="656"/>
      <c r="BB185" s="656"/>
      <c r="BC185" s="656"/>
      <c r="BD185" s="656"/>
      <c r="BE185" s="656"/>
      <c r="BF185" s="656"/>
      <c r="BG185" s="656"/>
      <c r="BH185" s="656"/>
      <c r="BI185" s="656"/>
      <c r="BJ185" s="656"/>
      <c r="BK185" s="656"/>
      <c r="BL185" s="656"/>
      <c r="BM185" s="656"/>
      <c r="BN185" s="656"/>
      <c r="BO185" s="656"/>
      <c r="BP185" s="656"/>
      <c r="BQ185" s="656"/>
      <c r="BR185" s="656"/>
      <c r="BS185" s="656"/>
      <c r="BT185" s="656"/>
      <c r="BU185" s="656"/>
      <c r="BV185" s="656"/>
      <c r="BW185" s="656"/>
      <c r="BX185" s="656"/>
      <c r="BY185" s="656"/>
      <c r="BZ185" s="656"/>
      <c r="CA185" s="656"/>
      <c r="CB185" s="656">
        <v>120.68862682</v>
      </c>
      <c r="CC185" s="656">
        <v>294.1463</v>
      </c>
      <c r="CD185" s="656">
        <v>496.91046212999998</v>
      </c>
      <c r="CE185" s="656">
        <v>703.55414432000009</v>
      </c>
      <c r="CF185" s="656">
        <v>185.46265915999999</v>
      </c>
      <c r="CG185" s="656">
        <v>422.29530643999999</v>
      </c>
      <c r="CH185" s="656">
        <v>757.47494317999997</v>
      </c>
      <c r="CI185" s="656">
        <v>811.54241902000001</v>
      </c>
      <c r="CJ185" s="656">
        <v>173.29842126</v>
      </c>
      <c r="CK185" s="656">
        <v>433.44245539999997</v>
      </c>
      <c r="CL185" s="656">
        <v>603.9434114500001</v>
      </c>
      <c r="CM185" s="656">
        <v>842.42245235999997</v>
      </c>
      <c r="CN185" s="656">
        <v>174.61197081999998</v>
      </c>
      <c r="CO185" s="656">
        <v>452.54681416000005</v>
      </c>
      <c r="CP185" s="656">
        <v>714.45813516999999</v>
      </c>
      <c r="CQ185" s="656">
        <v>1148.0264919900001</v>
      </c>
      <c r="CR185" s="656">
        <v>407.36497944999996</v>
      </c>
      <c r="CS185" s="656">
        <v>740.98210200000005</v>
      </c>
      <c r="CT185" s="656">
        <v>1217.6221656700002</v>
      </c>
      <c r="CU185" s="656">
        <v>1668.0084680699999</v>
      </c>
      <c r="CV185" s="656">
        <v>472.42462445000001</v>
      </c>
      <c r="CW185" s="656">
        <v>964.38352701999997</v>
      </c>
      <c r="CX185" s="656">
        <v>1733.22260678</v>
      </c>
      <c r="CZ185" s="656" t="e">
        <v>#NAME?</v>
      </c>
      <c r="DB185" s="156" t="s">
        <v>338</v>
      </c>
      <c r="DG185" s="156">
        <v>6011.4</v>
      </c>
    </row>
    <row r="186" spans="1:111" ht="12.75">
      <c r="A186" s="165" t="s">
        <v>337</v>
      </c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6"/>
      <c r="P186" s="656"/>
      <c r="Q186" s="656"/>
      <c r="R186" s="656"/>
      <c r="S186" s="656"/>
      <c r="T186" s="656"/>
      <c r="U186" s="656"/>
      <c r="V186" s="656"/>
      <c r="W186" s="656"/>
      <c r="X186" s="656"/>
      <c r="Y186" s="656">
        <v>0</v>
      </c>
      <c r="Z186" s="656"/>
      <c r="AA186" s="656"/>
      <c r="AB186" s="656">
        <v>0</v>
      </c>
      <c r="AC186" s="656"/>
      <c r="AD186" s="158"/>
      <c r="AE186" s="158"/>
      <c r="AF186" s="656"/>
      <c r="AG186" s="656"/>
      <c r="AH186" s="656"/>
      <c r="AI186" s="656"/>
      <c r="AJ186" s="656"/>
      <c r="AK186" s="656"/>
      <c r="AL186" s="656"/>
      <c r="AM186" s="656"/>
      <c r="AN186" s="656"/>
      <c r="AO186" s="656"/>
      <c r="AP186" s="656"/>
      <c r="AQ186" s="656"/>
      <c r="AR186" s="656"/>
      <c r="AS186" s="656"/>
      <c r="AT186" s="656"/>
      <c r="AU186" s="656"/>
      <c r="AV186" s="656"/>
      <c r="AW186" s="656"/>
      <c r="AX186" s="656"/>
      <c r="AY186" s="656"/>
      <c r="AZ186" s="656"/>
      <c r="BA186" s="656"/>
      <c r="BB186" s="656"/>
      <c r="BC186" s="656"/>
      <c r="BD186" s="656"/>
      <c r="BE186" s="656"/>
      <c r="BF186" s="656"/>
      <c r="BG186" s="656"/>
      <c r="BH186" s="656"/>
      <c r="BI186" s="656"/>
      <c r="BJ186" s="656"/>
      <c r="BK186" s="656"/>
      <c r="BL186" s="656"/>
      <c r="BM186" s="656"/>
      <c r="BN186" s="656"/>
      <c r="BO186" s="656"/>
      <c r="BP186" s="656"/>
      <c r="BQ186" s="656"/>
      <c r="BR186" s="656"/>
      <c r="BS186" s="656"/>
      <c r="BT186" s="656"/>
      <c r="BU186" s="656"/>
      <c r="BV186" s="656"/>
      <c r="BW186" s="656"/>
      <c r="BX186" s="656"/>
      <c r="BY186" s="656"/>
      <c r="BZ186" s="656"/>
      <c r="CA186" s="656"/>
      <c r="CB186" s="656"/>
      <c r="CC186" s="656"/>
      <c r="CD186" s="656"/>
      <c r="CE186" s="656"/>
      <c r="CF186" s="656"/>
      <c r="CG186" s="656"/>
      <c r="CH186" s="656"/>
      <c r="CI186" s="656"/>
      <c r="CJ186" s="656"/>
      <c r="CK186" s="656"/>
      <c r="CL186" s="656"/>
      <c r="CM186" s="656"/>
      <c r="CN186" s="656"/>
      <c r="CO186" s="656"/>
      <c r="CP186" s="656"/>
      <c r="CQ186" s="656"/>
      <c r="CR186" s="656"/>
      <c r="CS186" s="656">
        <v>0</v>
      </c>
      <c r="CT186" s="656">
        <v>0</v>
      </c>
      <c r="CU186" s="656">
        <v>0</v>
      </c>
      <c r="CV186" s="656">
        <v>0</v>
      </c>
      <c r="CW186" s="656">
        <v>0</v>
      </c>
      <c r="CX186" s="656">
        <v>0</v>
      </c>
      <c r="CZ186" s="656" t="e">
        <v>#NAME?</v>
      </c>
      <c r="DB186" s="156" t="s">
        <v>337</v>
      </c>
      <c r="DG186" s="156">
        <v>2051.25</v>
      </c>
    </row>
    <row r="187" spans="1:111" ht="12.75">
      <c r="A187" s="165" t="s">
        <v>336</v>
      </c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6"/>
      <c r="P187" s="656"/>
      <c r="Q187" s="656"/>
      <c r="R187" s="656"/>
      <c r="S187" s="656"/>
      <c r="T187" s="656"/>
      <c r="U187" s="656"/>
      <c r="V187" s="656"/>
      <c r="W187" s="656"/>
      <c r="X187" s="656"/>
      <c r="Y187" s="656">
        <v>0</v>
      </c>
      <c r="Z187" s="656"/>
      <c r="AA187" s="656"/>
      <c r="AB187" s="656">
        <v>0</v>
      </c>
      <c r="AC187" s="656"/>
      <c r="AD187" s="158"/>
      <c r="AE187" s="158"/>
      <c r="AF187" s="656"/>
      <c r="AG187" s="656"/>
      <c r="AH187" s="656"/>
      <c r="AI187" s="656"/>
      <c r="AJ187" s="656"/>
      <c r="AK187" s="656"/>
      <c r="AL187" s="656"/>
      <c r="AM187" s="656"/>
      <c r="AN187" s="656"/>
      <c r="AO187" s="656"/>
      <c r="AP187" s="656"/>
      <c r="AQ187" s="656"/>
      <c r="AR187" s="656"/>
      <c r="AS187" s="656"/>
      <c r="AT187" s="656"/>
      <c r="AU187" s="656"/>
      <c r="AV187" s="656"/>
      <c r="AW187" s="656"/>
      <c r="AX187" s="656"/>
      <c r="AY187" s="656"/>
      <c r="AZ187" s="656"/>
      <c r="BA187" s="656"/>
      <c r="BB187" s="656"/>
      <c r="BC187" s="656"/>
      <c r="BD187" s="656"/>
      <c r="BE187" s="656"/>
      <c r="BF187" s="656"/>
      <c r="BG187" s="656"/>
      <c r="BH187" s="656"/>
      <c r="BI187" s="656"/>
      <c r="BJ187" s="656"/>
      <c r="BK187" s="656"/>
      <c r="BL187" s="656"/>
      <c r="BM187" s="656"/>
      <c r="BN187" s="656"/>
      <c r="BO187" s="656"/>
      <c r="BP187" s="656"/>
      <c r="BQ187" s="656"/>
      <c r="BR187" s="656"/>
      <c r="BS187" s="656"/>
      <c r="BT187" s="656"/>
      <c r="BU187" s="656"/>
      <c r="BV187" s="656"/>
      <c r="BW187" s="656"/>
      <c r="BX187" s="656"/>
      <c r="BY187" s="656"/>
      <c r="BZ187" s="656"/>
      <c r="CA187" s="656"/>
      <c r="CB187" s="656"/>
      <c r="CC187" s="656"/>
      <c r="CD187" s="656"/>
      <c r="CE187" s="656"/>
      <c r="CF187" s="656"/>
      <c r="CG187" s="656"/>
      <c r="CH187" s="656"/>
      <c r="CI187" s="656"/>
      <c r="CJ187" s="656"/>
      <c r="CK187" s="656"/>
      <c r="CL187" s="656"/>
      <c r="CM187" s="656"/>
      <c r="CN187" s="656"/>
      <c r="CO187" s="656"/>
      <c r="CP187" s="656"/>
      <c r="CQ187" s="656"/>
      <c r="CR187" s="656"/>
      <c r="CS187" s="656">
        <v>0</v>
      </c>
      <c r="CT187" s="656">
        <v>0</v>
      </c>
      <c r="CU187" s="656">
        <v>0</v>
      </c>
      <c r="CV187" s="656">
        <v>0</v>
      </c>
      <c r="CW187" s="656">
        <v>0</v>
      </c>
      <c r="CX187" s="656">
        <v>0</v>
      </c>
      <c r="CZ187" s="656" t="e">
        <v>#NAME?</v>
      </c>
      <c r="DB187" s="156" t="s">
        <v>336</v>
      </c>
      <c r="DG187" s="156" t="e">
        <v>#VALUE!</v>
      </c>
    </row>
    <row r="188" spans="1:111" ht="12.75">
      <c r="A188" s="165" t="s">
        <v>335</v>
      </c>
      <c r="B188" s="656"/>
      <c r="C188" s="656"/>
      <c r="D188" s="656"/>
      <c r="E188" s="656"/>
      <c r="F188" s="656"/>
      <c r="G188" s="656"/>
      <c r="H188" s="656"/>
      <c r="I188" s="656"/>
      <c r="J188" s="656"/>
      <c r="K188" s="656"/>
      <c r="L188" s="656"/>
      <c r="M188" s="656"/>
      <c r="N188" s="656"/>
      <c r="O188" s="656"/>
      <c r="P188" s="656"/>
      <c r="Q188" s="656"/>
      <c r="R188" s="656"/>
      <c r="S188" s="656"/>
      <c r="T188" s="656"/>
      <c r="U188" s="656">
        <v>3227.4358000000002</v>
      </c>
      <c r="V188" s="656">
        <v>3309.5296212500002</v>
      </c>
      <c r="W188" s="656">
        <v>4023.11357094</v>
      </c>
      <c r="X188" s="656">
        <v>4990.2681339399996</v>
      </c>
      <c r="Y188" s="656">
        <v>6374.8004941400004</v>
      </c>
      <c r="Z188" s="656">
        <v>8233.9102623899998</v>
      </c>
      <c r="AA188" s="656">
        <v>10776.165449100001</v>
      </c>
      <c r="AB188" s="656">
        <v>14867.476114950001</v>
      </c>
      <c r="AC188" s="656"/>
      <c r="AD188" s="158"/>
      <c r="AE188" s="158"/>
      <c r="AF188" s="656"/>
      <c r="AG188" s="656"/>
      <c r="AH188" s="656"/>
      <c r="AI188" s="656"/>
      <c r="AJ188" s="656"/>
      <c r="AK188" s="656"/>
      <c r="AL188" s="656"/>
      <c r="AM188" s="656"/>
      <c r="AN188" s="656"/>
      <c r="AO188" s="656"/>
      <c r="AP188" s="656"/>
      <c r="AQ188" s="656"/>
      <c r="AR188" s="656"/>
      <c r="AS188" s="656"/>
      <c r="AT188" s="656"/>
      <c r="AU188" s="656"/>
      <c r="AV188" s="656"/>
      <c r="AW188" s="656"/>
      <c r="AX188" s="656"/>
      <c r="AY188" s="656"/>
      <c r="AZ188" s="656"/>
      <c r="BA188" s="656"/>
      <c r="BB188" s="656"/>
      <c r="BC188" s="656"/>
      <c r="BD188" s="656"/>
      <c r="BE188" s="656"/>
      <c r="BF188" s="656"/>
      <c r="BG188" s="656"/>
      <c r="BH188" s="656"/>
      <c r="BI188" s="656"/>
      <c r="BJ188" s="656"/>
      <c r="BK188" s="656"/>
      <c r="BL188" s="656"/>
      <c r="BM188" s="656"/>
      <c r="BN188" s="656"/>
      <c r="BO188" s="656"/>
      <c r="BP188" s="656"/>
      <c r="BQ188" s="656"/>
      <c r="BR188" s="656"/>
      <c r="BS188" s="656"/>
      <c r="BT188" s="656"/>
      <c r="BU188" s="656"/>
      <c r="BV188" s="656"/>
      <c r="BW188" s="656"/>
      <c r="BX188" s="656"/>
      <c r="BY188" s="656"/>
      <c r="BZ188" s="656"/>
      <c r="CA188" s="656"/>
      <c r="CB188" s="656">
        <v>1114.9206051600002</v>
      </c>
      <c r="CC188" s="656">
        <v>2399.0832999999998</v>
      </c>
      <c r="CD188" s="656">
        <v>3897.2945942299998</v>
      </c>
      <c r="CE188" s="656">
        <v>4990.2681339399996</v>
      </c>
      <c r="CF188" s="656">
        <v>1361.9683422000001</v>
      </c>
      <c r="CG188" s="656">
        <v>2962.0112868699998</v>
      </c>
      <c r="CH188" s="656">
        <v>4924.5079765099999</v>
      </c>
      <c r="CI188" s="656">
        <v>6374.8004941400004</v>
      </c>
      <c r="CJ188" s="656">
        <v>2033.30955328</v>
      </c>
      <c r="CK188" s="656">
        <v>4291.7839773099995</v>
      </c>
      <c r="CL188" s="656">
        <v>6385.9316084399998</v>
      </c>
      <c r="CM188" s="656">
        <v>8233.9102623899998</v>
      </c>
      <c r="CN188" s="656">
        <v>2246.9813150100003</v>
      </c>
      <c r="CO188" s="656">
        <v>5248.5180266699999</v>
      </c>
      <c r="CP188" s="656">
        <v>8289.5893557399995</v>
      </c>
      <c r="CQ188" s="656">
        <v>10776.165449100001</v>
      </c>
      <c r="CR188" s="656">
        <v>3316.0620986399999</v>
      </c>
      <c r="CS188" s="656">
        <v>6708.83939577</v>
      </c>
      <c r="CT188" s="656">
        <v>11074.279198940001</v>
      </c>
      <c r="CU188" s="656">
        <v>14867.476114950001</v>
      </c>
      <c r="CV188" s="656">
        <v>4256.6911224899995</v>
      </c>
      <c r="CW188" s="656">
        <v>9413.1059651699998</v>
      </c>
      <c r="CX188" s="656">
        <v>14846.548813020001</v>
      </c>
      <c r="CZ188" s="656" t="e">
        <v>#NAME?</v>
      </c>
      <c r="DB188" s="156" t="s">
        <v>335</v>
      </c>
      <c r="DG188" s="156">
        <v>19.89</v>
      </c>
    </row>
    <row r="189" spans="1:111" ht="12.75">
      <c r="A189" s="165" t="s">
        <v>334</v>
      </c>
      <c r="B189" s="656"/>
      <c r="C189" s="656"/>
      <c r="D189" s="656"/>
      <c r="E189" s="656"/>
      <c r="F189" s="656"/>
      <c r="G189" s="656"/>
      <c r="H189" s="656"/>
      <c r="I189" s="656"/>
      <c r="J189" s="656"/>
      <c r="K189" s="656"/>
      <c r="L189" s="656"/>
      <c r="M189" s="656"/>
      <c r="N189" s="656"/>
      <c r="O189" s="656"/>
      <c r="P189" s="656"/>
      <c r="Q189" s="656"/>
      <c r="R189" s="656"/>
      <c r="S189" s="656"/>
      <c r="T189" s="656"/>
      <c r="U189" s="656"/>
      <c r="V189" s="656"/>
      <c r="W189" s="656"/>
      <c r="X189" s="656"/>
      <c r="Y189" s="656">
        <v>0</v>
      </c>
      <c r="Z189" s="656"/>
      <c r="AA189" s="656"/>
      <c r="AB189" s="656">
        <v>0</v>
      </c>
      <c r="AC189" s="656"/>
      <c r="AD189" s="158"/>
      <c r="AE189" s="158"/>
      <c r="AF189" s="656"/>
      <c r="AG189" s="656"/>
      <c r="AH189" s="656"/>
      <c r="AI189" s="656"/>
      <c r="AJ189" s="656"/>
      <c r="AK189" s="656"/>
      <c r="AL189" s="656"/>
      <c r="AM189" s="656"/>
      <c r="AN189" s="656"/>
      <c r="AO189" s="656"/>
      <c r="AP189" s="656"/>
      <c r="AQ189" s="656"/>
      <c r="AR189" s="656"/>
      <c r="AS189" s="656"/>
      <c r="AT189" s="656"/>
      <c r="AU189" s="656"/>
      <c r="AV189" s="656"/>
      <c r="AW189" s="656"/>
      <c r="AX189" s="656"/>
      <c r="AY189" s="656"/>
      <c r="AZ189" s="656"/>
      <c r="BA189" s="656"/>
      <c r="BB189" s="656"/>
      <c r="BC189" s="656"/>
      <c r="BD189" s="656"/>
      <c r="BE189" s="656"/>
      <c r="BF189" s="656"/>
      <c r="BG189" s="656"/>
      <c r="BH189" s="656"/>
      <c r="BI189" s="656"/>
      <c r="BJ189" s="656"/>
      <c r="BK189" s="656"/>
      <c r="BL189" s="656"/>
      <c r="BM189" s="656"/>
      <c r="BN189" s="656"/>
      <c r="BO189" s="656"/>
      <c r="BP189" s="656"/>
      <c r="BQ189" s="656"/>
      <c r="BR189" s="656"/>
      <c r="BS189" s="656"/>
      <c r="BT189" s="656"/>
      <c r="BU189" s="656"/>
      <c r="BV189" s="656"/>
      <c r="BW189" s="656"/>
      <c r="BX189" s="656"/>
      <c r="BY189" s="656"/>
      <c r="BZ189" s="656"/>
      <c r="CA189" s="656"/>
      <c r="CB189" s="656"/>
      <c r="CC189" s="656"/>
      <c r="CD189" s="656"/>
      <c r="CE189" s="656"/>
      <c r="CF189" s="656"/>
      <c r="CG189" s="656"/>
      <c r="CH189" s="656"/>
      <c r="CI189" s="656"/>
      <c r="CJ189" s="656"/>
      <c r="CK189" s="656"/>
      <c r="CL189" s="656"/>
      <c r="CM189" s="656"/>
      <c r="CN189" s="656"/>
      <c r="CO189" s="656"/>
      <c r="CP189" s="656"/>
      <c r="CQ189" s="656"/>
      <c r="CR189" s="656"/>
      <c r="CS189" s="656">
        <v>0</v>
      </c>
      <c r="CT189" s="656">
        <v>0</v>
      </c>
      <c r="CU189" s="656">
        <v>0</v>
      </c>
      <c r="CV189" s="656">
        <v>0</v>
      </c>
      <c r="CW189" s="656">
        <v>0</v>
      </c>
      <c r="CX189" s="656">
        <v>0</v>
      </c>
      <c r="CZ189" s="656" t="e">
        <v>#NAME?</v>
      </c>
      <c r="DB189" s="156" t="s">
        <v>334</v>
      </c>
      <c r="DG189" s="156" t="e">
        <v>#VALUE!</v>
      </c>
    </row>
    <row r="190" spans="1:111" ht="12.75">
      <c r="A190" s="167" t="s">
        <v>269</v>
      </c>
      <c r="B190" s="655"/>
      <c r="C190" s="655"/>
      <c r="D190" s="655"/>
      <c r="E190" s="655"/>
      <c r="F190" s="655"/>
      <c r="G190" s="655"/>
      <c r="H190" s="655"/>
      <c r="I190" s="655"/>
      <c r="J190" s="655"/>
      <c r="K190" s="655"/>
      <c r="L190" s="655"/>
      <c r="M190" s="655"/>
      <c r="N190" s="655"/>
      <c r="O190" s="655"/>
      <c r="P190" s="655"/>
      <c r="Q190" s="655"/>
      <c r="R190" s="655"/>
      <c r="S190" s="655"/>
      <c r="T190" s="655"/>
      <c r="U190" s="655">
        <v>189.7081</v>
      </c>
      <c r="V190" s="655">
        <v>194.93967529</v>
      </c>
      <c r="W190" s="655">
        <v>1210.98143514</v>
      </c>
      <c r="X190" s="655">
        <v>1340.3631529700001</v>
      </c>
      <c r="Y190" s="655">
        <v>2076.84403767</v>
      </c>
      <c r="Z190" s="655">
        <v>2026.1051407300001</v>
      </c>
      <c r="AA190" s="655">
        <v>3281.2696526499999</v>
      </c>
      <c r="AB190" s="655">
        <v>5789.4085085400002</v>
      </c>
      <c r="AC190" s="655"/>
      <c r="AD190" s="158"/>
      <c r="AE190" s="158"/>
      <c r="AF190" s="655"/>
      <c r="AG190" s="655"/>
      <c r="AH190" s="655"/>
      <c r="AI190" s="655"/>
      <c r="AJ190" s="655"/>
      <c r="AK190" s="655"/>
      <c r="AL190" s="655"/>
      <c r="AM190" s="655"/>
      <c r="AN190" s="655"/>
      <c r="AO190" s="655"/>
      <c r="AP190" s="655"/>
      <c r="AQ190" s="655"/>
      <c r="AR190" s="655"/>
      <c r="AS190" s="655"/>
      <c r="AT190" s="655"/>
      <c r="AU190" s="655"/>
      <c r="AV190" s="655"/>
      <c r="AW190" s="655"/>
      <c r="AX190" s="655"/>
      <c r="AY190" s="655"/>
      <c r="AZ190" s="655"/>
      <c r="BA190" s="655"/>
      <c r="BB190" s="655"/>
      <c r="BC190" s="655"/>
      <c r="BD190" s="655"/>
      <c r="BE190" s="655"/>
      <c r="BF190" s="655"/>
      <c r="BG190" s="655"/>
      <c r="BH190" s="655"/>
      <c r="BI190" s="655"/>
      <c r="BJ190" s="655"/>
      <c r="BK190" s="655"/>
      <c r="BL190" s="655"/>
      <c r="BM190" s="655"/>
      <c r="BN190" s="655"/>
      <c r="BO190" s="655"/>
      <c r="BP190" s="655"/>
      <c r="BQ190" s="655"/>
      <c r="BR190" s="655"/>
      <c r="BS190" s="655"/>
      <c r="BT190" s="655"/>
      <c r="BU190" s="655"/>
      <c r="BV190" s="655"/>
      <c r="BW190" s="655"/>
      <c r="BX190" s="655"/>
      <c r="BY190" s="655"/>
      <c r="BZ190" s="655"/>
      <c r="CA190" s="655"/>
      <c r="CB190" s="655">
        <v>-41.922024</v>
      </c>
      <c r="CC190" s="655">
        <v>601.5222</v>
      </c>
      <c r="CD190" s="655">
        <v>875.13521332000005</v>
      </c>
      <c r="CE190" s="655">
        <v>1340.3631529700001</v>
      </c>
      <c r="CF190" s="655">
        <v>454.90829431999998</v>
      </c>
      <c r="CG190" s="655">
        <v>1179.18514878</v>
      </c>
      <c r="CH190" s="655">
        <v>1414.73088826</v>
      </c>
      <c r="CI190" s="655">
        <v>2076.84403767</v>
      </c>
      <c r="CJ190" s="655">
        <v>291.35358689999998</v>
      </c>
      <c r="CK190" s="655">
        <v>713.15587480999989</v>
      </c>
      <c r="CL190" s="655">
        <v>1421.88317966</v>
      </c>
      <c r="CM190" s="655">
        <v>2026.1051407300001</v>
      </c>
      <c r="CN190" s="655">
        <v>723.99698139999998</v>
      </c>
      <c r="CO190" s="655">
        <v>1297.9530904400001</v>
      </c>
      <c r="CP190" s="655">
        <v>2013.44679761</v>
      </c>
      <c r="CQ190" s="655">
        <v>3281.2696526499999</v>
      </c>
      <c r="CR190" s="655">
        <v>859.54440177000004</v>
      </c>
      <c r="CS190" s="655">
        <v>2267.29261933</v>
      </c>
      <c r="CT190" s="655">
        <v>3035.41910581</v>
      </c>
      <c r="CU190" s="655">
        <v>5789.4085085400002</v>
      </c>
      <c r="CV190" s="655">
        <v>631.49311247000003</v>
      </c>
      <c r="CW190" s="655">
        <v>1740.46056279</v>
      </c>
      <c r="CX190" s="655">
        <v>3132.6336839200003</v>
      </c>
      <c r="CZ190" s="655" t="e">
        <v>#NAME?</v>
      </c>
      <c r="DB190" s="156" t="s">
        <v>269</v>
      </c>
      <c r="DG190" s="156" t="e">
        <v>#VALUE!</v>
      </c>
    </row>
    <row r="191" spans="1:111">
      <c r="A191" s="167" t="s">
        <v>333</v>
      </c>
      <c r="B191" s="658"/>
      <c r="C191" s="658"/>
      <c r="D191" s="658"/>
      <c r="E191" s="658"/>
      <c r="F191" s="658"/>
      <c r="G191" s="658"/>
      <c r="H191" s="658"/>
      <c r="I191" s="658"/>
      <c r="J191" s="658"/>
      <c r="K191" s="658"/>
      <c r="L191" s="658"/>
      <c r="M191" s="658"/>
      <c r="N191" s="658"/>
      <c r="O191" s="658"/>
      <c r="P191" s="658"/>
      <c r="Q191" s="658"/>
      <c r="R191" s="658"/>
      <c r="S191" s="658"/>
      <c r="T191" s="658"/>
      <c r="U191" s="658"/>
      <c r="V191" s="658"/>
      <c r="W191" s="658"/>
      <c r="X191" s="658"/>
      <c r="Y191" s="658"/>
      <c r="Z191" s="658"/>
      <c r="AA191" s="658"/>
      <c r="AB191" s="658"/>
      <c r="AC191" s="658"/>
      <c r="AD191" s="158"/>
      <c r="AE191" s="158"/>
      <c r="AF191" s="658"/>
      <c r="AG191" s="658"/>
      <c r="AH191" s="658"/>
      <c r="AI191" s="658"/>
      <c r="AJ191" s="658"/>
      <c r="AK191" s="658"/>
      <c r="AL191" s="658"/>
      <c r="AM191" s="658"/>
      <c r="AN191" s="658"/>
      <c r="AO191" s="658"/>
      <c r="AP191" s="658"/>
      <c r="AQ191" s="658"/>
      <c r="AR191" s="658"/>
      <c r="AS191" s="658"/>
      <c r="AT191" s="658"/>
      <c r="AU191" s="658"/>
      <c r="AV191" s="658"/>
      <c r="AW191" s="658"/>
      <c r="AX191" s="658"/>
      <c r="AY191" s="658"/>
      <c r="AZ191" s="658"/>
      <c r="BA191" s="658"/>
      <c r="BB191" s="658"/>
      <c r="BC191" s="658"/>
      <c r="BD191" s="658"/>
      <c r="BE191" s="658"/>
      <c r="BF191" s="658"/>
      <c r="BG191" s="658"/>
      <c r="BH191" s="658"/>
      <c r="BI191" s="658"/>
      <c r="BJ191" s="658"/>
      <c r="BK191" s="658"/>
      <c r="BL191" s="658"/>
      <c r="BM191" s="658"/>
      <c r="BN191" s="658"/>
      <c r="BO191" s="658"/>
      <c r="BP191" s="658"/>
      <c r="BQ191" s="658"/>
      <c r="BR191" s="658"/>
      <c r="BS191" s="658"/>
      <c r="BT191" s="658"/>
      <c r="BU191" s="658"/>
      <c r="BV191" s="658"/>
      <c r="BW191" s="658"/>
      <c r="BX191" s="658"/>
      <c r="BY191" s="658"/>
      <c r="BZ191" s="658"/>
      <c r="CA191" s="658"/>
      <c r="CB191" s="658"/>
      <c r="CC191" s="658"/>
      <c r="CD191" s="658"/>
      <c r="CE191" s="658"/>
      <c r="CF191" s="658"/>
      <c r="CG191" s="658"/>
      <c r="CH191" s="658"/>
      <c r="CI191" s="658"/>
      <c r="CJ191" s="658"/>
      <c r="CK191" s="658"/>
      <c r="CL191" s="658"/>
      <c r="CM191" s="658"/>
      <c r="CN191" s="658"/>
      <c r="CO191" s="658"/>
      <c r="CP191" s="658"/>
      <c r="CQ191" s="658"/>
      <c r="CR191" s="658"/>
      <c r="CS191" s="658"/>
      <c r="CT191" s="658"/>
      <c r="CU191" s="658"/>
      <c r="CV191" s="658"/>
      <c r="CW191" s="658"/>
      <c r="CX191" s="658"/>
      <c r="CZ191" s="658"/>
      <c r="DB191" s="156" t="s">
        <v>333</v>
      </c>
      <c r="DG191" s="156">
        <v>8082.54</v>
      </c>
    </row>
    <row r="192" spans="1:111" ht="12.75">
      <c r="A192" s="165" t="s">
        <v>332</v>
      </c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>
        <v>4501.8891999999996</v>
      </c>
      <c r="V192" s="656">
        <v>1923.47</v>
      </c>
      <c r="W192" s="656">
        <v>569.5</v>
      </c>
      <c r="X192" s="656">
        <v>830</v>
      </c>
      <c r="Y192" s="656">
        <v>1800</v>
      </c>
      <c r="Z192" s="656">
        <v>3597</v>
      </c>
      <c r="AA192" s="656">
        <v>9113.1537056399993</v>
      </c>
      <c r="AB192" s="656">
        <v>14172.858167350001</v>
      </c>
      <c r="AC192" s="656"/>
      <c r="AD192" s="158"/>
      <c r="AE192" s="158"/>
      <c r="AF192" s="656"/>
      <c r="AG192" s="656"/>
      <c r="AH192" s="656"/>
      <c r="AI192" s="656"/>
      <c r="AJ192" s="656"/>
      <c r="AK192" s="656"/>
      <c r="AL192" s="656"/>
      <c r="AM192" s="656"/>
      <c r="AN192" s="656"/>
      <c r="AO192" s="656"/>
      <c r="AP192" s="656"/>
      <c r="AQ192" s="656"/>
      <c r="AR192" s="656"/>
      <c r="AS192" s="656"/>
      <c r="AT192" s="656"/>
      <c r="AU192" s="656"/>
      <c r="AV192" s="656"/>
      <c r="AW192" s="656"/>
      <c r="AX192" s="656"/>
      <c r="AY192" s="656"/>
      <c r="AZ192" s="656"/>
      <c r="BA192" s="656"/>
      <c r="BB192" s="656"/>
      <c r="BC192" s="656"/>
      <c r="BD192" s="656"/>
      <c r="BE192" s="656"/>
      <c r="BF192" s="656"/>
      <c r="BG192" s="656"/>
      <c r="BH192" s="656"/>
      <c r="BI192" s="656"/>
      <c r="BJ192" s="656"/>
      <c r="BK192" s="656"/>
      <c r="BL192" s="656"/>
      <c r="BM192" s="656"/>
      <c r="BN192" s="656"/>
      <c r="BO192" s="656"/>
      <c r="BP192" s="656"/>
      <c r="BQ192" s="656"/>
      <c r="BR192" s="656"/>
      <c r="BS192" s="656"/>
      <c r="BT192" s="656"/>
      <c r="BU192" s="656"/>
      <c r="BV192" s="656"/>
      <c r="BW192" s="656"/>
      <c r="BX192" s="656"/>
      <c r="BY192" s="656"/>
      <c r="BZ192" s="656"/>
      <c r="CA192" s="656"/>
      <c r="CB192" s="656">
        <v>50</v>
      </c>
      <c r="CC192" s="656">
        <v>270</v>
      </c>
      <c r="CD192" s="656">
        <v>300</v>
      </c>
      <c r="CE192" s="656">
        <v>830</v>
      </c>
      <c r="CF192" s="656">
        <v>600</v>
      </c>
      <c r="CG192" s="656">
        <v>1125</v>
      </c>
      <c r="CH192" s="656">
        <v>1515</v>
      </c>
      <c r="CI192" s="656">
        <v>1800</v>
      </c>
      <c r="CJ192" s="656">
        <v>400</v>
      </c>
      <c r="CK192" s="656">
        <v>1525</v>
      </c>
      <c r="CL192" s="656">
        <v>3885</v>
      </c>
      <c r="CM192" s="656">
        <v>3597</v>
      </c>
      <c r="CN192" s="656">
        <v>2530</v>
      </c>
      <c r="CO192" s="656">
        <v>5598.9997999999996</v>
      </c>
      <c r="CP192" s="656">
        <v>7211.6581800399999</v>
      </c>
      <c r="CQ192" s="656">
        <v>9113.1537056399993</v>
      </c>
      <c r="CR192" s="656">
        <v>410</v>
      </c>
      <c r="CS192" s="656">
        <v>5441.9025423699995</v>
      </c>
      <c r="CT192" s="656">
        <v>8780.3558257999994</v>
      </c>
      <c r="CU192" s="656">
        <v>14172.858167350001</v>
      </c>
      <c r="CV192" s="656">
        <v>5569.1350102200004</v>
      </c>
      <c r="CW192" s="656">
        <v>10622.251790419999</v>
      </c>
      <c r="CX192" s="656">
        <v>17481.694295400001</v>
      </c>
      <c r="CZ192" s="656" t="e">
        <v>#NAME?</v>
      </c>
      <c r="DB192" s="156" t="s">
        <v>332</v>
      </c>
      <c r="DG192" s="156" t="e">
        <v>#VALUE!</v>
      </c>
    </row>
    <row r="193" spans="1:111" ht="12.75">
      <c r="A193" s="165" t="s">
        <v>331</v>
      </c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6"/>
      <c r="P193" s="656"/>
      <c r="Q193" s="656"/>
      <c r="R193" s="656"/>
      <c r="S193" s="656"/>
      <c r="T193" s="656"/>
      <c r="U193" s="656">
        <v>19.021000000000001</v>
      </c>
      <c r="V193" s="656">
        <v>12.831674849999999</v>
      </c>
      <c r="W193" s="656">
        <v>7.1412014699999995</v>
      </c>
      <c r="X193" s="656">
        <v>9.8039465000000003</v>
      </c>
      <c r="Y193" s="656">
        <v>19.440293660000002</v>
      </c>
      <c r="Z193" s="656">
        <v>65.714324120000001</v>
      </c>
      <c r="AA193" s="656">
        <v>208.20072639</v>
      </c>
      <c r="AB193" s="656">
        <v>191.56303609</v>
      </c>
      <c r="AC193" s="656"/>
      <c r="AD193" s="158"/>
      <c r="AE193" s="158"/>
      <c r="AF193" s="656"/>
      <c r="AG193" s="656"/>
      <c r="AH193" s="656"/>
      <c r="AI193" s="656"/>
      <c r="AJ193" s="656"/>
      <c r="AK193" s="656"/>
      <c r="AL193" s="656"/>
      <c r="AM193" s="656"/>
      <c r="AN193" s="656"/>
      <c r="AO193" s="656"/>
      <c r="AP193" s="656"/>
      <c r="AQ193" s="656"/>
      <c r="AR193" s="656"/>
      <c r="AS193" s="656"/>
      <c r="AT193" s="656"/>
      <c r="AU193" s="656"/>
      <c r="AV193" s="656"/>
      <c r="AW193" s="656"/>
      <c r="AX193" s="656"/>
      <c r="AY193" s="656"/>
      <c r="AZ193" s="656"/>
      <c r="BA193" s="656"/>
      <c r="BB193" s="656"/>
      <c r="BC193" s="656"/>
      <c r="BD193" s="656"/>
      <c r="BE193" s="656"/>
      <c r="BF193" s="656"/>
      <c r="BG193" s="656"/>
      <c r="BH193" s="656"/>
      <c r="BI193" s="656"/>
      <c r="BJ193" s="656"/>
      <c r="BK193" s="656"/>
      <c r="BL193" s="656"/>
      <c r="BM193" s="656"/>
      <c r="BN193" s="656"/>
      <c r="BO193" s="656"/>
      <c r="BP193" s="656"/>
      <c r="BQ193" s="656"/>
      <c r="BR193" s="656"/>
      <c r="BS193" s="656"/>
      <c r="BT193" s="656"/>
      <c r="BU193" s="656"/>
      <c r="BV193" s="656"/>
      <c r="BW193" s="656"/>
      <c r="BX193" s="656"/>
      <c r="BY193" s="656"/>
      <c r="BZ193" s="656"/>
      <c r="CA193" s="656"/>
      <c r="CB193" s="656">
        <v>1.36778888</v>
      </c>
      <c r="CC193" s="656">
        <v>3.8954</v>
      </c>
      <c r="CD193" s="656">
        <v>6.1298444400000003</v>
      </c>
      <c r="CE193" s="656">
        <v>9.8039465000000003</v>
      </c>
      <c r="CF193" s="656">
        <v>3.1829799400000001</v>
      </c>
      <c r="CG193" s="656">
        <v>8.0087711500000012</v>
      </c>
      <c r="CH193" s="656">
        <v>13.684018869999999</v>
      </c>
      <c r="CI193" s="656">
        <v>19.440293660000002</v>
      </c>
      <c r="CJ193" s="656">
        <v>3.7579120000000001</v>
      </c>
      <c r="CK193" s="656">
        <v>20.34179468</v>
      </c>
      <c r="CL193" s="656">
        <v>65.553618459999996</v>
      </c>
      <c r="CM193" s="656">
        <v>65.714324120000001</v>
      </c>
      <c r="CN193" s="656">
        <v>19.64463881</v>
      </c>
      <c r="CO193" s="656">
        <v>119.49776729000001</v>
      </c>
      <c r="CP193" s="656">
        <v>159.51836962000002</v>
      </c>
      <c r="CQ193" s="656">
        <v>208.20072639</v>
      </c>
      <c r="CR193" s="656">
        <v>45.568003170000004</v>
      </c>
      <c r="CS193" s="656">
        <v>137.82933961000001</v>
      </c>
      <c r="CT193" s="656">
        <v>185.01890863999998</v>
      </c>
      <c r="CU193" s="656">
        <v>191.56303609</v>
      </c>
      <c r="CV193" s="656">
        <v>98.745776550000002</v>
      </c>
      <c r="CW193" s="656">
        <v>146.90381424</v>
      </c>
      <c r="CX193" s="656">
        <v>210.31528436000002</v>
      </c>
      <c r="CZ193" s="656" t="e">
        <v>#NAME?</v>
      </c>
      <c r="DB193" s="156" t="s">
        <v>331</v>
      </c>
      <c r="DG193" s="156">
        <v>1507.45</v>
      </c>
    </row>
    <row r="194" spans="1:111" ht="12.75">
      <c r="A194" s="165" t="s">
        <v>330</v>
      </c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6"/>
      <c r="P194" s="656"/>
      <c r="Q194" s="656"/>
      <c r="R194" s="656"/>
      <c r="S194" s="656"/>
      <c r="T194" s="656"/>
      <c r="U194" s="656">
        <v>0.27900000000000003</v>
      </c>
      <c r="V194" s="656">
        <v>0.33450456000000001</v>
      </c>
      <c r="W194" s="656">
        <v>6.822555000000001E-2</v>
      </c>
      <c r="X194" s="656">
        <v>0.84871743999999993</v>
      </c>
      <c r="Y194" s="656">
        <v>3.20214607</v>
      </c>
      <c r="Z194" s="656">
        <v>1.7920981999999999</v>
      </c>
      <c r="AA194" s="656">
        <v>1.98758853</v>
      </c>
      <c r="AB194" s="656">
        <v>3.2052460299999996</v>
      </c>
      <c r="AC194" s="656"/>
      <c r="AD194" s="158"/>
      <c r="AE194" s="158"/>
      <c r="AF194" s="656"/>
      <c r="AG194" s="656"/>
      <c r="AH194" s="656"/>
      <c r="AI194" s="656"/>
      <c r="AJ194" s="656"/>
      <c r="AK194" s="656"/>
      <c r="AL194" s="656"/>
      <c r="AM194" s="656"/>
      <c r="AN194" s="656"/>
      <c r="AO194" s="656"/>
      <c r="AP194" s="656"/>
      <c r="AQ194" s="656"/>
      <c r="AR194" s="656"/>
      <c r="AS194" s="656"/>
      <c r="AT194" s="656"/>
      <c r="AU194" s="656"/>
      <c r="AV194" s="656"/>
      <c r="AW194" s="656"/>
      <c r="AX194" s="656"/>
      <c r="AY194" s="656"/>
      <c r="AZ194" s="656"/>
      <c r="BA194" s="656"/>
      <c r="BB194" s="656"/>
      <c r="BC194" s="656"/>
      <c r="BD194" s="656"/>
      <c r="BE194" s="656"/>
      <c r="BF194" s="656"/>
      <c r="BG194" s="656"/>
      <c r="BH194" s="656"/>
      <c r="BI194" s="656"/>
      <c r="BJ194" s="656"/>
      <c r="BK194" s="656"/>
      <c r="BL194" s="656"/>
      <c r="BM194" s="656"/>
      <c r="BN194" s="656"/>
      <c r="BO194" s="656"/>
      <c r="BP194" s="656"/>
      <c r="BQ194" s="656"/>
      <c r="BR194" s="656"/>
      <c r="BS194" s="656"/>
      <c r="BT194" s="656"/>
      <c r="BU194" s="656"/>
      <c r="BV194" s="656"/>
      <c r="BW194" s="656"/>
      <c r="BX194" s="656"/>
      <c r="BY194" s="656"/>
      <c r="BZ194" s="656"/>
      <c r="CA194" s="656"/>
      <c r="CB194" s="656">
        <v>1.5877719999999998E-2</v>
      </c>
      <c r="CC194" s="656">
        <v>6.1800000000000001E-2</v>
      </c>
      <c r="CD194" s="656">
        <v>0.59230183999999997</v>
      </c>
      <c r="CE194" s="656">
        <v>0.84871743999999993</v>
      </c>
      <c r="CF194" s="656">
        <v>0.94037773000000002</v>
      </c>
      <c r="CG194" s="656">
        <v>1.42098221</v>
      </c>
      <c r="CH194" s="656">
        <v>1.7295485700000002</v>
      </c>
      <c r="CI194" s="656">
        <v>3.20214607</v>
      </c>
      <c r="CJ194" s="656">
        <v>4.4363263899999996</v>
      </c>
      <c r="CK194" s="656">
        <v>0.22262418</v>
      </c>
      <c r="CL194" s="656">
        <v>3.6566230699999998</v>
      </c>
      <c r="CM194" s="656">
        <v>1.7920981999999999</v>
      </c>
      <c r="CN194" s="656">
        <v>2.5510810000000002E-2</v>
      </c>
      <c r="CO194" s="656">
        <v>0.68998208999999999</v>
      </c>
      <c r="CP194" s="656">
        <v>3.0479744599999998</v>
      </c>
      <c r="CQ194" s="656">
        <v>1.98758853</v>
      </c>
      <c r="CR194" s="656">
        <v>5.0693443</v>
      </c>
      <c r="CS194" s="656">
        <v>26.015441969999998</v>
      </c>
      <c r="CT194" s="656">
        <v>3.1867997799999999</v>
      </c>
      <c r="CU194" s="656">
        <v>3.2052460299999996</v>
      </c>
      <c r="CV194" s="656">
        <v>0.16865988000000001</v>
      </c>
      <c r="CW194" s="656">
        <v>0.25549969</v>
      </c>
      <c r="CX194" s="656">
        <v>1.2280036999999999</v>
      </c>
      <c r="CZ194" s="656" t="e">
        <v>#NAME?</v>
      </c>
      <c r="DB194" s="156" t="s">
        <v>330</v>
      </c>
    </row>
    <row r="195" spans="1:111" ht="12.75">
      <c r="A195" s="165" t="s">
        <v>329</v>
      </c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6"/>
      <c r="P195" s="656"/>
      <c r="Q195" s="656"/>
      <c r="R195" s="656"/>
      <c r="S195" s="656"/>
      <c r="T195" s="656"/>
      <c r="U195" s="656"/>
      <c r="V195" s="656"/>
      <c r="W195" s="656"/>
      <c r="X195" s="656"/>
      <c r="Y195" s="656">
        <v>0</v>
      </c>
      <c r="Z195" s="656"/>
      <c r="AA195" s="656">
        <v>13.02203201</v>
      </c>
      <c r="AB195" s="656">
        <v>0</v>
      </c>
      <c r="AC195" s="656"/>
      <c r="AD195" s="158"/>
      <c r="AE195" s="158"/>
      <c r="AF195" s="656"/>
      <c r="AG195" s="656"/>
      <c r="AH195" s="656"/>
      <c r="AI195" s="656"/>
      <c r="AJ195" s="656"/>
      <c r="AK195" s="656"/>
      <c r="AL195" s="656"/>
      <c r="AM195" s="656"/>
      <c r="AN195" s="656"/>
      <c r="AO195" s="656"/>
      <c r="AP195" s="656"/>
      <c r="AQ195" s="656"/>
      <c r="AR195" s="656"/>
      <c r="AS195" s="656"/>
      <c r="AT195" s="656"/>
      <c r="AU195" s="656"/>
      <c r="AV195" s="656"/>
      <c r="AW195" s="656"/>
      <c r="AX195" s="656"/>
      <c r="AY195" s="656"/>
      <c r="AZ195" s="656"/>
      <c r="BA195" s="656"/>
      <c r="BB195" s="656"/>
      <c r="BC195" s="656"/>
      <c r="BD195" s="656"/>
      <c r="BE195" s="656"/>
      <c r="BF195" s="656"/>
      <c r="BG195" s="656"/>
      <c r="BH195" s="656"/>
      <c r="BI195" s="656"/>
      <c r="BJ195" s="656"/>
      <c r="BK195" s="656"/>
      <c r="BL195" s="656"/>
      <c r="BM195" s="656"/>
      <c r="BN195" s="656"/>
      <c r="BO195" s="656"/>
      <c r="BP195" s="656"/>
      <c r="BQ195" s="656"/>
      <c r="BR195" s="656"/>
      <c r="BS195" s="656"/>
      <c r="BT195" s="656"/>
      <c r="BU195" s="656"/>
      <c r="BV195" s="656"/>
      <c r="BW195" s="656"/>
      <c r="BX195" s="656"/>
      <c r="BY195" s="656"/>
      <c r="BZ195" s="656"/>
      <c r="CA195" s="656"/>
      <c r="CB195" s="656"/>
      <c r="CC195" s="656"/>
      <c r="CD195" s="656"/>
      <c r="CE195" s="656"/>
      <c r="CF195" s="656"/>
      <c r="CG195" s="656"/>
      <c r="CH195" s="656"/>
      <c r="CI195" s="656"/>
      <c r="CJ195" s="656"/>
      <c r="CK195" s="656"/>
      <c r="CL195" s="656"/>
      <c r="CM195" s="656"/>
      <c r="CN195" s="656"/>
      <c r="CO195" s="656">
        <v>13.02203201</v>
      </c>
      <c r="CP195" s="656">
        <v>13.02203201</v>
      </c>
      <c r="CQ195" s="656">
        <v>13.02203201</v>
      </c>
      <c r="CR195" s="656"/>
      <c r="CS195" s="656">
        <v>0</v>
      </c>
      <c r="CT195" s="656">
        <v>0</v>
      </c>
      <c r="CU195" s="656">
        <v>0</v>
      </c>
      <c r="CV195" s="656">
        <v>0</v>
      </c>
      <c r="CW195" s="656">
        <v>0</v>
      </c>
      <c r="CX195" s="656">
        <v>0</v>
      </c>
      <c r="CZ195" s="656" t="e">
        <v>#NAME?</v>
      </c>
      <c r="DB195" s="156" t="s">
        <v>329</v>
      </c>
      <c r="DG195" s="156">
        <v>31.72</v>
      </c>
    </row>
    <row r="196" spans="1:111" ht="12.75">
      <c r="A196" s="165" t="s">
        <v>328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>
        <v>2.13462043</v>
      </c>
      <c r="Y196" s="656">
        <v>6.6985999999999999</v>
      </c>
      <c r="Z196" s="656">
        <v>5.9503342899999998</v>
      </c>
      <c r="AA196" s="656">
        <v>1.4376947099999999</v>
      </c>
      <c r="AB196" s="656">
        <v>0.32644658000000004</v>
      </c>
      <c r="AC196" s="656"/>
      <c r="AD196" s="158"/>
      <c r="AE196" s="158"/>
      <c r="AF196" s="656"/>
      <c r="AG196" s="656"/>
      <c r="AH196" s="656"/>
      <c r="AI196" s="656"/>
      <c r="AJ196" s="656"/>
      <c r="AK196" s="656"/>
      <c r="AL196" s="656"/>
      <c r="AM196" s="656"/>
      <c r="AN196" s="656"/>
      <c r="AO196" s="656"/>
      <c r="AP196" s="656"/>
      <c r="AQ196" s="656"/>
      <c r="AR196" s="656"/>
      <c r="AS196" s="656"/>
      <c r="AT196" s="656"/>
      <c r="AU196" s="656"/>
      <c r="AV196" s="656"/>
      <c r="AW196" s="656"/>
      <c r="AX196" s="656"/>
      <c r="AY196" s="656"/>
      <c r="AZ196" s="656"/>
      <c r="BA196" s="656"/>
      <c r="BB196" s="656"/>
      <c r="BC196" s="656"/>
      <c r="BD196" s="656"/>
      <c r="BE196" s="656"/>
      <c r="BF196" s="656"/>
      <c r="BG196" s="656"/>
      <c r="BH196" s="656"/>
      <c r="BI196" s="656"/>
      <c r="BJ196" s="656"/>
      <c r="BK196" s="656"/>
      <c r="BL196" s="656"/>
      <c r="BM196" s="656"/>
      <c r="BN196" s="656"/>
      <c r="BO196" s="656"/>
      <c r="BP196" s="656"/>
      <c r="BQ196" s="656"/>
      <c r="BR196" s="656"/>
      <c r="BS196" s="656"/>
      <c r="BT196" s="656"/>
      <c r="BU196" s="656"/>
      <c r="BV196" s="656"/>
      <c r="BW196" s="656"/>
      <c r="BX196" s="656"/>
      <c r="BY196" s="656"/>
      <c r="BZ196" s="656"/>
      <c r="CA196" s="656"/>
      <c r="CB196" s="656"/>
      <c r="CC196" s="656"/>
      <c r="CD196" s="656"/>
      <c r="CE196" s="656">
        <v>2.13462043</v>
      </c>
      <c r="CF196" s="656">
        <v>1.6986000000000001</v>
      </c>
      <c r="CG196" s="656">
        <v>1.6986000000000001</v>
      </c>
      <c r="CH196" s="656">
        <v>1.6986000000000001</v>
      </c>
      <c r="CI196" s="656">
        <v>6.6985999999999999</v>
      </c>
      <c r="CJ196" s="656">
        <v>0.36986300999999999</v>
      </c>
      <c r="CK196" s="656">
        <v>9.1366299999999998E-2</v>
      </c>
      <c r="CL196" s="656">
        <v>9.1366299999999998E-2</v>
      </c>
      <c r="CM196" s="656">
        <v>5.9503342899999998</v>
      </c>
      <c r="CN196" s="656"/>
      <c r="CO196" s="656"/>
      <c r="CP196" s="656">
        <v>31.073239999999998</v>
      </c>
      <c r="CQ196" s="656">
        <v>1.4376947099999999</v>
      </c>
      <c r="CR196" s="656"/>
      <c r="CS196" s="656">
        <v>0</v>
      </c>
      <c r="CT196" s="656">
        <v>0</v>
      </c>
      <c r="CU196" s="656">
        <v>0.32644658000000004</v>
      </c>
      <c r="CV196" s="656">
        <v>0</v>
      </c>
      <c r="CW196" s="656">
        <v>0</v>
      </c>
      <c r="CX196" s="656">
        <v>0</v>
      </c>
      <c r="CZ196" s="656" t="e">
        <v>#NAME?</v>
      </c>
      <c r="DB196" s="156" t="s">
        <v>328</v>
      </c>
      <c r="DG196" s="156" t="e">
        <v>#VALUE!</v>
      </c>
    </row>
    <row r="197" spans="1:111" ht="12.75">
      <c r="A197" s="165" t="s">
        <v>327</v>
      </c>
      <c r="B197" s="656"/>
      <c r="C197" s="656"/>
      <c r="D197" s="656"/>
      <c r="E197" s="656"/>
      <c r="F197" s="656"/>
      <c r="G197" s="656"/>
      <c r="H197" s="656"/>
      <c r="I197" s="656"/>
      <c r="J197" s="656"/>
      <c r="K197" s="656"/>
      <c r="L197" s="656"/>
      <c r="M197" s="656"/>
      <c r="N197" s="656"/>
      <c r="O197" s="656"/>
      <c r="P197" s="656"/>
      <c r="Q197" s="656"/>
      <c r="R197" s="656"/>
      <c r="S197" s="656"/>
      <c r="T197" s="656"/>
      <c r="U197" s="656"/>
      <c r="V197" s="656"/>
      <c r="W197" s="656"/>
      <c r="X197" s="656"/>
      <c r="Y197" s="656">
        <v>0</v>
      </c>
      <c r="Z197" s="656"/>
      <c r="AA197" s="656"/>
      <c r="AB197" s="656">
        <v>0</v>
      </c>
      <c r="AC197" s="656"/>
      <c r="AD197" s="158"/>
      <c r="AE197" s="158"/>
      <c r="AF197" s="656"/>
      <c r="AG197" s="656"/>
      <c r="AH197" s="656"/>
      <c r="AI197" s="656"/>
      <c r="AJ197" s="656"/>
      <c r="AK197" s="656"/>
      <c r="AL197" s="656"/>
      <c r="AM197" s="656"/>
      <c r="AN197" s="656"/>
      <c r="AO197" s="656"/>
      <c r="AP197" s="656"/>
      <c r="AQ197" s="656"/>
      <c r="AR197" s="656"/>
      <c r="AS197" s="656"/>
      <c r="AT197" s="656"/>
      <c r="AU197" s="656"/>
      <c r="AV197" s="656"/>
      <c r="AW197" s="656"/>
      <c r="AX197" s="656"/>
      <c r="AY197" s="656"/>
      <c r="AZ197" s="656"/>
      <c r="BA197" s="656"/>
      <c r="BB197" s="656"/>
      <c r="BC197" s="656"/>
      <c r="BD197" s="656"/>
      <c r="BE197" s="656"/>
      <c r="BF197" s="656"/>
      <c r="BG197" s="656"/>
      <c r="BH197" s="656"/>
      <c r="BI197" s="656"/>
      <c r="BJ197" s="656"/>
      <c r="BK197" s="656"/>
      <c r="BL197" s="656"/>
      <c r="BM197" s="656"/>
      <c r="BN197" s="656"/>
      <c r="BO197" s="656"/>
      <c r="BP197" s="656"/>
      <c r="BQ197" s="656"/>
      <c r="BR197" s="656"/>
      <c r="BS197" s="656"/>
      <c r="BT197" s="656"/>
      <c r="BU197" s="656"/>
      <c r="BV197" s="656"/>
      <c r="BW197" s="656"/>
      <c r="BX197" s="656"/>
      <c r="BY197" s="656"/>
      <c r="BZ197" s="656"/>
      <c r="CA197" s="656"/>
      <c r="CB197" s="656"/>
      <c r="CC197" s="656"/>
      <c r="CD197" s="656"/>
      <c r="CE197" s="656"/>
      <c r="CF197" s="656"/>
      <c r="CG197" s="656"/>
      <c r="CH197" s="656"/>
      <c r="CI197" s="656"/>
      <c r="CJ197" s="656"/>
      <c r="CK197" s="656"/>
      <c r="CL197" s="656"/>
      <c r="CM197" s="656"/>
      <c r="CN197" s="656"/>
      <c r="CO197" s="656"/>
      <c r="CP197" s="656"/>
      <c r="CQ197" s="656"/>
      <c r="CR197" s="656"/>
      <c r="CS197" s="656">
        <v>0</v>
      </c>
      <c r="CT197" s="656">
        <v>0</v>
      </c>
      <c r="CU197" s="656">
        <v>0</v>
      </c>
      <c r="CV197" s="656">
        <v>0</v>
      </c>
      <c r="CW197" s="656">
        <v>0</v>
      </c>
      <c r="CX197" s="656">
        <v>0</v>
      </c>
      <c r="CZ197" s="656" t="e">
        <v>#NAME?</v>
      </c>
      <c r="DB197" s="156" t="s">
        <v>327</v>
      </c>
      <c r="DG197" s="156" t="e">
        <v>#VALUE!</v>
      </c>
    </row>
    <row r="198" spans="1:111" ht="12.75">
      <c r="A198" s="165" t="s">
        <v>326</v>
      </c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6"/>
      <c r="P198" s="656"/>
      <c r="Q198" s="656"/>
      <c r="R198" s="656"/>
      <c r="S198" s="656"/>
      <c r="T198" s="656"/>
      <c r="U198" s="656">
        <v>1E-4</v>
      </c>
      <c r="V198" s="656"/>
      <c r="W198" s="656"/>
      <c r="X198" s="656"/>
      <c r="Y198" s="656">
        <v>0</v>
      </c>
      <c r="Z198" s="656"/>
      <c r="AA198" s="656"/>
      <c r="AB198" s="656">
        <v>0</v>
      </c>
      <c r="AC198" s="656"/>
      <c r="AD198" s="158"/>
      <c r="AE198" s="158"/>
      <c r="AF198" s="656"/>
      <c r="AG198" s="656"/>
      <c r="AH198" s="656"/>
      <c r="AI198" s="656"/>
      <c r="AJ198" s="656"/>
      <c r="AK198" s="656"/>
      <c r="AL198" s="656"/>
      <c r="AM198" s="656"/>
      <c r="AN198" s="656"/>
      <c r="AO198" s="656"/>
      <c r="AP198" s="656"/>
      <c r="AQ198" s="656"/>
      <c r="AR198" s="656"/>
      <c r="AS198" s="656"/>
      <c r="AT198" s="656"/>
      <c r="AU198" s="656"/>
      <c r="AV198" s="656"/>
      <c r="AW198" s="656"/>
      <c r="AX198" s="656"/>
      <c r="AY198" s="656"/>
      <c r="AZ198" s="656"/>
      <c r="BA198" s="656"/>
      <c r="BB198" s="656"/>
      <c r="BC198" s="656"/>
      <c r="BD198" s="656"/>
      <c r="BE198" s="656"/>
      <c r="BF198" s="656"/>
      <c r="BG198" s="656"/>
      <c r="BH198" s="656"/>
      <c r="BI198" s="656"/>
      <c r="BJ198" s="656"/>
      <c r="BK198" s="656"/>
      <c r="BL198" s="656"/>
      <c r="BM198" s="656"/>
      <c r="BN198" s="656"/>
      <c r="BO198" s="656"/>
      <c r="BP198" s="656"/>
      <c r="BQ198" s="656"/>
      <c r="BR198" s="656"/>
      <c r="BS198" s="656"/>
      <c r="BT198" s="656"/>
      <c r="BU198" s="656"/>
      <c r="BV198" s="656"/>
      <c r="BW198" s="656"/>
      <c r="BX198" s="656"/>
      <c r="BY198" s="656"/>
      <c r="BZ198" s="656"/>
      <c r="CA198" s="656"/>
      <c r="CB198" s="656"/>
      <c r="CC198" s="656"/>
      <c r="CD198" s="656"/>
      <c r="CE198" s="656"/>
      <c r="CF198" s="656"/>
      <c r="CG198" s="656"/>
      <c r="CH198" s="656"/>
      <c r="CI198" s="656"/>
      <c r="CJ198" s="656"/>
      <c r="CK198" s="656"/>
      <c r="CL198" s="656"/>
      <c r="CM198" s="656"/>
      <c r="CN198" s="656"/>
      <c r="CO198" s="656"/>
      <c r="CP198" s="656"/>
      <c r="CQ198" s="656"/>
      <c r="CR198" s="656"/>
      <c r="CS198" s="656">
        <v>0</v>
      </c>
      <c r="CT198" s="656">
        <v>0</v>
      </c>
      <c r="CU198" s="656">
        <v>0</v>
      </c>
      <c r="CV198" s="656">
        <v>0</v>
      </c>
      <c r="CW198" s="656">
        <v>0</v>
      </c>
      <c r="CX198" s="656">
        <v>0</v>
      </c>
      <c r="CZ198" s="656" t="e">
        <v>#NAME?</v>
      </c>
      <c r="DB198" s="156" t="s">
        <v>326</v>
      </c>
      <c r="DG198" s="156">
        <v>453.09</v>
      </c>
    </row>
    <row r="199" spans="1:111" ht="12.75">
      <c r="A199" s="165" t="s">
        <v>325</v>
      </c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6"/>
      <c r="P199" s="656"/>
      <c r="Q199" s="656"/>
      <c r="R199" s="656"/>
      <c r="S199" s="656"/>
      <c r="T199" s="656"/>
      <c r="U199" s="656">
        <v>4521.1893</v>
      </c>
      <c r="V199" s="656">
        <v>1936.6361794100001</v>
      </c>
      <c r="W199" s="656">
        <v>576.70942702000002</v>
      </c>
      <c r="X199" s="656">
        <v>842.78728436999995</v>
      </c>
      <c r="Y199" s="656">
        <v>1829.3410397299999</v>
      </c>
      <c r="Z199" s="656">
        <v>3670.45675661</v>
      </c>
      <c r="AA199" s="656">
        <v>9337.8017472800002</v>
      </c>
      <c r="AB199" s="656">
        <v>14367.952896049999</v>
      </c>
      <c r="AC199" s="656"/>
      <c r="AD199" s="158"/>
      <c r="AE199" s="158"/>
      <c r="AF199" s="656"/>
      <c r="AG199" s="656"/>
      <c r="AH199" s="656"/>
      <c r="AI199" s="656"/>
      <c r="AJ199" s="656"/>
      <c r="AK199" s="656"/>
      <c r="AL199" s="656"/>
      <c r="AM199" s="656"/>
      <c r="AN199" s="656"/>
      <c r="AO199" s="656"/>
      <c r="AP199" s="656"/>
      <c r="AQ199" s="656"/>
      <c r="AR199" s="656"/>
      <c r="AS199" s="656"/>
      <c r="AT199" s="656"/>
      <c r="AU199" s="656"/>
      <c r="AV199" s="656"/>
      <c r="AW199" s="656"/>
      <c r="AX199" s="656"/>
      <c r="AY199" s="656"/>
      <c r="AZ199" s="656"/>
      <c r="BA199" s="656"/>
      <c r="BB199" s="656"/>
      <c r="BC199" s="656"/>
      <c r="BD199" s="656"/>
      <c r="BE199" s="656"/>
      <c r="BF199" s="656"/>
      <c r="BG199" s="656"/>
      <c r="BH199" s="656"/>
      <c r="BI199" s="656"/>
      <c r="BJ199" s="656"/>
      <c r="BK199" s="656"/>
      <c r="BL199" s="656"/>
      <c r="BM199" s="656"/>
      <c r="BN199" s="656"/>
      <c r="BO199" s="656"/>
      <c r="BP199" s="656"/>
      <c r="BQ199" s="656"/>
      <c r="BR199" s="656"/>
      <c r="BS199" s="656"/>
      <c r="BT199" s="656"/>
      <c r="BU199" s="656"/>
      <c r="BV199" s="656"/>
      <c r="BW199" s="656"/>
      <c r="BX199" s="656"/>
      <c r="BY199" s="656"/>
      <c r="BZ199" s="656"/>
      <c r="CA199" s="656"/>
      <c r="CB199" s="656">
        <v>51.383666599999998</v>
      </c>
      <c r="CC199" s="656">
        <v>273.9572</v>
      </c>
      <c r="CD199" s="656">
        <v>306.72214627999995</v>
      </c>
      <c r="CE199" s="656">
        <v>842.78728436999995</v>
      </c>
      <c r="CF199" s="656">
        <v>605.82195766999996</v>
      </c>
      <c r="CG199" s="656">
        <v>1136.1283533599999</v>
      </c>
      <c r="CH199" s="656">
        <v>1532.1121674400001</v>
      </c>
      <c r="CI199" s="656">
        <v>1829.3410397299999</v>
      </c>
      <c r="CJ199" s="656">
        <v>408.56410139999997</v>
      </c>
      <c r="CK199" s="656">
        <v>1545.6557851600001</v>
      </c>
      <c r="CL199" s="656">
        <v>3954.3016078299997</v>
      </c>
      <c r="CM199" s="656">
        <v>3670.45675661</v>
      </c>
      <c r="CN199" s="656">
        <v>2549.6701496199998</v>
      </c>
      <c r="CO199" s="656">
        <v>5732.2095813900005</v>
      </c>
      <c r="CP199" s="656">
        <v>7418.3197961300002</v>
      </c>
      <c r="CQ199" s="656">
        <v>9337.8017472800002</v>
      </c>
      <c r="CR199" s="656">
        <v>460.63734747000001</v>
      </c>
      <c r="CS199" s="656">
        <v>5605.7473239499996</v>
      </c>
      <c r="CT199" s="656">
        <v>8968.5615342199999</v>
      </c>
      <c r="CU199" s="656">
        <v>14367.952896049999</v>
      </c>
      <c r="CV199" s="656">
        <v>5668.0494466499995</v>
      </c>
      <c r="CW199" s="656">
        <v>10769.41110435</v>
      </c>
      <c r="CX199" s="656">
        <v>17693.237583459999</v>
      </c>
      <c r="CZ199" s="656" t="e">
        <v>#NAME?</v>
      </c>
      <c r="DB199" s="156" t="s">
        <v>325</v>
      </c>
      <c r="DG199" s="156">
        <v>2875.07</v>
      </c>
    </row>
    <row r="200" spans="1:111" ht="12.75">
      <c r="A200" s="165" t="s">
        <v>324</v>
      </c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6"/>
      <c r="P200" s="656"/>
      <c r="Q200" s="656"/>
      <c r="R200" s="656"/>
      <c r="S200" s="656"/>
      <c r="T200" s="656"/>
      <c r="U200" s="656">
        <v>335.43150000000003</v>
      </c>
      <c r="V200" s="656">
        <v>391.88838167</v>
      </c>
      <c r="W200" s="656">
        <v>508.26795851999998</v>
      </c>
      <c r="X200" s="656">
        <v>645.36882228000002</v>
      </c>
      <c r="Y200" s="656">
        <v>609.48399145000008</v>
      </c>
      <c r="Z200" s="656">
        <v>792.69247187999997</v>
      </c>
      <c r="AA200" s="656">
        <v>917.72362809000003</v>
      </c>
      <c r="AB200" s="656">
        <v>1687.4807100099999</v>
      </c>
      <c r="AC200" s="656"/>
      <c r="AD200" s="158"/>
      <c r="AE200" s="158"/>
      <c r="AF200" s="656"/>
      <c r="AG200" s="656"/>
      <c r="AH200" s="656"/>
      <c r="AI200" s="656"/>
      <c r="AJ200" s="656"/>
      <c r="AK200" s="656"/>
      <c r="AL200" s="656"/>
      <c r="AM200" s="656"/>
      <c r="AN200" s="656"/>
      <c r="AO200" s="656"/>
      <c r="AP200" s="656"/>
      <c r="AQ200" s="656"/>
      <c r="AR200" s="656"/>
      <c r="AS200" s="656"/>
      <c r="AT200" s="656"/>
      <c r="AU200" s="656"/>
      <c r="AV200" s="656"/>
      <c r="AW200" s="656"/>
      <c r="AX200" s="656"/>
      <c r="AY200" s="656"/>
      <c r="AZ200" s="656"/>
      <c r="BA200" s="656"/>
      <c r="BB200" s="656"/>
      <c r="BC200" s="656"/>
      <c r="BD200" s="656"/>
      <c r="BE200" s="656"/>
      <c r="BF200" s="656"/>
      <c r="BG200" s="656"/>
      <c r="BH200" s="656"/>
      <c r="BI200" s="656"/>
      <c r="BJ200" s="656"/>
      <c r="BK200" s="656"/>
      <c r="BL200" s="656"/>
      <c r="BM200" s="656"/>
      <c r="BN200" s="656"/>
      <c r="BO200" s="656"/>
      <c r="BP200" s="656"/>
      <c r="BQ200" s="656"/>
      <c r="BR200" s="656"/>
      <c r="BS200" s="656"/>
      <c r="BT200" s="656"/>
      <c r="BU200" s="656"/>
      <c r="BV200" s="656"/>
      <c r="BW200" s="656"/>
      <c r="BX200" s="656"/>
      <c r="BY200" s="656"/>
      <c r="BZ200" s="656"/>
      <c r="CA200" s="656"/>
      <c r="CB200" s="656">
        <v>295.39891418000002</v>
      </c>
      <c r="CC200" s="656">
        <v>354.69619999999998</v>
      </c>
      <c r="CD200" s="656">
        <v>459.80795516000001</v>
      </c>
      <c r="CE200" s="656">
        <v>645.36882228000002</v>
      </c>
      <c r="CF200" s="656">
        <v>104.0117456</v>
      </c>
      <c r="CG200" s="656">
        <v>161.47529893999999</v>
      </c>
      <c r="CH200" s="656">
        <v>303.68101630000001</v>
      </c>
      <c r="CI200" s="656">
        <v>609.48399145000008</v>
      </c>
      <c r="CJ200" s="656">
        <v>200.5013778</v>
      </c>
      <c r="CK200" s="656">
        <v>319.27072605000001</v>
      </c>
      <c r="CL200" s="656">
        <v>602.54244848000008</v>
      </c>
      <c r="CM200" s="656">
        <v>792.69247187999997</v>
      </c>
      <c r="CN200" s="656">
        <v>210.41831068000002</v>
      </c>
      <c r="CO200" s="656">
        <v>392.06190654</v>
      </c>
      <c r="CP200" s="656">
        <v>614.91292463000002</v>
      </c>
      <c r="CQ200" s="656">
        <v>917.72362809000003</v>
      </c>
      <c r="CR200" s="656">
        <v>253.12006146000002</v>
      </c>
      <c r="CS200" s="656">
        <v>499.29824238999998</v>
      </c>
      <c r="CT200" s="656">
        <v>1006.02310576</v>
      </c>
      <c r="CU200" s="656">
        <v>1687.4807100099999</v>
      </c>
      <c r="CV200" s="656">
        <v>632.13854128000003</v>
      </c>
      <c r="CW200" s="656">
        <v>1012.0374227799999</v>
      </c>
      <c r="CX200" s="656">
        <v>1706.8484313699998</v>
      </c>
      <c r="CZ200" s="656" t="e">
        <v>#NAME?</v>
      </c>
      <c r="DB200" s="156" t="s">
        <v>324</v>
      </c>
      <c r="DG200" s="156">
        <v>3328.16</v>
      </c>
    </row>
    <row r="201" spans="1:111" ht="12.75">
      <c r="A201" s="165" t="s">
        <v>323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>
        <v>4723.6692000000003</v>
      </c>
      <c r="V201" s="656">
        <v>1531.64</v>
      </c>
      <c r="W201" s="656">
        <v>599.5</v>
      </c>
      <c r="X201" s="656">
        <v>970</v>
      </c>
      <c r="Y201" s="656">
        <v>4777</v>
      </c>
      <c r="Z201" s="656">
        <v>6206.5606804999998</v>
      </c>
      <c r="AA201" s="656">
        <v>9172.62810618</v>
      </c>
      <c r="AB201" s="656">
        <v>19555.962604959997</v>
      </c>
      <c r="AC201" s="656"/>
      <c r="AD201" s="158"/>
      <c r="AE201" s="158"/>
      <c r="AF201" s="656"/>
      <c r="AG201" s="656"/>
      <c r="AH201" s="656"/>
      <c r="AI201" s="656"/>
      <c r="AJ201" s="656"/>
      <c r="AK201" s="656"/>
      <c r="AL201" s="656"/>
      <c r="AM201" s="656"/>
      <c r="AN201" s="656"/>
      <c r="AO201" s="656"/>
      <c r="AP201" s="656"/>
      <c r="AQ201" s="656"/>
      <c r="AR201" s="656"/>
      <c r="AS201" s="656"/>
      <c r="AT201" s="656"/>
      <c r="AU201" s="656"/>
      <c r="AV201" s="656"/>
      <c r="AW201" s="656"/>
      <c r="AX201" s="656"/>
      <c r="AY201" s="656"/>
      <c r="AZ201" s="656"/>
      <c r="BA201" s="656"/>
      <c r="BB201" s="656"/>
      <c r="BC201" s="656"/>
      <c r="BD201" s="656"/>
      <c r="BE201" s="656"/>
      <c r="BF201" s="656"/>
      <c r="BG201" s="656"/>
      <c r="BH201" s="656"/>
      <c r="BI201" s="656"/>
      <c r="BJ201" s="656"/>
      <c r="BK201" s="656"/>
      <c r="BL201" s="656"/>
      <c r="BM201" s="656"/>
      <c r="BN201" s="656"/>
      <c r="BO201" s="656"/>
      <c r="BP201" s="656"/>
      <c r="BQ201" s="656"/>
      <c r="BR201" s="656"/>
      <c r="BS201" s="656"/>
      <c r="BT201" s="656"/>
      <c r="BU201" s="656"/>
      <c r="BV201" s="656"/>
      <c r="BW201" s="656"/>
      <c r="BX201" s="656"/>
      <c r="BY201" s="656"/>
      <c r="BZ201" s="656"/>
      <c r="CA201" s="656"/>
      <c r="CB201" s="656">
        <v>50</v>
      </c>
      <c r="CC201" s="656">
        <v>300</v>
      </c>
      <c r="CD201" s="656">
        <v>550</v>
      </c>
      <c r="CE201" s="656">
        <v>970</v>
      </c>
      <c r="CF201" s="656">
        <v>1030</v>
      </c>
      <c r="CG201" s="656">
        <v>2475</v>
      </c>
      <c r="CH201" s="656">
        <v>3427</v>
      </c>
      <c r="CI201" s="656">
        <v>4777</v>
      </c>
      <c r="CJ201" s="656">
        <v>500</v>
      </c>
      <c r="CK201" s="656">
        <v>2714</v>
      </c>
      <c r="CL201" s="656">
        <v>6014</v>
      </c>
      <c r="CM201" s="656">
        <v>6206.5606804999998</v>
      </c>
      <c r="CN201" s="656">
        <v>3424.33541741</v>
      </c>
      <c r="CO201" s="656">
        <v>5942.9579956600001</v>
      </c>
      <c r="CP201" s="656">
        <v>6662.1914835600001</v>
      </c>
      <c r="CQ201" s="656">
        <v>9172.62810618</v>
      </c>
      <c r="CR201" s="656">
        <v>397.67619594999996</v>
      </c>
      <c r="CS201" s="656">
        <v>7693.9645980200003</v>
      </c>
      <c r="CT201" s="656">
        <v>13006.037962569999</v>
      </c>
      <c r="CU201" s="656">
        <v>19555.962604959997</v>
      </c>
      <c r="CV201" s="656">
        <v>5175.5443218</v>
      </c>
      <c r="CW201" s="656">
        <v>10627.177507</v>
      </c>
      <c r="CX201" s="656">
        <v>17587.143865540002</v>
      </c>
      <c r="CZ201" s="656" t="e">
        <v>#NAME?</v>
      </c>
      <c r="DB201" s="156" t="s">
        <v>323</v>
      </c>
    </row>
    <row r="202" spans="1:111" ht="12.75">
      <c r="A202" s="165" t="s">
        <v>322</v>
      </c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6"/>
      <c r="P202" s="656"/>
      <c r="Q202" s="656"/>
      <c r="R202" s="656"/>
      <c r="S202" s="656"/>
      <c r="T202" s="656"/>
      <c r="U202" s="656"/>
      <c r="V202" s="656"/>
      <c r="W202" s="656"/>
      <c r="X202" s="656"/>
      <c r="Y202" s="656">
        <v>0</v>
      </c>
      <c r="Z202" s="656"/>
      <c r="AA202" s="656">
        <v>5.4295691799999997</v>
      </c>
      <c r="AB202" s="656">
        <v>0</v>
      </c>
      <c r="AC202" s="656"/>
      <c r="AD202" s="158"/>
      <c r="AE202" s="158"/>
      <c r="AF202" s="656"/>
      <c r="AG202" s="656"/>
      <c r="AH202" s="656"/>
      <c r="AI202" s="656"/>
      <c r="AJ202" s="656"/>
      <c r="AK202" s="656"/>
      <c r="AL202" s="656"/>
      <c r="AM202" s="656"/>
      <c r="AN202" s="656"/>
      <c r="AO202" s="656"/>
      <c r="AP202" s="656"/>
      <c r="AQ202" s="656"/>
      <c r="AR202" s="656"/>
      <c r="AS202" s="656"/>
      <c r="AT202" s="656"/>
      <c r="AU202" s="656"/>
      <c r="AV202" s="656"/>
      <c r="AW202" s="656"/>
      <c r="AX202" s="656"/>
      <c r="AY202" s="656"/>
      <c r="AZ202" s="656"/>
      <c r="BA202" s="656"/>
      <c r="BB202" s="656"/>
      <c r="BC202" s="656"/>
      <c r="BD202" s="656"/>
      <c r="BE202" s="656"/>
      <c r="BF202" s="656"/>
      <c r="BG202" s="656"/>
      <c r="BH202" s="656"/>
      <c r="BI202" s="656"/>
      <c r="BJ202" s="656"/>
      <c r="BK202" s="656"/>
      <c r="BL202" s="656"/>
      <c r="BM202" s="656"/>
      <c r="BN202" s="656"/>
      <c r="BO202" s="656"/>
      <c r="BP202" s="656"/>
      <c r="BQ202" s="656"/>
      <c r="BR202" s="656"/>
      <c r="BS202" s="656"/>
      <c r="BT202" s="656"/>
      <c r="BU202" s="656"/>
      <c r="BV202" s="656"/>
      <c r="BW202" s="656"/>
      <c r="BX202" s="656"/>
      <c r="BY202" s="656"/>
      <c r="BZ202" s="656"/>
      <c r="CA202" s="656"/>
      <c r="CB202" s="656"/>
      <c r="CC202" s="656"/>
      <c r="CD202" s="656"/>
      <c r="CE202" s="656"/>
      <c r="CF202" s="656"/>
      <c r="CG202" s="656"/>
      <c r="CH202" s="656"/>
      <c r="CI202" s="656"/>
      <c r="CJ202" s="656"/>
      <c r="CK202" s="656"/>
      <c r="CL202" s="656"/>
      <c r="CM202" s="656"/>
      <c r="CN202" s="656"/>
      <c r="CO202" s="656"/>
      <c r="CP202" s="656"/>
      <c r="CQ202" s="656">
        <v>5.4295691799999997</v>
      </c>
      <c r="CR202" s="656"/>
      <c r="CS202" s="656">
        <v>0</v>
      </c>
      <c r="CT202" s="656">
        <v>0</v>
      </c>
      <c r="CU202" s="656">
        <v>0</v>
      </c>
      <c r="CV202" s="656">
        <v>384.78883263</v>
      </c>
      <c r="CW202" s="656">
        <v>355.96635198000001</v>
      </c>
      <c r="CX202" s="656">
        <v>355.96635198000001</v>
      </c>
      <c r="CZ202" s="656" t="e">
        <v>#NAME?</v>
      </c>
      <c r="DB202" s="156" t="s">
        <v>322</v>
      </c>
      <c r="DG202" s="156">
        <v>3326.43</v>
      </c>
    </row>
    <row r="203" spans="1:111" ht="12.75">
      <c r="A203" s="165" t="s">
        <v>321</v>
      </c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6"/>
      <c r="P203" s="656"/>
      <c r="Q203" s="656"/>
      <c r="R203" s="656"/>
      <c r="S203" s="656"/>
      <c r="T203" s="656"/>
      <c r="U203" s="656">
        <v>3.2517999999999998</v>
      </c>
      <c r="V203" s="656">
        <v>2.3617966099999999</v>
      </c>
      <c r="W203" s="656">
        <v>1.2979836200000001</v>
      </c>
      <c r="X203" s="656">
        <v>6.8812600000000002E-2</v>
      </c>
      <c r="Y203" s="656">
        <v>6.1186700800000002</v>
      </c>
      <c r="Z203" s="656">
        <v>6.9721947100000001</v>
      </c>
      <c r="AA203" s="656">
        <v>0.32716934999999997</v>
      </c>
      <c r="AB203" s="656">
        <v>0</v>
      </c>
      <c r="AC203" s="656"/>
      <c r="AD203" s="158"/>
      <c r="AE203" s="158"/>
      <c r="AF203" s="656"/>
      <c r="AG203" s="656"/>
      <c r="AH203" s="656"/>
      <c r="AI203" s="656"/>
      <c r="AJ203" s="656"/>
      <c r="AK203" s="656"/>
      <c r="AL203" s="656"/>
      <c r="AM203" s="656"/>
      <c r="AN203" s="656"/>
      <c r="AO203" s="656"/>
      <c r="AP203" s="656"/>
      <c r="AQ203" s="656"/>
      <c r="AR203" s="656"/>
      <c r="AS203" s="656"/>
      <c r="AT203" s="656"/>
      <c r="AU203" s="656"/>
      <c r="AV203" s="656"/>
      <c r="AW203" s="656"/>
      <c r="AX203" s="656"/>
      <c r="AY203" s="656"/>
      <c r="AZ203" s="656"/>
      <c r="BA203" s="656"/>
      <c r="BB203" s="656"/>
      <c r="BC203" s="656"/>
      <c r="BD203" s="656"/>
      <c r="BE203" s="656"/>
      <c r="BF203" s="656"/>
      <c r="BG203" s="656"/>
      <c r="BH203" s="656"/>
      <c r="BI203" s="656"/>
      <c r="BJ203" s="656"/>
      <c r="BK203" s="656"/>
      <c r="BL203" s="656"/>
      <c r="BM203" s="656"/>
      <c r="BN203" s="656"/>
      <c r="BO203" s="656"/>
      <c r="BP203" s="656"/>
      <c r="BQ203" s="656"/>
      <c r="BR203" s="656"/>
      <c r="BS203" s="656"/>
      <c r="BT203" s="656"/>
      <c r="BU203" s="656"/>
      <c r="BV203" s="656"/>
      <c r="BW203" s="656"/>
      <c r="BX203" s="656"/>
      <c r="BY203" s="656"/>
      <c r="BZ203" s="656"/>
      <c r="CA203" s="656"/>
      <c r="CB203" s="656">
        <v>1.488189E-2</v>
      </c>
      <c r="CC203" s="656">
        <v>3.1600000000000003E-2</v>
      </c>
      <c r="CD203" s="656">
        <v>5.0457330000000002E-2</v>
      </c>
      <c r="CE203" s="656">
        <v>6.8812600000000002E-2</v>
      </c>
      <c r="CF203" s="656">
        <v>3.17008E-3</v>
      </c>
      <c r="CG203" s="656">
        <v>1.11867008</v>
      </c>
      <c r="CH203" s="656">
        <v>6.1186700800000002</v>
      </c>
      <c r="CI203" s="656">
        <v>6.1186700800000002</v>
      </c>
      <c r="CJ203" s="656"/>
      <c r="CK203" s="656"/>
      <c r="CL203" s="656"/>
      <c r="CM203" s="656">
        <v>6.9721947100000001</v>
      </c>
      <c r="CN203" s="656">
        <v>15.4947</v>
      </c>
      <c r="CO203" s="656">
        <v>31.031320000000001</v>
      </c>
      <c r="CP203" s="656">
        <v>31.073239999999998</v>
      </c>
      <c r="CQ203" s="656">
        <v>0.32716934999999997</v>
      </c>
      <c r="CR203" s="656"/>
      <c r="CS203" s="656">
        <v>0</v>
      </c>
      <c r="CT203" s="656">
        <v>0</v>
      </c>
      <c r="CU203" s="656">
        <v>0</v>
      </c>
      <c r="CV203" s="656">
        <v>0</v>
      </c>
      <c r="CW203" s="656">
        <v>0</v>
      </c>
      <c r="CX203" s="656">
        <v>3.0011334600000001</v>
      </c>
      <c r="CZ203" s="656" t="e">
        <v>#NAME?</v>
      </c>
      <c r="DB203" s="156" t="s">
        <v>321</v>
      </c>
      <c r="DG203" s="156" t="e">
        <v>#VALUE!</v>
      </c>
    </row>
    <row r="204" spans="1:111" ht="12.75">
      <c r="A204" s="165" t="s">
        <v>320</v>
      </c>
      <c r="B204" s="656"/>
      <c r="C204" s="656"/>
      <c r="D204" s="656"/>
      <c r="E204" s="656"/>
      <c r="F204" s="656"/>
      <c r="G204" s="656"/>
      <c r="H204" s="656"/>
      <c r="I204" s="656"/>
      <c r="J204" s="656"/>
      <c r="K204" s="656"/>
      <c r="L204" s="656"/>
      <c r="M204" s="656"/>
      <c r="N204" s="656"/>
      <c r="O204" s="656"/>
      <c r="P204" s="656"/>
      <c r="Q204" s="656"/>
      <c r="R204" s="656"/>
      <c r="S204" s="656"/>
      <c r="T204" s="656"/>
      <c r="U204" s="656"/>
      <c r="V204" s="656"/>
      <c r="W204" s="656"/>
      <c r="X204" s="656"/>
      <c r="Y204" s="656">
        <v>0</v>
      </c>
      <c r="Z204" s="656"/>
      <c r="AA204" s="656"/>
      <c r="AB204" s="656">
        <v>0</v>
      </c>
      <c r="AC204" s="656"/>
      <c r="AD204" s="158"/>
      <c r="AE204" s="158"/>
      <c r="AF204" s="656"/>
      <c r="AG204" s="656"/>
      <c r="AH204" s="656"/>
      <c r="AI204" s="656"/>
      <c r="AJ204" s="656"/>
      <c r="AK204" s="656"/>
      <c r="AL204" s="656"/>
      <c r="AM204" s="656"/>
      <c r="AN204" s="656"/>
      <c r="AO204" s="656"/>
      <c r="AP204" s="656"/>
      <c r="AQ204" s="656"/>
      <c r="AR204" s="656"/>
      <c r="AS204" s="656"/>
      <c r="AT204" s="656"/>
      <c r="AU204" s="656"/>
      <c r="AV204" s="656"/>
      <c r="AW204" s="656"/>
      <c r="AX204" s="656"/>
      <c r="AY204" s="656"/>
      <c r="AZ204" s="656"/>
      <c r="BA204" s="656"/>
      <c r="BB204" s="656"/>
      <c r="BC204" s="656"/>
      <c r="BD204" s="656"/>
      <c r="BE204" s="656"/>
      <c r="BF204" s="656"/>
      <c r="BG204" s="656"/>
      <c r="BH204" s="656"/>
      <c r="BI204" s="656"/>
      <c r="BJ204" s="656"/>
      <c r="BK204" s="656"/>
      <c r="BL204" s="656"/>
      <c r="BM204" s="656"/>
      <c r="BN204" s="656"/>
      <c r="BO204" s="656"/>
      <c r="BP204" s="656"/>
      <c r="BQ204" s="656"/>
      <c r="BR204" s="656"/>
      <c r="BS204" s="656"/>
      <c r="BT204" s="656"/>
      <c r="BU204" s="656"/>
      <c r="BV204" s="656"/>
      <c r="BW204" s="656"/>
      <c r="BX204" s="656"/>
      <c r="BY204" s="656"/>
      <c r="BZ204" s="656"/>
      <c r="CA204" s="656"/>
      <c r="CB204" s="656"/>
      <c r="CC204" s="656"/>
      <c r="CD204" s="656"/>
      <c r="CE204" s="656"/>
      <c r="CF204" s="656"/>
      <c r="CG204" s="656"/>
      <c r="CH204" s="656"/>
      <c r="CI204" s="656">
        <v>0</v>
      </c>
      <c r="CJ204" s="656"/>
      <c r="CK204" s="656"/>
      <c r="CL204" s="656"/>
      <c r="CM204" s="656"/>
      <c r="CN204" s="656"/>
      <c r="CO204" s="656"/>
      <c r="CP204" s="656"/>
      <c r="CQ204" s="656"/>
      <c r="CR204" s="656"/>
      <c r="CS204" s="656">
        <v>0</v>
      </c>
      <c r="CT204" s="656">
        <v>0</v>
      </c>
      <c r="CU204" s="656">
        <v>0</v>
      </c>
      <c r="CV204" s="656">
        <v>0</v>
      </c>
      <c r="CW204" s="656">
        <v>0</v>
      </c>
      <c r="CX204" s="656">
        <v>0</v>
      </c>
      <c r="CZ204" s="656" t="e">
        <v>#NAME?</v>
      </c>
      <c r="DB204" s="156" t="s">
        <v>320</v>
      </c>
      <c r="DG204" s="156">
        <v>325.93</v>
      </c>
    </row>
    <row r="205" spans="1:111" ht="12.75">
      <c r="A205" s="165" t="s">
        <v>319</v>
      </c>
      <c r="B205" s="656"/>
      <c r="C205" s="656"/>
      <c r="D205" s="656"/>
      <c r="E205" s="656"/>
      <c r="F205" s="656"/>
      <c r="G205" s="656"/>
      <c r="H205" s="656"/>
      <c r="I205" s="656"/>
      <c r="J205" s="656"/>
      <c r="K205" s="656"/>
      <c r="L205" s="656"/>
      <c r="M205" s="656"/>
      <c r="N205" s="656"/>
      <c r="O205" s="656"/>
      <c r="P205" s="656"/>
      <c r="Q205" s="656"/>
      <c r="R205" s="656"/>
      <c r="S205" s="656"/>
      <c r="T205" s="656"/>
      <c r="U205" s="656"/>
      <c r="V205" s="656"/>
      <c r="W205" s="656"/>
      <c r="X205" s="656"/>
      <c r="Y205" s="656">
        <v>0</v>
      </c>
      <c r="Z205" s="656"/>
      <c r="AA205" s="656"/>
      <c r="AB205" s="656">
        <v>0</v>
      </c>
      <c r="AC205" s="656"/>
      <c r="AD205" s="158"/>
      <c r="AE205" s="158"/>
      <c r="AF205" s="656"/>
      <c r="AG205" s="656"/>
      <c r="AH205" s="656"/>
      <c r="AI205" s="656"/>
      <c r="AJ205" s="656"/>
      <c r="AK205" s="656"/>
      <c r="AL205" s="656"/>
      <c r="AM205" s="656"/>
      <c r="AN205" s="656"/>
      <c r="AO205" s="656"/>
      <c r="AP205" s="656"/>
      <c r="AQ205" s="656"/>
      <c r="AR205" s="656"/>
      <c r="AS205" s="656"/>
      <c r="AT205" s="656"/>
      <c r="AU205" s="656"/>
      <c r="AV205" s="656"/>
      <c r="AW205" s="656"/>
      <c r="AX205" s="656"/>
      <c r="AY205" s="656"/>
      <c r="AZ205" s="656"/>
      <c r="BA205" s="656"/>
      <c r="BB205" s="656"/>
      <c r="BC205" s="656"/>
      <c r="BD205" s="656"/>
      <c r="BE205" s="656"/>
      <c r="BF205" s="656"/>
      <c r="BG205" s="656"/>
      <c r="BH205" s="656"/>
      <c r="BI205" s="656"/>
      <c r="BJ205" s="656"/>
      <c r="BK205" s="656"/>
      <c r="BL205" s="656"/>
      <c r="BM205" s="656"/>
      <c r="BN205" s="656"/>
      <c r="BO205" s="656"/>
      <c r="BP205" s="656"/>
      <c r="BQ205" s="656"/>
      <c r="BR205" s="656"/>
      <c r="BS205" s="656"/>
      <c r="BT205" s="656"/>
      <c r="BU205" s="656"/>
      <c r="BV205" s="656"/>
      <c r="BW205" s="656"/>
      <c r="BX205" s="656"/>
      <c r="BY205" s="656"/>
      <c r="BZ205" s="656"/>
      <c r="CA205" s="656"/>
      <c r="CB205" s="656"/>
      <c r="CC205" s="656">
        <v>-1E-4</v>
      </c>
      <c r="CD205" s="656"/>
      <c r="CE205" s="656"/>
      <c r="CF205" s="656"/>
      <c r="CG205" s="656"/>
      <c r="CH205" s="656"/>
      <c r="CI205" s="656">
        <v>0</v>
      </c>
      <c r="CJ205" s="656"/>
      <c r="CK205" s="656"/>
      <c r="CL205" s="656"/>
      <c r="CM205" s="656"/>
      <c r="CN205" s="656"/>
      <c r="CO205" s="656"/>
      <c r="CP205" s="656"/>
      <c r="CQ205" s="656"/>
      <c r="CR205" s="656"/>
      <c r="CS205" s="656">
        <v>0</v>
      </c>
      <c r="CT205" s="656">
        <v>0</v>
      </c>
      <c r="CU205" s="656">
        <v>0</v>
      </c>
      <c r="CV205" s="656">
        <v>0</v>
      </c>
      <c r="CW205" s="656">
        <v>0</v>
      </c>
      <c r="CX205" s="656">
        <v>0</v>
      </c>
      <c r="CZ205" s="656" t="e">
        <v>#NAME?</v>
      </c>
      <c r="DB205" s="156" t="s">
        <v>319</v>
      </c>
      <c r="DG205" s="156">
        <v>10.63</v>
      </c>
    </row>
    <row r="206" spans="1:111" ht="12.75">
      <c r="A206" s="165" t="s">
        <v>318</v>
      </c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6"/>
      <c r="P206" s="656"/>
      <c r="Q206" s="656"/>
      <c r="R206" s="656"/>
      <c r="S206" s="656"/>
      <c r="T206" s="656"/>
      <c r="U206" s="656">
        <v>5062.3525</v>
      </c>
      <c r="V206" s="656">
        <v>1925.8901782799999</v>
      </c>
      <c r="W206" s="656">
        <v>1109.0659421400001</v>
      </c>
      <c r="X206" s="656">
        <v>1615.4376348800001</v>
      </c>
      <c r="Y206" s="656">
        <v>5392.6026615299998</v>
      </c>
      <c r="Z206" s="656">
        <v>7006.2253470900005</v>
      </c>
      <c r="AA206" s="656">
        <v>10096.108472799999</v>
      </c>
      <c r="AB206" s="656">
        <v>21243.443314970002</v>
      </c>
      <c r="AC206" s="656"/>
      <c r="AD206" s="158"/>
      <c r="AE206" s="158"/>
      <c r="AF206" s="656"/>
      <c r="AG206" s="656"/>
      <c r="AH206" s="656"/>
      <c r="AI206" s="656"/>
      <c r="AJ206" s="656"/>
      <c r="AK206" s="656"/>
      <c r="AL206" s="656"/>
      <c r="AM206" s="656"/>
      <c r="AN206" s="656"/>
      <c r="AO206" s="656"/>
      <c r="AP206" s="656"/>
      <c r="AQ206" s="656"/>
      <c r="AR206" s="656"/>
      <c r="AS206" s="656"/>
      <c r="AT206" s="656"/>
      <c r="AU206" s="656"/>
      <c r="AV206" s="656"/>
      <c r="AW206" s="656"/>
      <c r="AX206" s="656"/>
      <c r="AY206" s="656"/>
      <c r="AZ206" s="656"/>
      <c r="BA206" s="656"/>
      <c r="BB206" s="656"/>
      <c r="BC206" s="656"/>
      <c r="BD206" s="656"/>
      <c r="BE206" s="656"/>
      <c r="BF206" s="656"/>
      <c r="BG206" s="656"/>
      <c r="BH206" s="656"/>
      <c r="BI206" s="656"/>
      <c r="BJ206" s="656"/>
      <c r="BK206" s="656"/>
      <c r="BL206" s="656"/>
      <c r="BM206" s="656"/>
      <c r="BN206" s="656"/>
      <c r="BO206" s="656"/>
      <c r="BP206" s="656"/>
      <c r="BQ206" s="656"/>
      <c r="BR206" s="656"/>
      <c r="BS206" s="656"/>
      <c r="BT206" s="656"/>
      <c r="BU206" s="656"/>
      <c r="BV206" s="656"/>
      <c r="BW206" s="656"/>
      <c r="BX206" s="656"/>
      <c r="BY206" s="656"/>
      <c r="BZ206" s="656"/>
      <c r="CA206" s="656"/>
      <c r="CB206" s="656">
        <v>345.41379606999999</v>
      </c>
      <c r="CC206" s="656">
        <v>654.72770000000003</v>
      </c>
      <c r="CD206" s="656">
        <v>1009.85841249</v>
      </c>
      <c r="CE206" s="656">
        <v>1615.4376348800001</v>
      </c>
      <c r="CF206" s="656">
        <v>1134.0149156800001</v>
      </c>
      <c r="CG206" s="656">
        <v>2637.5939690199998</v>
      </c>
      <c r="CH206" s="656">
        <v>3736.7996863799999</v>
      </c>
      <c r="CI206" s="656">
        <v>5392.6026615299998</v>
      </c>
      <c r="CJ206" s="656">
        <v>700.5013778</v>
      </c>
      <c r="CK206" s="656">
        <v>3033.2707260500001</v>
      </c>
      <c r="CL206" s="656">
        <v>6616.5424484799996</v>
      </c>
      <c r="CM206" s="656">
        <v>7006.2253470900005</v>
      </c>
      <c r="CN206" s="656">
        <v>3650.2484280900003</v>
      </c>
      <c r="CO206" s="656">
        <v>6366.0512221999998</v>
      </c>
      <c r="CP206" s="656">
        <v>7308.1776481899997</v>
      </c>
      <c r="CQ206" s="656">
        <v>10096.108472799999</v>
      </c>
      <c r="CR206" s="656">
        <v>650.79625740999995</v>
      </c>
      <c r="CS206" s="656">
        <v>8193.2628404099996</v>
      </c>
      <c r="CT206" s="656">
        <v>14012.06106833</v>
      </c>
      <c r="CU206" s="656">
        <v>21243.443314970002</v>
      </c>
      <c r="CV206" s="656">
        <v>6192.4716957099999</v>
      </c>
      <c r="CW206" s="656">
        <v>11995.18128176</v>
      </c>
      <c r="CX206" s="656">
        <v>19652.959782349997</v>
      </c>
      <c r="CZ206" s="656" t="e">
        <v>#NAME?</v>
      </c>
      <c r="DB206" s="156" t="s">
        <v>318</v>
      </c>
      <c r="DG206" s="156">
        <v>6.49</v>
      </c>
    </row>
    <row r="207" spans="1:111" ht="12.75">
      <c r="A207" s="165" t="s">
        <v>317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>
        <v>-1E-4</v>
      </c>
      <c r="V207" s="656"/>
      <c r="W207" s="656"/>
      <c r="X207" s="656"/>
      <c r="Y207" s="656">
        <v>0</v>
      </c>
      <c r="Z207" s="656"/>
      <c r="AA207" s="656"/>
      <c r="AB207" s="656">
        <v>0</v>
      </c>
      <c r="AC207" s="656"/>
      <c r="AD207" s="158"/>
      <c r="AE207" s="158"/>
      <c r="AF207" s="656"/>
      <c r="AG207" s="656"/>
      <c r="AH207" s="656"/>
      <c r="AI207" s="656"/>
      <c r="AJ207" s="656"/>
      <c r="AK207" s="656"/>
      <c r="AL207" s="656"/>
      <c r="AM207" s="656"/>
      <c r="AN207" s="656"/>
      <c r="AO207" s="656"/>
      <c r="AP207" s="656"/>
      <c r="AQ207" s="656"/>
      <c r="AR207" s="656"/>
      <c r="AS207" s="656"/>
      <c r="AT207" s="656"/>
      <c r="AU207" s="656"/>
      <c r="AV207" s="656"/>
      <c r="AW207" s="656"/>
      <c r="AX207" s="656"/>
      <c r="AY207" s="656"/>
      <c r="AZ207" s="656"/>
      <c r="BA207" s="656"/>
      <c r="BB207" s="656"/>
      <c r="BC207" s="656"/>
      <c r="BD207" s="656"/>
      <c r="BE207" s="656"/>
      <c r="BF207" s="656"/>
      <c r="BG207" s="656"/>
      <c r="BH207" s="656"/>
      <c r="BI207" s="656"/>
      <c r="BJ207" s="656"/>
      <c r="BK207" s="656"/>
      <c r="BL207" s="656"/>
      <c r="BM207" s="656"/>
      <c r="BN207" s="656"/>
      <c r="BO207" s="656"/>
      <c r="BP207" s="656"/>
      <c r="BQ207" s="656"/>
      <c r="BR207" s="656"/>
      <c r="BS207" s="656"/>
      <c r="BT207" s="656"/>
      <c r="BU207" s="656"/>
      <c r="BV207" s="656"/>
      <c r="BW207" s="656"/>
      <c r="BX207" s="656"/>
      <c r="BY207" s="656"/>
      <c r="BZ207" s="656"/>
      <c r="CA207" s="656"/>
      <c r="CB207" s="656"/>
      <c r="CC207" s="656"/>
      <c r="CD207" s="656"/>
      <c r="CE207" s="656"/>
      <c r="CF207" s="656"/>
      <c r="CG207" s="656"/>
      <c r="CH207" s="656"/>
      <c r="CI207" s="656"/>
      <c r="CJ207" s="656"/>
      <c r="CK207" s="656"/>
      <c r="CL207" s="656"/>
      <c r="CM207" s="656"/>
      <c r="CN207" s="656"/>
      <c r="CO207" s="656"/>
      <c r="CP207" s="656"/>
      <c r="CQ207" s="656"/>
      <c r="CR207" s="656"/>
      <c r="CS207" s="656">
        <v>0</v>
      </c>
      <c r="CT207" s="656">
        <v>0</v>
      </c>
      <c r="CU207" s="656">
        <v>0</v>
      </c>
      <c r="CV207" s="656">
        <v>0</v>
      </c>
      <c r="CW207" s="656">
        <v>0</v>
      </c>
      <c r="CX207" s="656">
        <v>0</v>
      </c>
      <c r="CZ207" s="656" t="e">
        <v>#NAME?</v>
      </c>
      <c r="DB207" s="156" t="s">
        <v>317</v>
      </c>
      <c r="DG207" s="156" t="e">
        <v>#VALUE!</v>
      </c>
    </row>
    <row r="208" spans="1:111" ht="12.75">
      <c r="A208" s="167" t="s">
        <v>316</v>
      </c>
      <c r="B208" s="655"/>
      <c r="C208" s="655"/>
      <c r="D208" s="655"/>
      <c r="E208" s="655"/>
      <c r="F208" s="655"/>
      <c r="G208" s="655"/>
      <c r="H208" s="655"/>
      <c r="I208" s="655"/>
      <c r="J208" s="655"/>
      <c r="K208" s="655"/>
      <c r="L208" s="655"/>
      <c r="M208" s="655"/>
      <c r="N208" s="655"/>
      <c r="O208" s="655"/>
      <c r="P208" s="655"/>
      <c r="Q208" s="655"/>
      <c r="R208" s="655"/>
      <c r="S208" s="655"/>
      <c r="T208" s="655"/>
      <c r="U208" s="655">
        <v>-541.16330000000005</v>
      </c>
      <c r="V208" s="655">
        <v>10.746001130000002</v>
      </c>
      <c r="W208" s="655">
        <v>-532.35651512000004</v>
      </c>
      <c r="X208" s="655">
        <v>-772.65035050999995</v>
      </c>
      <c r="Y208" s="655">
        <v>-3563.2616218000003</v>
      </c>
      <c r="Z208" s="655">
        <v>-3335.7685904800001</v>
      </c>
      <c r="AA208" s="655">
        <v>-758.30672551999999</v>
      </c>
      <c r="AB208" s="655">
        <v>-6875.4904189199997</v>
      </c>
      <c r="AC208" s="655"/>
      <c r="AD208" s="158"/>
      <c r="AE208" s="158"/>
      <c r="AF208" s="655"/>
      <c r="AG208" s="655"/>
      <c r="AH208" s="655"/>
      <c r="AI208" s="655"/>
      <c r="AJ208" s="655"/>
      <c r="AK208" s="655"/>
      <c r="AL208" s="655"/>
      <c r="AM208" s="655"/>
      <c r="AN208" s="655"/>
      <c r="AO208" s="655"/>
      <c r="AP208" s="655"/>
      <c r="AQ208" s="655"/>
      <c r="AR208" s="655"/>
      <c r="AS208" s="655"/>
      <c r="AT208" s="655"/>
      <c r="AU208" s="655"/>
      <c r="AV208" s="655"/>
      <c r="AW208" s="655"/>
      <c r="AX208" s="655"/>
      <c r="AY208" s="655"/>
      <c r="AZ208" s="655"/>
      <c r="BA208" s="655"/>
      <c r="BB208" s="655"/>
      <c r="BC208" s="655"/>
      <c r="BD208" s="655"/>
      <c r="BE208" s="655"/>
      <c r="BF208" s="655"/>
      <c r="BG208" s="655"/>
      <c r="BH208" s="655"/>
      <c r="BI208" s="655"/>
      <c r="BJ208" s="655"/>
      <c r="BK208" s="655"/>
      <c r="BL208" s="655"/>
      <c r="BM208" s="655"/>
      <c r="BN208" s="655"/>
      <c r="BO208" s="655"/>
      <c r="BP208" s="655"/>
      <c r="BQ208" s="655"/>
      <c r="BR208" s="655"/>
      <c r="BS208" s="655"/>
      <c r="BT208" s="655"/>
      <c r="BU208" s="655"/>
      <c r="BV208" s="655"/>
      <c r="BW208" s="655"/>
      <c r="BX208" s="655"/>
      <c r="BY208" s="655"/>
      <c r="BZ208" s="655"/>
      <c r="CA208" s="655"/>
      <c r="CB208" s="655">
        <v>-294.03012947000002</v>
      </c>
      <c r="CC208" s="655">
        <v>-380.77050000000003</v>
      </c>
      <c r="CD208" s="655">
        <v>-703.13626621000003</v>
      </c>
      <c r="CE208" s="655">
        <v>-772.65035050999995</v>
      </c>
      <c r="CF208" s="655">
        <v>-528.19295800999998</v>
      </c>
      <c r="CG208" s="655">
        <v>-1501.4656156600001</v>
      </c>
      <c r="CH208" s="655">
        <v>-2204.6875189400002</v>
      </c>
      <c r="CI208" s="655">
        <v>-3563.2616218000003</v>
      </c>
      <c r="CJ208" s="655">
        <v>-291.93727639999997</v>
      </c>
      <c r="CK208" s="655">
        <v>-1487.6149408900001</v>
      </c>
      <c r="CL208" s="655">
        <v>-2662.2408406499999</v>
      </c>
      <c r="CM208" s="655">
        <v>-3335.7685904800001</v>
      </c>
      <c r="CN208" s="655">
        <v>-1100.57827847</v>
      </c>
      <c r="CO208" s="655">
        <v>-633.84164080999994</v>
      </c>
      <c r="CP208" s="655">
        <v>110.14214794</v>
      </c>
      <c r="CQ208" s="655">
        <v>-758.30672551999999</v>
      </c>
      <c r="CR208" s="655">
        <v>-190.15890994</v>
      </c>
      <c r="CS208" s="655">
        <v>-2587.5155164600001</v>
      </c>
      <c r="CT208" s="655">
        <v>-5043.4995341099993</v>
      </c>
      <c r="CU208" s="655">
        <v>-6875.4904189199997</v>
      </c>
      <c r="CV208" s="655">
        <v>-524.42224906000001</v>
      </c>
      <c r="CW208" s="655">
        <v>-1225.7701774100001</v>
      </c>
      <c r="CX208" s="655">
        <v>-1959.7221988900001</v>
      </c>
      <c r="CZ208" s="655" t="e">
        <v>#NAME?</v>
      </c>
      <c r="DB208" s="156" t="s">
        <v>316</v>
      </c>
      <c r="DG208" s="156" t="e">
        <v>#VALUE!</v>
      </c>
    </row>
    <row r="209" spans="1:111">
      <c r="A209" s="167" t="s">
        <v>315</v>
      </c>
      <c r="B209" s="658"/>
      <c r="C209" s="658"/>
      <c r="D209" s="658"/>
      <c r="E209" s="658"/>
      <c r="F209" s="658"/>
      <c r="G209" s="658"/>
      <c r="H209" s="658"/>
      <c r="I209" s="658"/>
      <c r="J209" s="658"/>
      <c r="K209" s="658"/>
      <c r="L209" s="658"/>
      <c r="M209" s="658"/>
      <c r="N209" s="658"/>
      <c r="O209" s="658"/>
      <c r="P209" s="658"/>
      <c r="Q209" s="658"/>
      <c r="R209" s="658"/>
      <c r="S209" s="658"/>
      <c r="T209" s="658"/>
      <c r="U209" s="658"/>
      <c r="V209" s="658"/>
      <c r="W209" s="658"/>
      <c r="X209" s="658"/>
      <c r="Y209" s="658"/>
      <c r="Z209" s="658"/>
      <c r="AA209" s="658"/>
      <c r="AB209" s="658"/>
      <c r="AC209" s="658"/>
      <c r="AD209" s="158"/>
      <c r="AE209" s="158"/>
      <c r="AF209" s="658"/>
      <c r="AG209" s="658"/>
      <c r="AH209" s="658"/>
      <c r="AI209" s="658"/>
      <c r="AJ209" s="658"/>
      <c r="AK209" s="658"/>
      <c r="AL209" s="658"/>
      <c r="AM209" s="658"/>
      <c r="AN209" s="658"/>
      <c r="AO209" s="658"/>
      <c r="AP209" s="658"/>
      <c r="AQ209" s="658"/>
      <c r="AR209" s="658"/>
      <c r="AS209" s="658"/>
      <c r="AT209" s="658"/>
      <c r="AU209" s="658"/>
      <c r="AV209" s="658"/>
      <c r="AW209" s="658"/>
      <c r="AX209" s="658"/>
      <c r="AY209" s="658"/>
      <c r="AZ209" s="658"/>
      <c r="BA209" s="658"/>
      <c r="BB209" s="658"/>
      <c r="BC209" s="658"/>
      <c r="BD209" s="658"/>
      <c r="BE209" s="658"/>
      <c r="BF209" s="658"/>
      <c r="BG209" s="658"/>
      <c r="BH209" s="658"/>
      <c r="BI209" s="658"/>
      <c r="BJ209" s="658"/>
      <c r="BK209" s="658"/>
      <c r="BL209" s="658"/>
      <c r="BM209" s="658"/>
      <c r="BN209" s="658"/>
      <c r="BO209" s="658"/>
      <c r="BP209" s="658"/>
      <c r="BQ209" s="658"/>
      <c r="BR209" s="658"/>
      <c r="BS209" s="658"/>
      <c r="BT209" s="658"/>
      <c r="BU209" s="658"/>
      <c r="BV209" s="658"/>
      <c r="BW209" s="658"/>
      <c r="BX209" s="658"/>
      <c r="BY209" s="658"/>
      <c r="BZ209" s="658"/>
      <c r="CA209" s="658"/>
      <c r="CB209" s="658"/>
      <c r="CC209" s="658"/>
      <c r="CD209" s="658"/>
      <c r="CE209" s="658"/>
      <c r="CF209" s="658"/>
      <c r="CG209" s="658"/>
      <c r="CH209" s="658"/>
      <c r="CI209" s="658"/>
      <c r="CJ209" s="658"/>
      <c r="CK209" s="658"/>
      <c r="CL209" s="658"/>
      <c r="CM209" s="658"/>
      <c r="CN209" s="658"/>
      <c r="CO209" s="658"/>
      <c r="CP209" s="658"/>
      <c r="CQ209" s="658"/>
      <c r="CR209" s="658"/>
      <c r="CS209" s="658"/>
      <c r="CT209" s="658"/>
      <c r="CU209" s="658"/>
      <c r="CV209" s="658"/>
      <c r="CW209" s="658"/>
      <c r="CX209" s="658"/>
      <c r="CZ209" s="658"/>
      <c r="DB209" s="156" t="s">
        <v>315</v>
      </c>
      <c r="DG209" s="156">
        <v>0.1</v>
      </c>
    </row>
    <row r="210" spans="1:111" ht="12.75">
      <c r="A210" s="165" t="s">
        <v>314</v>
      </c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6"/>
      <c r="P210" s="656"/>
      <c r="Q210" s="656"/>
      <c r="R210" s="656"/>
      <c r="S210" s="656"/>
      <c r="T210" s="656"/>
      <c r="U210" s="656">
        <v>297.5</v>
      </c>
      <c r="V210" s="656"/>
      <c r="W210" s="656">
        <v>57.143000000000001</v>
      </c>
      <c r="X210" s="656"/>
      <c r="Y210" s="656">
        <v>1851.2627</v>
      </c>
      <c r="Z210" s="656"/>
      <c r="AA210" s="656"/>
      <c r="AB210" s="656">
        <v>4.0564799999999996</v>
      </c>
      <c r="AC210" s="656"/>
      <c r="AD210" s="158"/>
      <c r="AE210" s="158"/>
      <c r="AF210" s="656"/>
      <c r="AG210" s="656"/>
      <c r="AH210" s="656"/>
      <c r="AI210" s="656"/>
      <c r="AJ210" s="656"/>
      <c r="AK210" s="656"/>
      <c r="AL210" s="656"/>
      <c r="AM210" s="656"/>
      <c r="AN210" s="656"/>
      <c r="AO210" s="656"/>
      <c r="AP210" s="656"/>
      <c r="AQ210" s="656"/>
      <c r="AR210" s="656"/>
      <c r="AS210" s="656"/>
      <c r="AT210" s="656"/>
      <c r="AU210" s="656"/>
      <c r="AV210" s="656"/>
      <c r="AW210" s="656"/>
      <c r="AX210" s="656"/>
      <c r="AY210" s="656"/>
      <c r="AZ210" s="656"/>
      <c r="BA210" s="656"/>
      <c r="BB210" s="656"/>
      <c r="BC210" s="656"/>
      <c r="BD210" s="656"/>
      <c r="BE210" s="656"/>
      <c r="BF210" s="656"/>
      <c r="BG210" s="656"/>
      <c r="BH210" s="656"/>
      <c r="BI210" s="656"/>
      <c r="BJ210" s="656"/>
      <c r="BK210" s="656"/>
      <c r="BL210" s="656"/>
      <c r="BM210" s="656"/>
      <c r="BN210" s="656"/>
      <c r="BO210" s="656"/>
      <c r="BP210" s="656"/>
      <c r="BQ210" s="656"/>
      <c r="BR210" s="656"/>
      <c r="BS210" s="656"/>
      <c r="BT210" s="656"/>
      <c r="BU210" s="656"/>
      <c r="BV210" s="656"/>
      <c r="BW210" s="656"/>
      <c r="BX210" s="656"/>
      <c r="BY210" s="656"/>
      <c r="BZ210" s="656"/>
      <c r="CA210" s="656"/>
      <c r="CB210" s="656"/>
      <c r="CC210" s="656"/>
      <c r="CD210" s="656"/>
      <c r="CE210" s="656"/>
      <c r="CF210" s="656"/>
      <c r="CG210" s="656">
        <v>1851.2627</v>
      </c>
      <c r="CH210" s="656">
        <v>1851.2627</v>
      </c>
      <c r="CI210" s="656">
        <v>1851.2627</v>
      </c>
      <c r="CJ210" s="656"/>
      <c r="CK210" s="656"/>
      <c r="CL210" s="656"/>
      <c r="CM210" s="656"/>
      <c r="CN210" s="656"/>
      <c r="CO210" s="656"/>
      <c r="CP210" s="656"/>
      <c r="CQ210" s="656"/>
      <c r="CR210" s="656"/>
      <c r="CS210" s="656">
        <v>0</v>
      </c>
      <c r="CT210" s="656">
        <v>0</v>
      </c>
      <c r="CU210" s="656">
        <v>4.0564799999999996</v>
      </c>
      <c r="CV210" s="656">
        <v>0</v>
      </c>
      <c r="CW210" s="656">
        <v>0</v>
      </c>
      <c r="CX210" s="656">
        <v>0</v>
      </c>
      <c r="CZ210" s="656" t="e">
        <v>#NAME?</v>
      </c>
      <c r="DB210" s="156" t="s">
        <v>314</v>
      </c>
      <c r="DG210" s="156">
        <v>0.72</v>
      </c>
    </row>
    <row r="211" spans="1:111" ht="12.75">
      <c r="A211" s="165" t="s">
        <v>313</v>
      </c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6"/>
      <c r="P211" s="656"/>
      <c r="Q211" s="656"/>
      <c r="R211" s="656"/>
      <c r="S211" s="656"/>
      <c r="T211" s="656"/>
      <c r="U211" s="656"/>
      <c r="V211" s="656"/>
      <c r="W211" s="656"/>
      <c r="X211" s="656"/>
      <c r="Y211" s="656">
        <v>0</v>
      </c>
      <c r="Z211" s="656"/>
      <c r="AA211" s="656"/>
      <c r="AB211" s="656">
        <v>4.0564799999999996</v>
      </c>
      <c r="AC211" s="656"/>
      <c r="AD211" s="158"/>
      <c r="AE211" s="158"/>
      <c r="AF211" s="656"/>
      <c r="AG211" s="656"/>
      <c r="AH211" s="656"/>
      <c r="AI211" s="656"/>
      <c r="AJ211" s="656"/>
      <c r="AK211" s="656"/>
      <c r="AL211" s="656"/>
      <c r="AM211" s="656"/>
      <c r="AN211" s="656"/>
      <c r="AO211" s="656"/>
      <c r="AP211" s="656"/>
      <c r="AQ211" s="656"/>
      <c r="AR211" s="656"/>
      <c r="AS211" s="656"/>
      <c r="AT211" s="656"/>
      <c r="AU211" s="656"/>
      <c r="AV211" s="656"/>
      <c r="AW211" s="656"/>
      <c r="AX211" s="656"/>
      <c r="AY211" s="656"/>
      <c r="AZ211" s="656"/>
      <c r="BA211" s="656"/>
      <c r="BB211" s="656"/>
      <c r="BC211" s="656"/>
      <c r="BD211" s="656"/>
      <c r="BE211" s="656"/>
      <c r="BF211" s="656"/>
      <c r="BG211" s="656"/>
      <c r="BH211" s="656"/>
      <c r="BI211" s="656"/>
      <c r="BJ211" s="656"/>
      <c r="BK211" s="656"/>
      <c r="BL211" s="656"/>
      <c r="BM211" s="656"/>
      <c r="BN211" s="656"/>
      <c r="BO211" s="656"/>
      <c r="BP211" s="656"/>
      <c r="BQ211" s="656"/>
      <c r="BR211" s="656"/>
      <c r="BS211" s="656"/>
      <c r="BT211" s="656"/>
      <c r="BU211" s="656"/>
      <c r="BV211" s="656"/>
      <c r="BW211" s="656"/>
      <c r="BX211" s="656"/>
      <c r="BY211" s="656"/>
      <c r="BZ211" s="656"/>
      <c r="CA211" s="656"/>
      <c r="CB211" s="656"/>
      <c r="CC211" s="656"/>
      <c r="CD211" s="656"/>
      <c r="CE211" s="656"/>
      <c r="CF211" s="656"/>
      <c r="CG211" s="656"/>
      <c r="CH211" s="656"/>
      <c r="CI211" s="656">
        <v>0</v>
      </c>
      <c r="CJ211" s="656"/>
      <c r="CK211" s="656"/>
      <c r="CL211" s="656"/>
      <c r="CM211" s="656"/>
      <c r="CN211" s="656"/>
      <c r="CO211" s="656"/>
      <c r="CP211" s="656"/>
      <c r="CQ211" s="656"/>
      <c r="CR211" s="656"/>
      <c r="CS211" s="656">
        <v>0</v>
      </c>
      <c r="CT211" s="656">
        <v>0</v>
      </c>
      <c r="CU211" s="656">
        <v>4.0564799999999996</v>
      </c>
      <c r="CV211" s="656">
        <v>0</v>
      </c>
      <c r="CW211" s="656">
        <v>0</v>
      </c>
      <c r="CX211" s="656">
        <v>0</v>
      </c>
      <c r="CZ211" s="656" t="e">
        <v>#NAME?</v>
      </c>
      <c r="DB211" s="156" t="s">
        <v>313</v>
      </c>
      <c r="DG211" s="156">
        <v>-32.950000000000003</v>
      </c>
    </row>
    <row r="212" spans="1:111" ht="12.75">
      <c r="A212" s="165" t="s">
        <v>312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>
        <v>155</v>
      </c>
      <c r="V212" s="656">
        <v>254.79784472999998</v>
      </c>
      <c r="W212" s="656">
        <v>409.00321897000003</v>
      </c>
      <c r="X212" s="656">
        <v>523.88443874000006</v>
      </c>
      <c r="Y212" s="656">
        <v>637.5</v>
      </c>
      <c r="Z212" s="656">
        <v>3449.72092484</v>
      </c>
      <c r="AA212" s="656">
        <v>5908.77985825</v>
      </c>
      <c r="AB212" s="656">
        <v>9280.1296191599995</v>
      </c>
      <c r="AC212" s="656"/>
      <c r="AD212" s="158"/>
      <c r="AE212" s="158"/>
      <c r="AF212" s="656"/>
      <c r="AG212" s="656"/>
      <c r="AH212" s="656"/>
      <c r="AI212" s="656"/>
      <c r="AJ212" s="656"/>
      <c r="AK212" s="656"/>
      <c r="AL212" s="656"/>
      <c r="AM212" s="656"/>
      <c r="AN212" s="656"/>
      <c r="AO212" s="656"/>
      <c r="AP212" s="656"/>
      <c r="AQ212" s="656"/>
      <c r="AR212" s="656"/>
      <c r="AS212" s="656"/>
      <c r="AT212" s="656"/>
      <c r="AU212" s="656"/>
      <c r="AV212" s="656"/>
      <c r="AW212" s="656"/>
      <c r="AX212" s="656"/>
      <c r="AY212" s="656"/>
      <c r="AZ212" s="656"/>
      <c r="BA212" s="656"/>
      <c r="BB212" s="656"/>
      <c r="BC212" s="656"/>
      <c r="BD212" s="656"/>
      <c r="BE212" s="656"/>
      <c r="BF212" s="656"/>
      <c r="BG212" s="656"/>
      <c r="BH212" s="656"/>
      <c r="BI212" s="656"/>
      <c r="BJ212" s="656"/>
      <c r="BK212" s="656"/>
      <c r="BL212" s="656"/>
      <c r="BM212" s="656"/>
      <c r="BN212" s="656"/>
      <c r="BO212" s="656"/>
      <c r="BP212" s="656"/>
      <c r="BQ212" s="656"/>
      <c r="BR212" s="656"/>
      <c r="BS212" s="656"/>
      <c r="BT212" s="656"/>
      <c r="BU212" s="656"/>
      <c r="BV212" s="656"/>
      <c r="BW212" s="656"/>
      <c r="BX212" s="656"/>
      <c r="BY212" s="656"/>
      <c r="BZ212" s="656"/>
      <c r="CA212" s="656"/>
      <c r="CB212" s="656">
        <v>172.88443874000001</v>
      </c>
      <c r="CC212" s="656">
        <v>225.8844</v>
      </c>
      <c r="CD212" s="656">
        <v>341.88443874000001</v>
      </c>
      <c r="CE212" s="656">
        <v>523.88443874000006</v>
      </c>
      <c r="CF212" s="656">
        <v>14</v>
      </c>
      <c r="CG212" s="656">
        <v>14</v>
      </c>
      <c r="CH212" s="656">
        <v>304</v>
      </c>
      <c r="CI212" s="656">
        <v>637.5</v>
      </c>
      <c r="CJ212" s="656">
        <v>818</v>
      </c>
      <c r="CK212" s="656">
        <v>1610.6219182100001</v>
      </c>
      <c r="CL212" s="656">
        <v>2543.73</v>
      </c>
      <c r="CM212" s="656">
        <v>3449.72092484</v>
      </c>
      <c r="CN212" s="656">
        <v>1405.16169653</v>
      </c>
      <c r="CO212" s="656">
        <v>3113.9642036499999</v>
      </c>
      <c r="CP212" s="656">
        <v>4425.0732928199996</v>
      </c>
      <c r="CQ212" s="656">
        <v>5908.77985825</v>
      </c>
      <c r="CR212" s="656">
        <v>2149.3172863200002</v>
      </c>
      <c r="CS212" s="656">
        <v>5350.5601999999999</v>
      </c>
      <c r="CT212" s="656">
        <v>7530.6893042199999</v>
      </c>
      <c r="CU212" s="656">
        <v>9280.1296191599995</v>
      </c>
      <c r="CV212" s="656">
        <v>883</v>
      </c>
      <c r="CW212" s="656">
        <v>3997.16</v>
      </c>
      <c r="CX212" s="656">
        <v>7283.13</v>
      </c>
      <c r="CZ212" s="656" t="e">
        <v>#NAME?</v>
      </c>
      <c r="DB212" s="156" t="s">
        <v>312</v>
      </c>
      <c r="DG212" s="156">
        <v>-119.9</v>
      </c>
    </row>
    <row r="213" spans="1:111" ht="12.75">
      <c r="A213" s="165" t="s">
        <v>311</v>
      </c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6"/>
      <c r="P213" s="656"/>
      <c r="Q213" s="656"/>
      <c r="R213" s="656"/>
      <c r="S213" s="656"/>
      <c r="T213" s="656"/>
      <c r="U213" s="656"/>
      <c r="V213" s="656"/>
      <c r="W213" s="656"/>
      <c r="X213" s="656"/>
      <c r="Y213" s="656">
        <v>0</v>
      </c>
      <c r="Z213" s="656"/>
      <c r="AA213" s="656">
        <v>112.34556845</v>
      </c>
      <c r="AB213" s="656">
        <v>305.80200000000002</v>
      </c>
      <c r="AC213" s="656"/>
      <c r="AD213" s="158"/>
      <c r="AE213" s="158"/>
      <c r="AF213" s="656"/>
      <c r="AG213" s="656"/>
      <c r="AH213" s="656"/>
      <c r="AI213" s="656"/>
      <c r="AJ213" s="656"/>
      <c r="AK213" s="656"/>
      <c r="AL213" s="656"/>
      <c r="AM213" s="656"/>
      <c r="AN213" s="656"/>
      <c r="AO213" s="656"/>
      <c r="AP213" s="656"/>
      <c r="AQ213" s="656"/>
      <c r="AR213" s="656"/>
      <c r="AS213" s="656"/>
      <c r="AT213" s="656"/>
      <c r="AU213" s="656"/>
      <c r="AV213" s="656"/>
      <c r="AW213" s="656"/>
      <c r="AX213" s="656"/>
      <c r="AY213" s="656"/>
      <c r="AZ213" s="656"/>
      <c r="BA213" s="656"/>
      <c r="BB213" s="656"/>
      <c r="BC213" s="656"/>
      <c r="BD213" s="656"/>
      <c r="BE213" s="656"/>
      <c r="BF213" s="656"/>
      <c r="BG213" s="656"/>
      <c r="BH213" s="656"/>
      <c r="BI213" s="656"/>
      <c r="BJ213" s="656"/>
      <c r="BK213" s="656"/>
      <c r="BL213" s="656"/>
      <c r="BM213" s="656"/>
      <c r="BN213" s="656"/>
      <c r="BO213" s="656"/>
      <c r="BP213" s="656"/>
      <c r="BQ213" s="656"/>
      <c r="BR213" s="656"/>
      <c r="BS213" s="656"/>
      <c r="BT213" s="656"/>
      <c r="BU213" s="656"/>
      <c r="BV213" s="656"/>
      <c r="BW213" s="656"/>
      <c r="BX213" s="656"/>
      <c r="BY213" s="656"/>
      <c r="BZ213" s="656"/>
      <c r="CA213" s="656"/>
      <c r="CB213" s="656"/>
      <c r="CC213" s="656"/>
      <c r="CD213" s="656"/>
      <c r="CE213" s="656"/>
      <c r="CF213" s="656"/>
      <c r="CG213" s="656"/>
      <c r="CH213" s="656"/>
      <c r="CI213" s="656"/>
      <c r="CJ213" s="656"/>
      <c r="CK213" s="656"/>
      <c r="CL213" s="656"/>
      <c r="CM213" s="656"/>
      <c r="CN213" s="656"/>
      <c r="CO213" s="656">
        <v>78.865568449999998</v>
      </c>
      <c r="CP213" s="656"/>
      <c r="CQ213" s="656">
        <v>112.34556845</v>
      </c>
      <c r="CR213" s="656"/>
      <c r="CS213" s="656">
        <v>505.24196052999997</v>
      </c>
      <c r="CT213" s="656">
        <v>613.48697812</v>
      </c>
      <c r="CU213" s="656">
        <v>305.80200000000002</v>
      </c>
      <c r="CV213" s="656">
        <v>0</v>
      </c>
      <c r="CW213" s="656">
        <v>0</v>
      </c>
      <c r="CX213" s="656">
        <v>0</v>
      </c>
      <c r="CZ213" s="656" t="e">
        <v>#NAME?</v>
      </c>
      <c r="DB213" s="156" t="s">
        <v>311</v>
      </c>
      <c r="DG213" s="156">
        <v>-95.32</v>
      </c>
    </row>
    <row r="214" spans="1:111" ht="12.75">
      <c r="A214" s="165" t="s">
        <v>310</v>
      </c>
      <c r="B214" s="656"/>
      <c r="C214" s="656"/>
      <c r="D214" s="656"/>
      <c r="E214" s="656"/>
      <c r="F214" s="656"/>
      <c r="G214" s="656"/>
      <c r="H214" s="656"/>
      <c r="I214" s="656"/>
      <c r="J214" s="656"/>
      <c r="K214" s="656"/>
      <c r="L214" s="656"/>
      <c r="M214" s="656"/>
      <c r="N214" s="656"/>
      <c r="O214" s="656"/>
      <c r="P214" s="656"/>
      <c r="Q214" s="656"/>
      <c r="R214" s="656"/>
      <c r="S214" s="656"/>
      <c r="T214" s="656"/>
      <c r="U214" s="656">
        <v>35</v>
      </c>
      <c r="V214" s="656"/>
      <c r="W214" s="656"/>
      <c r="X214" s="656"/>
      <c r="Y214" s="656">
        <v>0</v>
      </c>
      <c r="Z214" s="656"/>
      <c r="AA214" s="656"/>
      <c r="AB214" s="656">
        <v>0</v>
      </c>
      <c r="AC214" s="656"/>
      <c r="AD214" s="158"/>
      <c r="AE214" s="158"/>
      <c r="AF214" s="656"/>
      <c r="AG214" s="656"/>
      <c r="AH214" s="656"/>
      <c r="AI214" s="656"/>
      <c r="AJ214" s="656"/>
      <c r="AK214" s="656"/>
      <c r="AL214" s="656"/>
      <c r="AM214" s="656"/>
      <c r="AN214" s="656"/>
      <c r="AO214" s="656"/>
      <c r="AP214" s="656"/>
      <c r="AQ214" s="656"/>
      <c r="AR214" s="656"/>
      <c r="AS214" s="656"/>
      <c r="AT214" s="656"/>
      <c r="AU214" s="656"/>
      <c r="AV214" s="656"/>
      <c r="AW214" s="656"/>
      <c r="AX214" s="656"/>
      <c r="AY214" s="656"/>
      <c r="AZ214" s="656"/>
      <c r="BA214" s="656"/>
      <c r="BB214" s="656"/>
      <c r="BC214" s="656"/>
      <c r="BD214" s="656"/>
      <c r="BE214" s="656"/>
      <c r="BF214" s="656"/>
      <c r="BG214" s="656"/>
      <c r="BH214" s="656"/>
      <c r="BI214" s="656"/>
      <c r="BJ214" s="656"/>
      <c r="BK214" s="656"/>
      <c r="BL214" s="656"/>
      <c r="BM214" s="656"/>
      <c r="BN214" s="656"/>
      <c r="BO214" s="656"/>
      <c r="BP214" s="656"/>
      <c r="BQ214" s="656"/>
      <c r="BR214" s="656"/>
      <c r="BS214" s="656"/>
      <c r="BT214" s="656"/>
      <c r="BU214" s="656"/>
      <c r="BV214" s="656"/>
      <c r="BW214" s="656"/>
      <c r="BX214" s="656"/>
      <c r="BY214" s="656"/>
      <c r="BZ214" s="656"/>
      <c r="CA214" s="656"/>
      <c r="CB214" s="656"/>
      <c r="CC214" s="656"/>
      <c r="CD214" s="656"/>
      <c r="CE214" s="656"/>
      <c r="CF214" s="656"/>
      <c r="CG214" s="656"/>
      <c r="CH214" s="656"/>
      <c r="CI214" s="656"/>
      <c r="CJ214" s="656"/>
      <c r="CK214" s="656"/>
      <c r="CL214" s="656"/>
      <c r="CM214" s="656"/>
      <c r="CN214" s="656"/>
      <c r="CO214" s="656"/>
      <c r="CP214" s="656"/>
      <c r="CQ214" s="656"/>
      <c r="CR214" s="656"/>
      <c r="CS214" s="656">
        <v>0</v>
      </c>
      <c r="CT214" s="656">
        <v>0</v>
      </c>
      <c r="CU214" s="656">
        <v>0</v>
      </c>
      <c r="CV214" s="656">
        <v>0</v>
      </c>
      <c r="CW214" s="656">
        <v>0</v>
      </c>
      <c r="CX214" s="656">
        <v>0</v>
      </c>
      <c r="CZ214" s="656" t="e">
        <v>#NAME?</v>
      </c>
      <c r="DB214" s="156" t="s">
        <v>310</v>
      </c>
      <c r="DG214" s="156">
        <v>-100.65</v>
      </c>
    </row>
    <row r="215" spans="1:111" ht="12.75">
      <c r="A215" s="165" t="s">
        <v>309</v>
      </c>
      <c r="B215" s="656"/>
      <c r="C215" s="656"/>
      <c r="D215" s="656"/>
      <c r="E215" s="656"/>
      <c r="F215" s="656"/>
      <c r="G215" s="656"/>
      <c r="H215" s="656"/>
      <c r="I215" s="656"/>
      <c r="J215" s="656"/>
      <c r="K215" s="656"/>
      <c r="L215" s="656"/>
      <c r="M215" s="656"/>
      <c r="N215" s="656"/>
      <c r="O215" s="656"/>
      <c r="P215" s="656"/>
      <c r="Q215" s="656"/>
      <c r="R215" s="656"/>
      <c r="S215" s="656"/>
      <c r="T215" s="656"/>
      <c r="U215" s="656"/>
      <c r="V215" s="656"/>
      <c r="W215" s="656"/>
      <c r="X215" s="656"/>
      <c r="Y215" s="656">
        <v>0</v>
      </c>
      <c r="Z215" s="656"/>
      <c r="AA215" s="656"/>
      <c r="AB215" s="656">
        <v>0</v>
      </c>
      <c r="AC215" s="656"/>
      <c r="AD215" s="158"/>
      <c r="AE215" s="158"/>
      <c r="AF215" s="656"/>
      <c r="AG215" s="656"/>
      <c r="AH215" s="656"/>
      <c r="AI215" s="656"/>
      <c r="AJ215" s="656"/>
      <c r="AK215" s="656"/>
      <c r="AL215" s="656"/>
      <c r="AM215" s="656"/>
      <c r="AN215" s="656"/>
      <c r="AO215" s="656"/>
      <c r="AP215" s="656"/>
      <c r="AQ215" s="656"/>
      <c r="AR215" s="656"/>
      <c r="AS215" s="656"/>
      <c r="AT215" s="656"/>
      <c r="AU215" s="656"/>
      <c r="AV215" s="656"/>
      <c r="AW215" s="656"/>
      <c r="AX215" s="656"/>
      <c r="AY215" s="656"/>
      <c r="AZ215" s="656"/>
      <c r="BA215" s="656"/>
      <c r="BB215" s="656"/>
      <c r="BC215" s="656"/>
      <c r="BD215" s="656"/>
      <c r="BE215" s="656"/>
      <c r="BF215" s="656"/>
      <c r="BG215" s="656"/>
      <c r="BH215" s="656"/>
      <c r="BI215" s="656"/>
      <c r="BJ215" s="656"/>
      <c r="BK215" s="656"/>
      <c r="BL215" s="656"/>
      <c r="BM215" s="656"/>
      <c r="BN215" s="656"/>
      <c r="BO215" s="656"/>
      <c r="BP215" s="656"/>
      <c r="BQ215" s="656"/>
      <c r="BR215" s="656"/>
      <c r="BS215" s="656"/>
      <c r="BT215" s="656"/>
      <c r="BU215" s="656"/>
      <c r="BV215" s="656"/>
      <c r="BW215" s="656"/>
      <c r="BX215" s="656"/>
      <c r="BY215" s="656"/>
      <c r="BZ215" s="656"/>
      <c r="CA215" s="656"/>
      <c r="CB215" s="656"/>
      <c r="CC215" s="656"/>
      <c r="CD215" s="656"/>
      <c r="CE215" s="656"/>
      <c r="CF215" s="656"/>
      <c r="CG215" s="656"/>
      <c r="CH215" s="656"/>
      <c r="CI215" s="656"/>
      <c r="CJ215" s="656"/>
      <c r="CK215" s="656"/>
      <c r="CL215" s="656"/>
      <c r="CM215" s="656"/>
      <c r="CN215" s="656"/>
      <c r="CO215" s="656"/>
      <c r="CP215" s="656"/>
      <c r="CQ215" s="656"/>
      <c r="CR215" s="656"/>
      <c r="CS215" s="656">
        <v>0</v>
      </c>
      <c r="CT215" s="656">
        <v>0</v>
      </c>
      <c r="CU215" s="656">
        <v>0</v>
      </c>
      <c r="CV215" s="656">
        <v>0</v>
      </c>
      <c r="CW215" s="656">
        <v>0</v>
      </c>
      <c r="CX215" s="656">
        <v>0</v>
      </c>
      <c r="CZ215" s="656" t="e">
        <v>#NAME?</v>
      </c>
      <c r="DB215" s="156" t="s">
        <v>309</v>
      </c>
      <c r="DG215" s="156">
        <v>-0.34</v>
      </c>
    </row>
    <row r="216" spans="1:111" ht="12.75">
      <c r="A216" s="165" t="s">
        <v>308</v>
      </c>
      <c r="B216" s="656"/>
      <c r="C216" s="656"/>
      <c r="D216" s="656"/>
      <c r="E216" s="656"/>
      <c r="F216" s="656"/>
      <c r="G216" s="656"/>
      <c r="H216" s="656"/>
      <c r="I216" s="656"/>
      <c r="J216" s="656"/>
      <c r="K216" s="656"/>
      <c r="L216" s="656"/>
      <c r="M216" s="656"/>
      <c r="N216" s="656"/>
      <c r="O216" s="656"/>
      <c r="P216" s="656"/>
      <c r="Q216" s="656"/>
      <c r="R216" s="656"/>
      <c r="S216" s="656"/>
      <c r="T216" s="656"/>
      <c r="U216" s="656"/>
      <c r="V216" s="656"/>
      <c r="W216" s="656"/>
      <c r="X216" s="656"/>
      <c r="Y216" s="656">
        <v>0</v>
      </c>
      <c r="Z216" s="656"/>
      <c r="AA216" s="656"/>
      <c r="AB216" s="656">
        <v>0</v>
      </c>
      <c r="AC216" s="656"/>
      <c r="AD216" s="158"/>
      <c r="AE216" s="158"/>
      <c r="AF216" s="656"/>
      <c r="AG216" s="656"/>
      <c r="AH216" s="656"/>
      <c r="AI216" s="656"/>
      <c r="AJ216" s="656"/>
      <c r="AK216" s="656"/>
      <c r="AL216" s="656"/>
      <c r="AM216" s="656"/>
      <c r="AN216" s="656"/>
      <c r="AO216" s="656"/>
      <c r="AP216" s="656"/>
      <c r="AQ216" s="656"/>
      <c r="AR216" s="656"/>
      <c r="AS216" s="656"/>
      <c r="AT216" s="656"/>
      <c r="AU216" s="656"/>
      <c r="AV216" s="656"/>
      <c r="AW216" s="656"/>
      <c r="AX216" s="656"/>
      <c r="AY216" s="656"/>
      <c r="AZ216" s="656"/>
      <c r="BA216" s="656"/>
      <c r="BB216" s="656"/>
      <c r="BC216" s="656"/>
      <c r="BD216" s="656"/>
      <c r="BE216" s="656"/>
      <c r="BF216" s="656"/>
      <c r="BG216" s="656"/>
      <c r="BH216" s="656"/>
      <c r="BI216" s="656"/>
      <c r="BJ216" s="656"/>
      <c r="BK216" s="656"/>
      <c r="BL216" s="656"/>
      <c r="BM216" s="656"/>
      <c r="BN216" s="656"/>
      <c r="BO216" s="656"/>
      <c r="BP216" s="656"/>
      <c r="BQ216" s="656"/>
      <c r="BR216" s="656"/>
      <c r="BS216" s="656"/>
      <c r="BT216" s="656"/>
      <c r="BU216" s="656"/>
      <c r="BV216" s="656"/>
      <c r="BW216" s="656"/>
      <c r="BX216" s="656"/>
      <c r="BY216" s="656"/>
      <c r="BZ216" s="656"/>
      <c r="CA216" s="656"/>
      <c r="CB216" s="656"/>
      <c r="CC216" s="656"/>
      <c r="CD216" s="656"/>
      <c r="CE216" s="656"/>
      <c r="CF216" s="656"/>
      <c r="CG216" s="656"/>
      <c r="CH216" s="656"/>
      <c r="CI216" s="656"/>
      <c r="CJ216" s="656"/>
      <c r="CK216" s="656"/>
      <c r="CL216" s="656"/>
      <c r="CM216" s="656"/>
      <c r="CN216" s="656"/>
      <c r="CO216" s="656"/>
      <c r="CP216" s="656"/>
      <c r="CQ216" s="656"/>
      <c r="CR216" s="656"/>
      <c r="CS216" s="656">
        <v>0</v>
      </c>
      <c r="CT216" s="656">
        <v>0</v>
      </c>
      <c r="CU216" s="656">
        <v>0</v>
      </c>
      <c r="CV216" s="656">
        <v>0</v>
      </c>
      <c r="CW216" s="656">
        <v>0</v>
      </c>
      <c r="CX216" s="656">
        <v>0</v>
      </c>
      <c r="CZ216" s="656" t="e">
        <v>#NAME?</v>
      </c>
      <c r="DB216" s="156" t="s">
        <v>308</v>
      </c>
      <c r="DG216" s="156">
        <v>-499.48</v>
      </c>
    </row>
    <row r="217" spans="1:111" ht="12.75">
      <c r="A217" s="165" t="s">
        <v>307</v>
      </c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6"/>
      <c r="P217" s="656"/>
      <c r="Q217" s="656"/>
      <c r="R217" s="656"/>
      <c r="S217" s="656"/>
      <c r="T217" s="656"/>
      <c r="U217" s="656">
        <v>487.5</v>
      </c>
      <c r="V217" s="656">
        <v>254.79784472999998</v>
      </c>
      <c r="W217" s="656">
        <v>466.14621897000001</v>
      </c>
      <c r="X217" s="656">
        <v>523.88443874000006</v>
      </c>
      <c r="Y217" s="656">
        <v>2488.7627000000002</v>
      </c>
      <c r="Z217" s="656">
        <v>3449.72092484</v>
      </c>
      <c r="AA217" s="656">
        <v>6021.1254266999995</v>
      </c>
      <c r="AB217" s="656">
        <v>9589.9880991600003</v>
      </c>
      <c r="AC217" s="656"/>
      <c r="AD217" s="158"/>
      <c r="AE217" s="158"/>
      <c r="AF217" s="656"/>
      <c r="AG217" s="656"/>
      <c r="AH217" s="656"/>
      <c r="AI217" s="656"/>
      <c r="AJ217" s="656"/>
      <c r="AK217" s="656"/>
      <c r="AL217" s="656"/>
      <c r="AM217" s="656"/>
      <c r="AN217" s="656"/>
      <c r="AO217" s="656"/>
      <c r="AP217" s="656"/>
      <c r="AQ217" s="656"/>
      <c r="AR217" s="656"/>
      <c r="AS217" s="656"/>
      <c r="AT217" s="656"/>
      <c r="AU217" s="656"/>
      <c r="AV217" s="656"/>
      <c r="AW217" s="656"/>
      <c r="AX217" s="656"/>
      <c r="AY217" s="656"/>
      <c r="AZ217" s="656"/>
      <c r="BA217" s="656"/>
      <c r="BB217" s="656"/>
      <c r="BC217" s="656"/>
      <c r="BD217" s="656"/>
      <c r="BE217" s="656"/>
      <c r="BF217" s="656"/>
      <c r="BG217" s="656"/>
      <c r="BH217" s="656"/>
      <c r="BI217" s="656"/>
      <c r="BJ217" s="656"/>
      <c r="BK217" s="656"/>
      <c r="BL217" s="656"/>
      <c r="BM217" s="656"/>
      <c r="BN217" s="656"/>
      <c r="BO217" s="656"/>
      <c r="BP217" s="656"/>
      <c r="BQ217" s="656"/>
      <c r="BR217" s="656"/>
      <c r="BS217" s="656"/>
      <c r="BT217" s="656"/>
      <c r="BU217" s="656"/>
      <c r="BV217" s="656"/>
      <c r="BW217" s="656"/>
      <c r="BX217" s="656"/>
      <c r="BY217" s="656"/>
      <c r="BZ217" s="656"/>
      <c r="CA217" s="656"/>
      <c r="CB217" s="656">
        <v>172.88443874000001</v>
      </c>
      <c r="CC217" s="656">
        <v>225.8844</v>
      </c>
      <c r="CD217" s="656">
        <v>341.88443874000001</v>
      </c>
      <c r="CE217" s="656">
        <v>523.88443874000006</v>
      </c>
      <c r="CF217" s="656">
        <v>14</v>
      </c>
      <c r="CG217" s="656">
        <v>1865.2627</v>
      </c>
      <c r="CH217" s="656">
        <v>2155.2627000000002</v>
      </c>
      <c r="CI217" s="656">
        <v>2488.7627000000002</v>
      </c>
      <c r="CJ217" s="656">
        <v>818</v>
      </c>
      <c r="CK217" s="656">
        <v>1610.6219182100001</v>
      </c>
      <c r="CL217" s="656">
        <v>2543.73</v>
      </c>
      <c r="CM217" s="656">
        <v>3449.72092484</v>
      </c>
      <c r="CN217" s="656">
        <v>1405.16169653</v>
      </c>
      <c r="CO217" s="656">
        <v>3192.8297720999999</v>
      </c>
      <c r="CP217" s="656">
        <v>4425.0732928199996</v>
      </c>
      <c r="CQ217" s="656">
        <v>6021.1254266999995</v>
      </c>
      <c r="CR217" s="656">
        <v>2149.3172863200002</v>
      </c>
      <c r="CS217" s="656">
        <v>5855.80216053</v>
      </c>
      <c r="CT217" s="656">
        <v>8144.1762823400004</v>
      </c>
      <c r="CU217" s="656">
        <v>9589.9880991600003</v>
      </c>
      <c r="CV217" s="656">
        <v>883</v>
      </c>
      <c r="CW217" s="656">
        <v>3997.16</v>
      </c>
      <c r="CX217" s="656">
        <v>7283.13</v>
      </c>
      <c r="CZ217" s="656" t="e">
        <v>#NAME?</v>
      </c>
      <c r="DB217" s="156" t="s">
        <v>307</v>
      </c>
      <c r="DG217" s="156">
        <v>-91.61</v>
      </c>
    </row>
    <row r="218" spans="1:111" ht="12.75">
      <c r="A218" s="165" t="s">
        <v>306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>
        <v>193</v>
      </c>
      <c r="V218" s="656">
        <v>222</v>
      </c>
      <c r="W218" s="656">
        <v>366.92606369999999</v>
      </c>
      <c r="X218" s="656">
        <v>297.05943874000002</v>
      </c>
      <c r="Y218" s="656">
        <v>431.52499999999998</v>
      </c>
      <c r="Z218" s="656">
        <v>953.85</v>
      </c>
      <c r="AA218" s="656">
        <v>5944.1030000000001</v>
      </c>
      <c r="AB218" s="656">
        <v>6011.3963000000003</v>
      </c>
      <c r="AC218" s="656"/>
      <c r="AD218" s="158"/>
      <c r="AE218" s="158"/>
      <c r="AF218" s="656"/>
      <c r="AG218" s="656"/>
      <c r="AH218" s="656"/>
      <c r="AI218" s="656"/>
      <c r="AJ218" s="656"/>
      <c r="AK218" s="656"/>
      <c r="AL218" s="656"/>
      <c r="AM218" s="656"/>
      <c r="AN218" s="656"/>
      <c r="AO218" s="656"/>
      <c r="AP218" s="656"/>
      <c r="AQ218" s="656"/>
      <c r="AR218" s="656"/>
      <c r="AS218" s="656"/>
      <c r="AT218" s="656"/>
      <c r="AU218" s="656"/>
      <c r="AV218" s="656"/>
      <c r="AW218" s="656"/>
      <c r="AX218" s="656"/>
      <c r="AY218" s="656"/>
      <c r="AZ218" s="656"/>
      <c r="BA218" s="656"/>
      <c r="BB218" s="656"/>
      <c r="BC218" s="656"/>
      <c r="BD218" s="656"/>
      <c r="BE218" s="656"/>
      <c r="BF218" s="656"/>
      <c r="BG218" s="656"/>
      <c r="BH218" s="656"/>
      <c r="BI218" s="656"/>
      <c r="BJ218" s="656"/>
      <c r="BK218" s="656"/>
      <c r="BL218" s="656"/>
      <c r="BM218" s="656"/>
      <c r="BN218" s="656"/>
      <c r="BO218" s="656"/>
      <c r="BP218" s="656"/>
      <c r="BQ218" s="656"/>
      <c r="BR218" s="656"/>
      <c r="BS218" s="656"/>
      <c r="BT218" s="656"/>
      <c r="BU218" s="656"/>
      <c r="BV218" s="656"/>
      <c r="BW218" s="656"/>
      <c r="BX218" s="656"/>
      <c r="BY218" s="656"/>
      <c r="BZ218" s="656"/>
      <c r="CA218" s="656"/>
      <c r="CB218" s="656">
        <v>7.5875000000000004</v>
      </c>
      <c r="CC218" s="656">
        <v>168.05940000000001</v>
      </c>
      <c r="CD218" s="656">
        <v>225.64693874</v>
      </c>
      <c r="CE218" s="656">
        <v>297.05943874000002</v>
      </c>
      <c r="CF218" s="656">
        <v>122.738</v>
      </c>
      <c r="CG218" s="656">
        <v>135.476</v>
      </c>
      <c r="CH218" s="656">
        <v>423.9375</v>
      </c>
      <c r="CI218" s="656">
        <v>431.52499999999998</v>
      </c>
      <c r="CJ218" s="656">
        <v>47.587499999999999</v>
      </c>
      <c r="CK218" s="656">
        <v>55.174999999999997</v>
      </c>
      <c r="CL218" s="656">
        <v>687.76250000000005</v>
      </c>
      <c r="CM218" s="656">
        <v>953.85</v>
      </c>
      <c r="CN218" s="656">
        <v>1149.07057672</v>
      </c>
      <c r="CO218" s="656">
        <v>2412.32953112</v>
      </c>
      <c r="CP218" s="656">
        <v>3259.55953112</v>
      </c>
      <c r="CQ218" s="656">
        <v>5944.1030000000001</v>
      </c>
      <c r="CR218" s="656">
        <v>1709.01</v>
      </c>
      <c r="CS218" s="656">
        <v>2595.7471028099999</v>
      </c>
      <c r="CT218" s="656">
        <v>3995.5381110999997</v>
      </c>
      <c r="CU218" s="656">
        <v>6011.3963000000003</v>
      </c>
      <c r="CV218" s="656">
        <v>1382.6949999999999</v>
      </c>
      <c r="CW218" s="656">
        <v>4428.4908999999998</v>
      </c>
      <c r="CX218" s="656">
        <v>6862.6409000000003</v>
      </c>
      <c r="CZ218" s="656" t="e">
        <v>#NAME?</v>
      </c>
      <c r="DB218" s="156" t="s">
        <v>306</v>
      </c>
      <c r="DG218" s="156">
        <v>3046.29</v>
      </c>
    </row>
    <row r="219" spans="1:111" ht="12.75">
      <c r="A219" s="165" t="s">
        <v>305</v>
      </c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6"/>
      <c r="P219" s="656"/>
      <c r="Q219" s="656"/>
      <c r="R219" s="656"/>
      <c r="S219" s="656"/>
      <c r="T219" s="656"/>
      <c r="U219" s="656">
        <v>38.927700000000002</v>
      </c>
      <c r="V219" s="656">
        <v>67.877543870000011</v>
      </c>
      <c r="W219" s="656">
        <v>150.92364184000002</v>
      </c>
      <c r="X219" s="656">
        <v>556.38190385999997</v>
      </c>
      <c r="Y219" s="656">
        <v>626.66607980999993</v>
      </c>
      <c r="Z219" s="656">
        <v>603.45240447000003</v>
      </c>
      <c r="AA219" s="656">
        <v>811.02757458000008</v>
      </c>
      <c r="AB219" s="656">
        <v>2051.2479089799999</v>
      </c>
      <c r="AC219" s="656"/>
      <c r="AD219" s="158"/>
      <c r="AE219" s="158"/>
      <c r="AF219" s="656"/>
      <c r="AG219" s="656"/>
      <c r="AH219" s="656"/>
      <c r="AI219" s="656"/>
      <c r="AJ219" s="656"/>
      <c r="AK219" s="656"/>
      <c r="AL219" s="656"/>
      <c r="AM219" s="656"/>
      <c r="AN219" s="656"/>
      <c r="AO219" s="656"/>
      <c r="AP219" s="656"/>
      <c r="AQ219" s="656"/>
      <c r="AR219" s="656"/>
      <c r="AS219" s="656"/>
      <c r="AT219" s="656"/>
      <c r="AU219" s="656"/>
      <c r="AV219" s="656"/>
      <c r="AW219" s="656"/>
      <c r="AX219" s="656"/>
      <c r="AY219" s="656"/>
      <c r="AZ219" s="656"/>
      <c r="BA219" s="656"/>
      <c r="BB219" s="656"/>
      <c r="BC219" s="656"/>
      <c r="BD219" s="656"/>
      <c r="BE219" s="656"/>
      <c r="BF219" s="656"/>
      <c r="BG219" s="656"/>
      <c r="BH219" s="656"/>
      <c r="BI219" s="656"/>
      <c r="BJ219" s="656"/>
      <c r="BK219" s="656"/>
      <c r="BL219" s="656"/>
      <c r="BM219" s="656"/>
      <c r="BN219" s="656"/>
      <c r="BO219" s="656"/>
      <c r="BP219" s="656"/>
      <c r="BQ219" s="656"/>
      <c r="BR219" s="656"/>
      <c r="BS219" s="656"/>
      <c r="BT219" s="656"/>
      <c r="BU219" s="656"/>
      <c r="BV219" s="656"/>
      <c r="BW219" s="656"/>
      <c r="BX219" s="656"/>
      <c r="BY219" s="656"/>
      <c r="BZ219" s="656"/>
      <c r="CA219" s="656"/>
      <c r="CB219" s="656">
        <v>2.9015093100000002</v>
      </c>
      <c r="CC219" s="656">
        <v>367.82929999999999</v>
      </c>
      <c r="CD219" s="656">
        <v>371.69146054999999</v>
      </c>
      <c r="CE219" s="656">
        <v>556.38190385999997</v>
      </c>
      <c r="CF219" s="656">
        <v>4.2514630000000002</v>
      </c>
      <c r="CG219" s="656">
        <v>7.92731545</v>
      </c>
      <c r="CH219" s="656">
        <v>617.08960948000004</v>
      </c>
      <c r="CI219" s="656">
        <v>626.66607980999993</v>
      </c>
      <c r="CJ219" s="656">
        <v>78.207115139999999</v>
      </c>
      <c r="CK219" s="656">
        <v>601.28637163999997</v>
      </c>
      <c r="CL219" s="656">
        <v>661.05775324000001</v>
      </c>
      <c r="CM219" s="656">
        <v>603.45240447000003</v>
      </c>
      <c r="CN219" s="656">
        <v>2.7069819100000001</v>
      </c>
      <c r="CO219" s="656">
        <v>764.20118500000001</v>
      </c>
      <c r="CP219" s="656">
        <v>805.24384171000008</v>
      </c>
      <c r="CQ219" s="656">
        <v>811.02757458000008</v>
      </c>
      <c r="CR219" s="656">
        <v>6.5965000099999997</v>
      </c>
      <c r="CS219" s="656">
        <v>1039.70008278</v>
      </c>
      <c r="CT219" s="656">
        <v>1331.63964351</v>
      </c>
      <c r="CU219" s="656">
        <v>2051.2479089799999</v>
      </c>
      <c r="CV219" s="656">
        <v>6.7273089199999996</v>
      </c>
      <c r="CW219" s="656">
        <v>1335.60807697</v>
      </c>
      <c r="CX219" s="656">
        <v>2664.5897884899996</v>
      </c>
      <c r="CZ219" s="656" t="e">
        <v>#NAME?</v>
      </c>
      <c r="DB219" s="156" t="s">
        <v>305</v>
      </c>
      <c r="DG219" s="156" t="e">
        <v>#VALUE!</v>
      </c>
    </row>
    <row r="220" spans="1:111" ht="12.75">
      <c r="A220" s="165" t="s">
        <v>304</v>
      </c>
      <c r="B220" s="656"/>
      <c r="C220" s="656"/>
      <c r="D220" s="656"/>
      <c r="E220" s="656"/>
      <c r="F220" s="656"/>
      <c r="G220" s="656"/>
      <c r="H220" s="656"/>
      <c r="I220" s="656"/>
      <c r="J220" s="656"/>
      <c r="K220" s="656"/>
      <c r="L220" s="656"/>
      <c r="M220" s="656"/>
      <c r="N220" s="656"/>
      <c r="O220" s="656"/>
      <c r="P220" s="656"/>
      <c r="Q220" s="656"/>
      <c r="R220" s="656"/>
      <c r="S220" s="656"/>
      <c r="T220" s="656"/>
      <c r="U220" s="656"/>
      <c r="V220" s="656"/>
      <c r="W220" s="656"/>
      <c r="X220" s="656"/>
      <c r="Y220" s="656">
        <v>0</v>
      </c>
      <c r="Z220" s="656"/>
      <c r="AA220" s="656"/>
      <c r="AB220" s="656">
        <v>0</v>
      </c>
      <c r="AC220" s="656"/>
      <c r="AD220" s="158"/>
      <c r="AE220" s="158"/>
      <c r="AF220" s="656"/>
      <c r="AG220" s="656"/>
      <c r="AH220" s="656"/>
      <c r="AI220" s="656"/>
      <c r="AJ220" s="656"/>
      <c r="AK220" s="656"/>
      <c r="AL220" s="656"/>
      <c r="AM220" s="656"/>
      <c r="AN220" s="656"/>
      <c r="AO220" s="656"/>
      <c r="AP220" s="656"/>
      <c r="AQ220" s="656"/>
      <c r="AR220" s="656"/>
      <c r="AS220" s="656"/>
      <c r="AT220" s="656"/>
      <c r="AU220" s="656"/>
      <c r="AV220" s="656"/>
      <c r="AW220" s="656"/>
      <c r="AX220" s="656"/>
      <c r="AY220" s="656"/>
      <c r="AZ220" s="656"/>
      <c r="BA220" s="656"/>
      <c r="BB220" s="656"/>
      <c r="BC220" s="656"/>
      <c r="BD220" s="656"/>
      <c r="BE220" s="656"/>
      <c r="BF220" s="656"/>
      <c r="BG220" s="656"/>
      <c r="BH220" s="656"/>
      <c r="BI220" s="656"/>
      <c r="BJ220" s="656"/>
      <c r="BK220" s="656"/>
      <c r="BL220" s="656"/>
      <c r="BM220" s="656"/>
      <c r="BN220" s="656"/>
      <c r="BO220" s="656"/>
      <c r="BP220" s="656"/>
      <c r="BQ220" s="656"/>
      <c r="BR220" s="656"/>
      <c r="BS220" s="656"/>
      <c r="BT220" s="656"/>
      <c r="BU220" s="656"/>
      <c r="BV220" s="656"/>
      <c r="BW220" s="656"/>
      <c r="BX220" s="656"/>
      <c r="BY220" s="656"/>
      <c r="BZ220" s="656"/>
      <c r="CA220" s="656"/>
      <c r="CB220" s="656"/>
      <c r="CC220" s="656"/>
      <c r="CD220" s="656"/>
      <c r="CE220" s="656"/>
      <c r="CF220" s="656"/>
      <c r="CG220" s="656"/>
      <c r="CH220" s="656"/>
      <c r="CI220" s="656"/>
      <c r="CJ220" s="656"/>
      <c r="CK220" s="656"/>
      <c r="CL220" s="656"/>
      <c r="CM220" s="656"/>
      <c r="CN220" s="656"/>
      <c r="CO220" s="656"/>
      <c r="CP220" s="656"/>
      <c r="CQ220" s="656"/>
      <c r="CR220" s="656"/>
      <c r="CS220" s="656">
        <v>0</v>
      </c>
      <c r="CT220" s="656">
        <v>0</v>
      </c>
      <c r="CU220" s="656">
        <v>0</v>
      </c>
      <c r="CV220" s="656">
        <v>0</v>
      </c>
      <c r="CW220" s="656">
        <v>0</v>
      </c>
      <c r="CX220" s="656">
        <v>0</v>
      </c>
      <c r="CZ220" s="656" t="e">
        <v>#NAME?</v>
      </c>
      <c r="DB220" s="156" t="s">
        <v>304</v>
      </c>
      <c r="DG220" s="156" t="e">
        <v>#VALUE!</v>
      </c>
    </row>
    <row r="221" spans="1:111" ht="12.75">
      <c r="A221" s="165" t="s">
        <v>303</v>
      </c>
      <c r="B221" s="656"/>
      <c r="C221" s="656"/>
      <c r="D221" s="656"/>
      <c r="E221" s="656"/>
      <c r="F221" s="656"/>
      <c r="G221" s="656"/>
      <c r="H221" s="656"/>
      <c r="I221" s="656"/>
      <c r="J221" s="656"/>
      <c r="K221" s="656"/>
      <c r="L221" s="656"/>
      <c r="M221" s="656"/>
      <c r="N221" s="656"/>
      <c r="O221" s="656"/>
      <c r="P221" s="656"/>
      <c r="Q221" s="656"/>
      <c r="R221" s="656"/>
      <c r="S221" s="656"/>
      <c r="T221" s="656"/>
      <c r="U221" s="656">
        <v>12.2356</v>
      </c>
      <c r="V221" s="656">
        <v>17.359461870000001</v>
      </c>
      <c r="W221" s="656">
        <v>5.6988071299999996</v>
      </c>
      <c r="X221" s="656">
        <v>4.4767693899999994</v>
      </c>
      <c r="Y221" s="656">
        <v>123.79401187000001</v>
      </c>
      <c r="Z221" s="656">
        <v>128.19505681999999</v>
      </c>
      <c r="AA221" s="656">
        <v>323.89949748999999</v>
      </c>
      <c r="AB221" s="656">
        <v>19.894124340000001</v>
      </c>
      <c r="AC221" s="656"/>
      <c r="AD221" s="158"/>
      <c r="AE221" s="158"/>
      <c r="AF221" s="656"/>
      <c r="AG221" s="656"/>
      <c r="AH221" s="656"/>
      <c r="AI221" s="656"/>
      <c r="AJ221" s="656"/>
      <c r="AK221" s="656"/>
      <c r="AL221" s="656"/>
      <c r="AM221" s="656"/>
      <c r="AN221" s="656"/>
      <c r="AO221" s="656"/>
      <c r="AP221" s="656"/>
      <c r="AQ221" s="656"/>
      <c r="AR221" s="656"/>
      <c r="AS221" s="656"/>
      <c r="AT221" s="656"/>
      <c r="AU221" s="656"/>
      <c r="AV221" s="656"/>
      <c r="AW221" s="656"/>
      <c r="AX221" s="656"/>
      <c r="AY221" s="656"/>
      <c r="AZ221" s="656"/>
      <c r="BA221" s="656"/>
      <c r="BB221" s="656"/>
      <c r="BC221" s="656"/>
      <c r="BD221" s="656"/>
      <c r="BE221" s="656"/>
      <c r="BF221" s="656"/>
      <c r="BG221" s="656"/>
      <c r="BH221" s="656"/>
      <c r="BI221" s="656"/>
      <c r="BJ221" s="656"/>
      <c r="BK221" s="656"/>
      <c r="BL221" s="656"/>
      <c r="BM221" s="656"/>
      <c r="BN221" s="656"/>
      <c r="BO221" s="656"/>
      <c r="BP221" s="656"/>
      <c r="BQ221" s="656"/>
      <c r="BR221" s="656"/>
      <c r="BS221" s="656"/>
      <c r="BT221" s="656"/>
      <c r="BU221" s="656"/>
      <c r="BV221" s="656"/>
      <c r="BW221" s="656"/>
      <c r="BX221" s="656"/>
      <c r="BY221" s="656"/>
      <c r="BZ221" s="656"/>
      <c r="CA221" s="656"/>
      <c r="CB221" s="656"/>
      <c r="CC221" s="656">
        <v>3.0594999999999999</v>
      </c>
      <c r="CD221" s="656">
        <v>3.0595305000000002</v>
      </c>
      <c r="CE221" s="656">
        <v>4.4767693899999994</v>
      </c>
      <c r="CF221" s="656">
        <v>2.8615889000000001</v>
      </c>
      <c r="CG221" s="656">
        <v>114.59162070000001</v>
      </c>
      <c r="CH221" s="656">
        <v>117.92980612999999</v>
      </c>
      <c r="CI221" s="656">
        <v>123.79401187000001</v>
      </c>
      <c r="CJ221" s="656">
        <v>4.1197143900000004</v>
      </c>
      <c r="CK221" s="656">
        <v>87.607352269999993</v>
      </c>
      <c r="CL221" s="656">
        <v>132.77245213</v>
      </c>
      <c r="CM221" s="656">
        <v>128.19505681999999</v>
      </c>
      <c r="CN221" s="656">
        <v>3.8943483900000002</v>
      </c>
      <c r="CO221" s="656">
        <v>10.08715376</v>
      </c>
      <c r="CP221" s="656">
        <v>208.43477328</v>
      </c>
      <c r="CQ221" s="656">
        <v>323.89949748999999</v>
      </c>
      <c r="CR221" s="656">
        <v>17.249891909999999</v>
      </c>
      <c r="CS221" s="656">
        <v>376.09860173999999</v>
      </c>
      <c r="CT221" s="656">
        <v>402.51536912</v>
      </c>
      <c r="CU221" s="656">
        <v>19.894124340000001</v>
      </c>
      <c r="CV221" s="656">
        <v>4.2720415300000001</v>
      </c>
      <c r="CW221" s="656">
        <v>21.124288539999998</v>
      </c>
      <c r="CX221" s="656">
        <v>31.385037190000002</v>
      </c>
      <c r="CZ221" s="656" t="e">
        <v>#NAME?</v>
      </c>
      <c r="DB221" s="156" t="s">
        <v>303</v>
      </c>
      <c r="DG221" s="156">
        <v>-3.79</v>
      </c>
    </row>
    <row r="222" spans="1:111" ht="12.75">
      <c r="A222" s="165" t="s">
        <v>302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>
        <v>0</v>
      </c>
      <c r="Z222" s="656"/>
      <c r="AA222" s="656"/>
      <c r="AB222" s="656">
        <v>0</v>
      </c>
      <c r="AC222" s="656"/>
      <c r="AD222" s="158"/>
      <c r="AE222" s="158"/>
      <c r="AF222" s="656"/>
      <c r="AG222" s="656"/>
      <c r="AH222" s="656"/>
      <c r="AI222" s="656"/>
      <c r="AJ222" s="656"/>
      <c r="AK222" s="656"/>
      <c r="AL222" s="656"/>
      <c r="AM222" s="656"/>
      <c r="AN222" s="656"/>
      <c r="AO222" s="656"/>
      <c r="AP222" s="656"/>
      <c r="AQ222" s="656"/>
      <c r="AR222" s="656"/>
      <c r="AS222" s="656"/>
      <c r="AT222" s="656"/>
      <c r="AU222" s="656"/>
      <c r="AV222" s="656"/>
      <c r="AW222" s="656"/>
      <c r="AX222" s="656"/>
      <c r="AY222" s="656"/>
      <c r="AZ222" s="656"/>
      <c r="BA222" s="656"/>
      <c r="BB222" s="656"/>
      <c r="BC222" s="656"/>
      <c r="BD222" s="656"/>
      <c r="BE222" s="656"/>
      <c r="BF222" s="656"/>
      <c r="BG222" s="656"/>
      <c r="BH222" s="656"/>
      <c r="BI222" s="656"/>
      <c r="BJ222" s="656"/>
      <c r="BK222" s="656"/>
      <c r="BL222" s="656"/>
      <c r="BM222" s="656"/>
      <c r="BN222" s="656"/>
      <c r="BO222" s="656"/>
      <c r="BP222" s="656"/>
      <c r="BQ222" s="656"/>
      <c r="BR222" s="656"/>
      <c r="BS222" s="656"/>
      <c r="BT222" s="656"/>
      <c r="BU222" s="656"/>
      <c r="BV222" s="656"/>
      <c r="BW222" s="656"/>
      <c r="BX222" s="656"/>
      <c r="BY222" s="656"/>
      <c r="BZ222" s="656"/>
      <c r="CA222" s="656"/>
      <c r="CB222" s="656"/>
      <c r="CC222" s="656"/>
      <c r="CD222" s="656"/>
      <c r="CE222" s="656"/>
      <c r="CF222" s="656"/>
      <c r="CG222" s="656"/>
      <c r="CH222" s="656"/>
      <c r="CI222" s="656"/>
      <c r="CJ222" s="656"/>
      <c r="CK222" s="656"/>
      <c r="CL222" s="656"/>
      <c r="CM222" s="656"/>
      <c r="CN222" s="656"/>
      <c r="CO222" s="656"/>
      <c r="CP222" s="656"/>
      <c r="CQ222" s="656"/>
      <c r="CR222" s="656"/>
      <c r="CS222" s="656">
        <v>0</v>
      </c>
      <c r="CT222" s="656">
        <v>0</v>
      </c>
      <c r="CU222" s="656">
        <v>0</v>
      </c>
      <c r="CV222" s="656">
        <v>0</v>
      </c>
      <c r="CW222" s="656">
        <v>0</v>
      </c>
      <c r="CX222" s="656">
        <v>0</v>
      </c>
      <c r="CZ222" s="656" t="e">
        <v>#NAME?</v>
      </c>
      <c r="DB222" s="156" t="s">
        <v>302</v>
      </c>
      <c r="DG222" s="156" t="e">
        <v>#VALUE!</v>
      </c>
    </row>
    <row r="223" spans="1:111" ht="12.75">
      <c r="A223" s="165" t="s">
        <v>301</v>
      </c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6"/>
      <c r="P223" s="656"/>
      <c r="Q223" s="656"/>
      <c r="R223" s="656"/>
      <c r="S223" s="656"/>
      <c r="T223" s="656"/>
      <c r="U223" s="656"/>
      <c r="V223" s="656"/>
      <c r="W223" s="656"/>
      <c r="X223" s="656"/>
      <c r="Y223" s="656">
        <v>0</v>
      </c>
      <c r="Z223" s="656"/>
      <c r="AA223" s="656"/>
      <c r="AB223" s="656">
        <v>0</v>
      </c>
      <c r="AC223" s="656"/>
      <c r="AD223" s="158"/>
      <c r="AE223" s="158"/>
      <c r="AF223" s="656"/>
      <c r="AG223" s="656"/>
      <c r="AH223" s="656"/>
      <c r="AI223" s="656"/>
      <c r="AJ223" s="656"/>
      <c r="AK223" s="656"/>
      <c r="AL223" s="656"/>
      <c r="AM223" s="656"/>
      <c r="AN223" s="656"/>
      <c r="AO223" s="656"/>
      <c r="AP223" s="656"/>
      <c r="AQ223" s="656"/>
      <c r="AR223" s="656"/>
      <c r="AS223" s="656"/>
      <c r="AT223" s="656"/>
      <c r="AU223" s="656"/>
      <c r="AV223" s="656"/>
      <c r="AW223" s="656"/>
      <c r="AX223" s="656"/>
      <c r="AY223" s="656"/>
      <c r="AZ223" s="656"/>
      <c r="BA223" s="656"/>
      <c r="BB223" s="656"/>
      <c r="BC223" s="656"/>
      <c r="BD223" s="656"/>
      <c r="BE223" s="656"/>
      <c r="BF223" s="656"/>
      <c r="BG223" s="656"/>
      <c r="BH223" s="656"/>
      <c r="BI223" s="656"/>
      <c r="BJ223" s="656"/>
      <c r="BK223" s="656"/>
      <c r="BL223" s="656"/>
      <c r="BM223" s="656"/>
      <c r="BN223" s="656"/>
      <c r="BO223" s="656"/>
      <c r="BP223" s="656"/>
      <c r="BQ223" s="656"/>
      <c r="BR223" s="656"/>
      <c r="BS223" s="656"/>
      <c r="BT223" s="656"/>
      <c r="BU223" s="656"/>
      <c r="BV223" s="656"/>
      <c r="BW223" s="656"/>
      <c r="BX223" s="656"/>
      <c r="BY223" s="656"/>
      <c r="BZ223" s="656"/>
      <c r="CA223" s="656"/>
      <c r="CB223" s="656"/>
      <c r="CC223" s="656"/>
      <c r="CD223" s="656"/>
      <c r="CE223" s="656"/>
      <c r="CF223" s="656"/>
      <c r="CG223" s="656"/>
      <c r="CH223" s="656"/>
      <c r="CI223" s="656"/>
      <c r="CJ223" s="656"/>
      <c r="CK223" s="656"/>
      <c r="CL223" s="656"/>
      <c r="CM223" s="656"/>
      <c r="CN223" s="656"/>
      <c r="CO223" s="656"/>
      <c r="CP223" s="656"/>
      <c r="CQ223" s="656"/>
      <c r="CR223" s="656"/>
      <c r="CS223" s="656">
        <v>0</v>
      </c>
      <c r="CT223" s="656">
        <v>0</v>
      </c>
      <c r="CU223" s="656">
        <v>0</v>
      </c>
      <c r="CV223" s="656">
        <v>0</v>
      </c>
      <c r="CW223" s="656">
        <v>0</v>
      </c>
      <c r="CX223" s="656">
        <v>0</v>
      </c>
      <c r="CZ223" s="656" t="e">
        <v>#NAME?</v>
      </c>
      <c r="DB223" s="156" t="s">
        <v>301</v>
      </c>
      <c r="DG223" s="156">
        <v>5789.41</v>
      </c>
    </row>
    <row r="224" spans="1:111" ht="12.75">
      <c r="A224" s="165" t="s">
        <v>300</v>
      </c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6"/>
      <c r="P224" s="656"/>
      <c r="Q224" s="656"/>
      <c r="R224" s="656"/>
      <c r="S224" s="656"/>
      <c r="T224" s="656"/>
      <c r="U224" s="656">
        <v>244.16329999999999</v>
      </c>
      <c r="V224" s="656">
        <v>307.23700574000003</v>
      </c>
      <c r="W224" s="656">
        <v>523.54851267000004</v>
      </c>
      <c r="X224" s="656">
        <v>857.91811199000006</v>
      </c>
      <c r="Y224" s="656">
        <v>1181.9850916800001</v>
      </c>
      <c r="Z224" s="656">
        <v>1685.49746129</v>
      </c>
      <c r="AA224" s="656">
        <v>7079.0300720699997</v>
      </c>
      <c r="AB224" s="656">
        <v>8082.5383333199998</v>
      </c>
      <c r="AC224" s="656"/>
      <c r="AD224" s="158"/>
      <c r="AE224" s="158"/>
      <c r="AF224" s="656"/>
      <c r="AG224" s="656"/>
      <c r="AH224" s="656"/>
      <c r="AI224" s="656"/>
      <c r="AJ224" s="656"/>
      <c r="AK224" s="656"/>
      <c r="AL224" s="656"/>
      <c r="AM224" s="656"/>
      <c r="AN224" s="656"/>
      <c r="AO224" s="656"/>
      <c r="AP224" s="656"/>
      <c r="AQ224" s="656"/>
      <c r="AR224" s="656"/>
      <c r="AS224" s="656"/>
      <c r="AT224" s="656"/>
      <c r="AU224" s="656"/>
      <c r="AV224" s="656"/>
      <c r="AW224" s="656"/>
      <c r="AX224" s="656"/>
      <c r="AY224" s="656"/>
      <c r="AZ224" s="656"/>
      <c r="BA224" s="656"/>
      <c r="BB224" s="656"/>
      <c r="BC224" s="656"/>
      <c r="BD224" s="656"/>
      <c r="BE224" s="656"/>
      <c r="BF224" s="656"/>
      <c r="BG224" s="656"/>
      <c r="BH224" s="656"/>
      <c r="BI224" s="656"/>
      <c r="BJ224" s="656"/>
      <c r="BK224" s="656"/>
      <c r="BL224" s="656"/>
      <c r="BM224" s="656"/>
      <c r="BN224" s="656"/>
      <c r="BO224" s="656"/>
      <c r="BP224" s="656"/>
      <c r="BQ224" s="656"/>
      <c r="BR224" s="656"/>
      <c r="BS224" s="656"/>
      <c r="BT224" s="656"/>
      <c r="BU224" s="656"/>
      <c r="BV224" s="656"/>
      <c r="BW224" s="656"/>
      <c r="BX224" s="656"/>
      <c r="BY224" s="656"/>
      <c r="BZ224" s="656"/>
      <c r="CA224" s="656"/>
      <c r="CB224" s="656">
        <v>10.48900931</v>
      </c>
      <c r="CC224" s="656">
        <v>538.94820000000004</v>
      </c>
      <c r="CD224" s="656">
        <v>600.39792978999992</v>
      </c>
      <c r="CE224" s="656">
        <v>857.91811199000006</v>
      </c>
      <c r="CF224" s="656">
        <v>129.85105190000002</v>
      </c>
      <c r="CG224" s="656">
        <v>257.99493615</v>
      </c>
      <c r="CH224" s="656">
        <v>1158.9569156099999</v>
      </c>
      <c r="CI224" s="656">
        <v>1181.9850916800001</v>
      </c>
      <c r="CJ224" s="656">
        <v>129.91432953</v>
      </c>
      <c r="CK224" s="656">
        <v>744.06872391000002</v>
      </c>
      <c r="CL224" s="656">
        <v>1481.59270537</v>
      </c>
      <c r="CM224" s="656">
        <v>1685.49746129</v>
      </c>
      <c r="CN224" s="656">
        <v>1155.6719070199999</v>
      </c>
      <c r="CO224" s="656">
        <v>3186.6178698799999</v>
      </c>
      <c r="CP224" s="656">
        <v>4273.2381461100003</v>
      </c>
      <c r="CQ224" s="656">
        <v>7079.0300720699997</v>
      </c>
      <c r="CR224" s="656">
        <v>1732.8563919200001</v>
      </c>
      <c r="CS224" s="656">
        <v>4011.5457873299997</v>
      </c>
      <c r="CT224" s="656">
        <v>5729.6931237299996</v>
      </c>
      <c r="CU224" s="656">
        <v>8082.5383333199998</v>
      </c>
      <c r="CV224" s="656">
        <v>1393.69435045</v>
      </c>
      <c r="CW224" s="656">
        <v>5785.2232655100006</v>
      </c>
      <c r="CX224" s="656">
        <v>9558.6157256799997</v>
      </c>
      <c r="CZ224" s="656" t="e">
        <v>#NAME?</v>
      </c>
      <c r="DB224" s="156" t="s">
        <v>300</v>
      </c>
      <c r="DG224" s="156" t="e">
        <v>#VALUE!</v>
      </c>
    </row>
    <row r="225" spans="1:111" ht="12.75">
      <c r="A225" s="165" t="s">
        <v>299</v>
      </c>
      <c r="B225" s="656"/>
      <c r="C225" s="656"/>
      <c r="D225" s="656"/>
      <c r="E225" s="656"/>
      <c r="F225" s="656"/>
      <c r="G225" s="656"/>
      <c r="H225" s="656"/>
      <c r="I225" s="656"/>
      <c r="J225" s="656"/>
      <c r="K225" s="656"/>
      <c r="L225" s="656"/>
      <c r="M225" s="656"/>
      <c r="N225" s="656"/>
      <c r="O225" s="656"/>
      <c r="P225" s="656"/>
      <c r="Q225" s="656"/>
      <c r="R225" s="656"/>
      <c r="S225" s="656"/>
      <c r="T225" s="656"/>
      <c r="U225" s="656"/>
      <c r="V225" s="656"/>
      <c r="W225" s="656"/>
      <c r="X225" s="656"/>
      <c r="Y225" s="656">
        <v>0</v>
      </c>
      <c r="Z225" s="656"/>
      <c r="AA225" s="656"/>
      <c r="AB225" s="656">
        <v>0</v>
      </c>
      <c r="AC225" s="656"/>
      <c r="AD225" s="158"/>
      <c r="AE225" s="158"/>
      <c r="AF225" s="656"/>
      <c r="AG225" s="656"/>
      <c r="AH225" s="656"/>
      <c r="AI225" s="656"/>
      <c r="AJ225" s="656"/>
      <c r="AK225" s="656"/>
      <c r="AL225" s="656"/>
      <c r="AM225" s="656"/>
      <c r="AN225" s="656"/>
      <c r="AO225" s="656"/>
      <c r="AP225" s="656"/>
      <c r="AQ225" s="656"/>
      <c r="AR225" s="656"/>
      <c r="AS225" s="656"/>
      <c r="AT225" s="656"/>
      <c r="AU225" s="656"/>
      <c r="AV225" s="656"/>
      <c r="AW225" s="656"/>
      <c r="AX225" s="656"/>
      <c r="AY225" s="656"/>
      <c r="AZ225" s="656"/>
      <c r="BA225" s="656"/>
      <c r="BB225" s="656"/>
      <c r="BC225" s="656"/>
      <c r="BD225" s="656"/>
      <c r="BE225" s="656"/>
      <c r="BF225" s="656"/>
      <c r="BG225" s="656"/>
      <c r="BH225" s="656"/>
      <c r="BI225" s="656"/>
      <c r="BJ225" s="656"/>
      <c r="BK225" s="656"/>
      <c r="BL225" s="656"/>
      <c r="BM225" s="656"/>
      <c r="BN225" s="656"/>
      <c r="BO225" s="656"/>
      <c r="BP225" s="656"/>
      <c r="BQ225" s="656"/>
      <c r="BR225" s="656"/>
      <c r="BS225" s="656"/>
      <c r="BT225" s="656"/>
      <c r="BU225" s="656"/>
      <c r="BV225" s="656"/>
      <c r="BW225" s="656"/>
      <c r="BX225" s="656"/>
      <c r="BY225" s="656"/>
      <c r="BZ225" s="656"/>
      <c r="CA225" s="656"/>
      <c r="CB225" s="656"/>
      <c r="CC225" s="656"/>
      <c r="CD225" s="656"/>
      <c r="CE225" s="656"/>
      <c r="CF225" s="656"/>
      <c r="CG225" s="656"/>
      <c r="CH225" s="656"/>
      <c r="CI225" s="656"/>
      <c r="CJ225" s="656"/>
      <c r="CK225" s="656"/>
      <c r="CL225" s="656"/>
      <c r="CM225" s="656"/>
      <c r="CN225" s="656"/>
      <c r="CO225" s="656"/>
      <c r="CP225" s="656"/>
      <c r="CQ225" s="656"/>
      <c r="CR225" s="656"/>
      <c r="CS225" s="656">
        <v>0</v>
      </c>
      <c r="CT225" s="656">
        <v>0</v>
      </c>
      <c r="CU225" s="656">
        <v>0</v>
      </c>
      <c r="CV225" s="656">
        <v>0</v>
      </c>
      <c r="CW225" s="656">
        <v>0</v>
      </c>
      <c r="CX225" s="656">
        <v>0</v>
      </c>
      <c r="CZ225" s="656" t="e">
        <v>#NAME?</v>
      </c>
      <c r="DB225" s="156" t="s">
        <v>299</v>
      </c>
      <c r="DG225" s="156" t="e">
        <v>#VALUE!</v>
      </c>
    </row>
    <row r="226" spans="1:111" ht="12.75">
      <c r="A226" s="167" t="s">
        <v>298</v>
      </c>
      <c r="B226" s="655"/>
      <c r="C226" s="655"/>
      <c r="D226" s="655"/>
      <c r="E226" s="655"/>
      <c r="F226" s="655"/>
      <c r="G226" s="655"/>
      <c r="H226" s="655"/>
      <c r="I226" s="655"/>
      <c r="J226" s="655"/>
      <c r="K226" s="655"/>
      <c r="L226" s="655"/>
      <c r="M226" s="655"/>
      <c r="N226" s="655"/>
      <c r="O226" s="655"/>
      <c r="P226" s="655"/>
      <c r="Q226" s="655"/>
      <c r="R226" s="655"/>
      <c r="S226" s="655"/>
      <c r="T226" s="655"/>
      <c r="U226" s="655">
        <v>243.33670000000001</v>
      </c>
      <c r="V226" s="655">
        <v>-52.439161009999999</v>
      </c>
      <c r="W226" s="655">
        <v>-57.402293700000001</v>
      </c>
      <c r="X226" s="655">
        <v>-334.03367324999999</v>
      </c>
      <c r="Y226" s="655">
        <v>1306.7776083199999</v>
      </c>
      <c r="Z226" s="655">
        <v>1764.2234635499999</v>
      </c>
      <c r="AA226" s="655">
        <v>-1057.90464537</v>
      </c>
      <c r="AB226" s="655">
        <v>1507.4497658399998</v>
      </c>
      <c r="AC226" s="655"/>
      <c r="AD226" s="158"/>
      <c r="AE226" s="158"/>
      <c r="AF226" s="655"/>
      <c r="AG226" s="655"/>
      <c r="AH226" s="655"/>
      <c r="AI226" s="655"/>
      <c r="AJ226" s="655"/>
      <c r="AK226" s="655"/>
      <c r="AL226" s="655"/>
      <c r="AM226" s="655"/>
      <c r="AN226" s="655"/>
      <c r="AO226" s="655"/>
      <c r="AP226" s="655"/>
      <c r="AQ226" s="655"/>
      <c r="AR226" s="655"/>
      <c r="AS226" s="655"/>
      <c r="AT226" s="655"/>
      <c r="AU226" s="655"/>
      <c r="AV226" s="655"/>
      <c r="AW226" s="655"/>
      <c r="AX226" s="655"/>
      <c r="AY226" s="655"/>
      <c r="AZ226" s="655"/>
      <c r="BA226" s="655"/>
      <c r="BB226" s="655"/>
      <c r="BC226" s="655"/>
      <c r="BD226" s="655"/>
      <c r="BE226" s="655"/>
      <c r="BF226" s="655"/>
      <c r="BG226" s="655"/>
      <c r="BH226" s="655"/>
      <c r="BI226" s="655"/>
      <c r="BJ226" s="655"/>
      <c r="BK226" s="655"/>
      <c r="BL226" s="655"/>
      <c r="BM226" s="655"/>
      <c r="BN226" s="655"/>
      <c r="BO226" s="655"/>
      <c r="BP226" s="655"/>
      <c r="BQ226" s="655"/>
      <c r="BR226" s="655"/>
      <c r="BS226" s="655"/>
      <c r="BT226" s="655"/>
      <c r="BU226" s="655"/>
      <c r="BV226" s="655"/>
      <c r="BW226" s="655"/>
      <c r="BX226" s="655"/>
      <c r="BY226" s="655"/>
      <c r="BZ226" s="655"/>
      <c r="CA226" s="655"/>
      <c r="CB226" s="655">
        <v>162.39542943000001</v>
      </c>
      <c r="CC226" s="655">
        <v>-313.06380000000001</v>
      </c>
      <c r="CD226" s="655">
        <v>-258.51349105000003</v>
      </c>
      <c r="CE226" s="655">
        <v>-334.03367324999999</v>
      </c>
      <c r="CF226" s="655">
        <v>-115.8510519</v>
      </c>
      <c r="CG226" s="655">
        <v>1607.2677638499999</v>
      </c>
      <c r="CH226" s="655">
        <v>996.30578438999999</v>
      </c>
      <c r="CI226" s="655">
        <v>1306.7776083199999</v>
      </c>
      <c r="CJ226" s="655">
        <v>688.08567047000008</v>
      </c>
      <c r="CK226" s="655">
        <v>866.55319429999997</v>
      </c>
      <c r="CL226" s="655">
        <v>1062.13729463</v>
      </c>
      <c r="CM226" s="655">
        <v>1764.2234635499999</v>
      </c>
      <c r="CN226" s="655">
        <v>249.48978950999998</v>
      </c>
      <c r="CO226" s="655">
        <v>6.2119022199999998</v>
      </c>
      <c r="CP226" s="655">
        <v>151.83514671</v>
      </c>
      <c r="CQ226" s="655">
        <v>-1057.90464537</v>
      </c>
      <c r="CR226" s="655">
        <v>416.46089439999997</v>
      </c>
      <c r="CS226" s="655">
        <v>1844.2563732000001</v>
      </c>
      <c r="CT226" s="655">
        <v>2414.4831586099999</v>
      </c>
      <c r="CU226" s="655">
        <v>1507.4497658399998</v>
      </c>
      <c r="CV226" s="655">
        <v>-510.69435045</v>
      </c>
      <c r="CW226" s="655">
        <v>-1788.0632655100001</v>
      </c>
      <c r="CX226" s="655">
        <v>-2275.4857256799996</v>
      </c>
      <c r="CZ226" s="655" t="e">
        <v>#NAME?</v>
      </c>
      <c r="DB226" s="156" t="s">
        <v>298</v>
      </c>
      <c r="DG226" s="156" t="e">
        <v>#VALUE!</v>
      </c>
    </row>
    <row r="227" spans="1:111">
      <c r="A227" s="167" t="s">
        <v>297</v>
      </c>
      <c r="B227" s="658"/>
      <c r="C227" s="658"/>
      <c r="D227" s="658"/>
      <c r="E227" s="658"/>
      <c r="F227" s="658"/>
      <c r="G227" s="658"/>
      <c r="H227" s="658"/>
      <c r="I227" s="658"/>
      <c r="J227" s="658"/>
      <c r="K227" s="658"/>
      <c r="L227" s="658"/>
      <c r="M227" s="658"/>
      <c r="N227" s="658"/>
      <c r="O227" s="658"/>
      <c r="P227" s="658"/>
      <c r="Q227" s="658"/>
      <c r="R227" s="658"/>
      <c r="S227" s="658"/>
      <c r="T227" s="658"/>
      <c r="U227" s="658"/>
      <c r="V227" s="658"/>
      <c r="W227" s="658"/>
      <c r="X227" s="658"/>
      <c r="Y227" s="658"/>
      <c r="Z227" s="658"/>
      <c r="AA227" s="658"/>
      <c r="AB227" s="658"/>
      <c r="AC227" s="658"/>
      <c r="AD227" s="158"/>
      <c r="AE227" s="158"/>
      <c r="AF227" s="658"/>
      <c r="AG227" s="658"/>
      <c r="AH227" s="658"/>
      <c r="AI227" s="658"/>
      <c r="AJ227" s="658"/>
      <c r="AK227" s="658"/>
      <c r="AL227" s="658"/>
      <c r="AM227" s="658"/>
      <c r="AN227" s="658"/>
      <c r="AO227" s="658"/>
      <c r="AP227" s="658"/>
      <c r="AQ227" s="658"/>
      <c r="AR227" s="658"/>
      <c r="AS227" s="658"/>
      <c r="AT227" s="658"/>
      <c r="AU227" s="658"/>
      <c r="AV227" s="658"/>
      <c r="AW227" s="658"/>
      <c r="AX227" s="658"/>
      <c r="AY227" s="658"/>
      <c r="AZ227" s="658"/>
      <c r="BA227" s="658"/>
      <c r="BB227" s="658"/>
      <c r="BC227" s="658"/>
      <c r="BD227" s="658"/>
      <c r="BE227" s="658"/>
      <c r="BF227" s="658"/>
      <c r="BG227" s="658"/>
      <c r="BH227" s="658"/>
      <c r="BI227" s="658"/>
      <c r="BJ227" s="658"/>
      <c r="BK227" s="658"/>
      <c r="BL227" s="658"/>
      <c r="BM227" s="658"/>
      <c r="BN227" s="658"/>
      <c r="BO227" s="658"/>
      <c r="BP227" s="658"/>
      <c r="BQ227" s="658"/>
      <c r="BR227" s="658"/>
      <c r="BS227" s="658"/>
      <c r="BT227" s="658"/>
      <c r="BU227" s="658"/>
      <c r="BV227" s="658"/>
      <c r="BW227" s="658"/>
      <c r="BX227" s="658"/>
      <c r="BY227" s="658"/>
      <c r="BZ227" s="658"/>
      <c r="CA227" s="658"/>
      <c r="CB227" s="658"/>
      <c r="CC227" s="658"/>
      <c r="CD227" s="658"/>
      <c r="CE227" s="658"/>
      <c r="CF227" s="658"/>
      <c r="CG227" s="658"/>
      <c r="CH227" s="658"/>
      <c r="CI227" s="658"/>
      <c r="CJ227" s="658"/>
      <c r="CK227" s="658"/>
      <c r="CL227" s="658"/>
      <c r="CM227" s="658"/>
      <c r="CN227" s="658"/>
      <c r="CO227" s="658"/>
      <c r="CP227" s="658"/>
      <c r="CQ227" s="658"/>
      <c r="CR227" s="658"/>
      <c r="CS227" s="658"/>
      <c r="CT227" s="658"/>
      <c r="CU227" s="658"/>
      <c r="CV227" s="658"/>
      <c r="CW227" s="658"/>
      <c r="CX227" s="658"/>
      <c r="CZ227" s="658"/>
      <c r="DB227" s="156" t="s">
        <v>297</v>
      </c>
      <c r="DG227" s="156">
        <v>3328.16</v>
      </c>
    </row>
    <row r="228" spans="1:111" ht="12.75">
      <c r="A228" s="165" t="s">
        <v>296</v>
      </c>
      <c r="B228" s="656"/>
      <c r="C228" s="656"/>
      <c r="D228" s="656"/>
      <c r="E228" s="656"/>
      <c r="F228" s="656"/>
      <c r="G228" s="656"/>
      <c r="H228" s="656"/>
      <c r="I228" s="656"/>
      <c r="J228" s="656"/>
      <c r="K228" s="656"/>
      <c r="L228" s="656"/>
      <c r="M228" s="656"/>
      <c r="N228" s="656"/>
      <c r="O228" s="656"/>
      <c r="P228" s="656"/>
      <c r="Q228" s="656"/>
      <c r="R228" s="656"/>
      <c r="S228" s="656"/>
      <c r="T228" s="656"/>
      <c r="U228" s="656"/>
      <c r="V228" s="656"/>
      <c r="W228" s="656"/>
      <c r="X228" s="656"/>
      <c r="Y228" s="656">
        <v>0</v>
      </c>
      <c r="Z228" s="656">
        <v>-15.123032519999999</v>
      </c>
      <c r="AA228" s="656">
        <v>-28.557118629999998</v>
      </c>
      <c r="AB228" s="656">
        <v>31.721563280000002</v>
      </c>
      <c r="AC228" s="656"/>
      <c r="AD228" s="158"/>
      <c r="AE228" s="158"/>
      <c r="AF228" s="656"/>
      <c r="AG228" s="656"/>
      <c r="AH228" s="656"/>
      <c r="AI228" s="656"/>
      <c r="AJ228" s="656"/>
      <c r="AK228" s="656"/>
      <c r="AL228" s="656"/>
      <c r="AM228" s="656"/>
      <c r="AN228" s="656"/>
      <c r="AO228" s="656"/>
      <c r="AP228" s="656"/>
      <c r="AQ228" s="656"/>
      <c r="AR228" s="656"/>
      <c r="AS228" s="656"/>
      <c r="AT228" s="656"/>
      <c r="AU228" s="656"/>
      <c r="AV228" s="656"/>
      <c r="AW228" s="656"/>
      <c r="AX228" s="656"/>
      <c r="AY228" s="656"/>
      <c r="AZ228" s="656"/>
      <c r="BA228" s="656"/>
      <c r="BB228" s="656"/>
      <c r="BC228" s="656"/>
      <c r="BD228" s="656"/>
      <c r="BE228" s="656"/>
      <c r="BF228" s="656"/>
      <c r="BG228" s="656"/>
      <c r="BH228" s="656"/>
      <c r="BI228" s="656"/>
      <c r="BJ228" s="656"/>
      <c r="BK228" s="656"/>
      <c r="BL228" s="656"/>
      <c r="BM228" s="656"/>
      <c r="BN228" s="656"/>
      <c r="BO228" s="656"/>
      <c r="BP228" s="656"/>
      <c r="BQ228" s="656"/>
      <c r="BR228" s="656"/>
      <c r="BS228" s="656"/>
      <c r="BT228" s="656"/>
      <c r="BU228" s="656"/>
      <c r="BV228" s="656"/>
      <c r="BW228" s="656"/>
      <c r="BX228" s="656"/>
      <c r="BY228" s="656"/>
      <c r="BZ228" s="656"/>
      <c r="CA228" s="656"/>
      <c r="CB228" s="656"/>
      <c r="CC228" s="656"/>
      <c r="CD228" s="656"/>
      <c r="CE228" s="656"/>
      <c r="CF228" s="656"/>
      <c r="CG228" s="656"/>
      <c r="CH228" s="656"/>
      <c r="CI228" s="656">
        <v>0</v>
      </c>
      <c r="CJ228" s="656"/>
      <c r="CK228" s="656"/>
      <c r="CL228" s="656">
        <v>-4.5194110000000003E-2</v>
      </c>
      <c r="CM228" s="656">
        <v>-15.123032519999999</v>
      </c>
      <c r="CN228" s="656">
        <v>-1.2212080300000001</v>
      </c>
      <c r="CO228" s="656">
        <v>67.757399680000006</v>
      </c>
      <c r="CP228" s="656">
        <v>66.588088130000003</v>
      </c>
      <c r="CQ228" s="656">
        <v>-28.557118629999998</v>
      </c>
      <c r="CR228" s="656">
        <v>6.28861501</v>
      </c>
      <c r="CS228" s="656">
        <v>16.389153839999999</v>
      </c>
      <c r="CT228" s="656">
        <v>11.176971999999999</v>
      </c>
      <c r="CU228" s="656">
        <v>31.721563280000002</v>
      </c>
      <c r="CV228" s="656">
        <v>-11.12039002</v>
      </c>
      <c r="CW228" s="656">
        <v>5.3538728300000002</v>
      </c>
      <c r="CX228" s="656">
        <v>-13.054938419999999</v>
      </c>
      <c r="CZ228" s="656" t="e">
        <v>#NAME?</v>
      </c>
      <c r="DB228" s="156" t="s">
        <v>296</v>
      </c>
      <c r="DG228" s="156">
        <v>2875.07</v>
      </c>
    </row>
    <row r="229" spans="1:111" ht="12.75">
      <c r="A229" s="165" t="s">
        <v>295</v>
      </c>
      <c r="B229" s="656"/>
      <c r="C229" s="656"/>
      <c r="D229" s="656"/>
      <c r="E229" s="656"/>
      <c r="F229" s="656"/>
      <c r="G229" s="656"/>
      <c r="H229" s="656"/>
      <c r="I229" s="656"/>
      <c r="J229" s="656"/>
      <c r="K229" s="656"/>
      <c r="L229" s="656"/>
      <c r="M229" s="656"/>
      <c r="N229" s="656"/>
      <c r="O229" s="656"/>
      <c r="P229" s="656"/>
      <c r="Q229" s="656"/>
      <c r="R229" s="656"/>
      <c r="S229" s="656"/>
      <c r="T229" s="656"/>
      <c r="U229" s="656"/>
      <c r="V229" s="656"/>
      <c r="W229" s="656"/>
      <c r="X229" s="656"/>
      <c r="Y229" s="656">
        <v>0</v>
      </c>
      <c r="Z229" s="656"/>
      <c r="AA229" s="656"/>
      <c r="AB229" s="656">
        <v>0</v>
      </c>
      <c r="AC229" s="656"/>
      <c r="AD229" s="158"/>
      <c r="AE229" s="158"/>
      <c r="AF229" s="656"/>
      <c r="AG229" s="656"/>
      <c r="AH229" s="656"/>
      <c r="AI229" s="656"/>
      <c r="AJ229" s="656"/>
      <c r="AK229" s="656"/>
      <c r="AL229" s="656"/>
      <c r="AM229" s="656"/>
      <c r="AN229" s="656"/>
      <c r="AO229" s="656"/>
      <c r="AP229" s="656"/>
      <c r="AQ229" s="656"/>
      <c r="AR229" s="656"/>
      <c r="AS229" s="656"/>
      <c r="AT229" s="656"/>
      <c r="AU229" s="656"/>
      <c r="AV229" s="656"/>
      <c r="AW229" s="656"/>
      <c r="AX229" s="656"/>
      <c r="AY229" s="656"/>
      <c r="AZ229" s="656"/>
      <c r="BA229" s="656"/>
      <c r="BB229" s="656"/>
      <c r="BC229" s="656"/>
      <c r="BD229" s="656"/>
      <c r="BE229" s="656"/>
      <c r="BF229" s="656"/>
      <c r="BG229" s="656"/>
      <c r="BH229" s="656"/>
      <c r="BI229" s="656"/>
      <c r="BJ229" s="656"/>
      <c r="BK229" s="656"/>
      <c r="BL229" s="656"/>
      <c r="BM229" s="656"/>
      <c r="BN229" s="656"/>
      <c r="BO229" s="656"/>
      <c r="BP229" s="656"/>
      <c r="BQ229" s="656"/>
      <c r="BR229" s="656"/>
      <c r="BS229" s="656"/>
      <c r="BT229" s="656"/>
      <c r="BU229" s="656"/>
      <c r="BV229" s="656"/>
      <c r="BW229" s="656"/>
      <c r="BX229" s="656"/>
      <c r="BY229" s="656"/>
      <c r="BZ229" s="656"/>
      <c r="CA229" s="656"/>
      <c r="CB229" s="656"/>
      <c r="CC229" s="656"/>
      <c r="CD229" s="656"/>
      <c r="CE229" s="656"/>
      <c r="CF229" s="656"/>
      <c r="CG229" s="656"/>
      <c r="CH229" s="656"/>
      <c r="CI229" s="656"/>
      <c r="CJ229" s="656"/>
      <c r="CK229" s="656"/>
      <c r="CL229" s="656"/>
      <c r="CM229" s="656"/>
      <c r="CN229" s="656"/>
      <c r="CO229" s="656"/>
      <c r="CP229" s="656"/>
      <c r="CQ229" s="656"/>
      <c r="CR229" s="656"/>
      <c r="CS229" s="656">
        <v>0</v>
      </c>
      <c r="CT229" s="656">
        <v>0</v>
      </c>
      <c r="CU229" s="656">
        <v>0</v>
      </c>
      <c r="CV229" s="656">
        <v>0</v>
      </c>
      <c r="CW229" s="656">
        <v>0</v>
      </c>
      <c r="CX229" s="656">
        <v>0</v>
      </c>
      <c r="CZ229" s="656" t="e">
        <v>#NAME?</v>
      </c>
      <c r="DB229" s="156" t="s">
        <v>295</v>
      </c>
      <c r="DG229" s="156" t="e">
        <v>#VALUE!</v>
      </c>
    </row>
    <row r="230" spans="1:111" ht="12.75">
      <c r="A230" s="165" t="s">
        <v>294</v>
      </c>
      <c r="B230" s="656"/>
      <c r="C230" s="656"/>
      <c r="D230" s="656"/>
      <c r="E230" s="656"/>
      <c r="F230" s="656"/>
      <c r="G230" s="656"/>
      <c r="H230" s="656"/>
      <c r="I230" s="656"/>
      <c r="J230" s="656"/>
      <c r="K230" s="656"/>
      <c r="L230" s="656"/>
      <c r="M230" s="656"/>
      <c r="N230" s="656"/>
      <c r="O230" s="656"/>
      <c r="P230" s="656"/>
      <c r="Q230" s="656"/>
      <c r="R230" s="656"/>
      <c r="S230" s="656"/>
      <c r="T230" s="656"/>
      <c r="U230" s="656">
        <v>1E-4</v>
      </c>
      <c r="V230" s="656"/>
      <c r="W230" s="656"/>
      <c r="X230" s="656"/>
      <c r="Y230" s="656">
        <v>0</v>
      </c>
      <c r="Z230" s="656"/>
      <c r="AA230" s="656"/>
      <c r="AB230" s="656">
        <v>0</v>
      </c>
      <c r="AC230" s="656"/>
      <c r="AD230" s="158"/>
      <c r="AE230" s="158"/>
      <c r="AF230" s="656"/>
      <c r="AG230" s="656"/>
      <c r="AH230" s="656"/>
      <c r="AI230" s="656"/>
      <c r="AJ230" s="656"/>
      <c r="AK230" s="656"/>
      <c r="AL230" s="656"/>
      <c r="AM230" s="656"/>
      <c r="AN230" s="656"/>
      <c r="AO230" s="656"/>
      <c r="AP230" s="656"/>
      <c r="AQ230" s="656"/>
      <c r="AR230" s="656"/>
      <c r="AS230" s="656"/>
      <c r="AT230" s="656"/>
      <c r="AU230" s="656"/>
      <c r="AV230" s="656"/>
      <c r="AW230" s="656"/>
      <c r="AX230" s="656"/>
      <c r="AY230" s="656"/>
      <c r="AZ230" s="656"/>
      <c r="BA230" s="656"/>
      <c r="BB230" s="656"/>
      <c r="BC230" s="656"/>
      <c r="BD230" s="656"/>
      <c r="BE230" s="656"/>
      <c r="BF230" s="656"/>
      <c r="BG230" s="656"/>
      <c r="BH230" s="656"/>
      <c r="BI230" s="656"/>
      <c r="BJ230" s="656"/>
      <c r="BK230" s="656"/>
      <c r="BL230" s="656"/>
      <c r="BM230" s="656"/>
      <c r="BN230" s="656"/>
      <c r="BO230" s="656"/>
      <c r="BP230" s="656"/>
      <c r="BQ230" s="656"/>
      <c r="BR230" s="656"/>
      <c r="BS230" s="656"/>
      <c r="BT230" s="656"/>
      <c r="BU230" s="656"/>
      <c r="BV230" s="656"/>
      <c r="BW230" s="656"/>
      <c r="BX230" s="656"/>
      <c r="BY230" s="656"/>
      <c r="BZ230" s="656"/>
      <c r="CA230" s="656"/>
      <c r="CB230" s="656"/>
      <c r="CC230" s="656"/>
      <c r="CD230" s="656"/>
      <c r="CE230" s="656"/>
      <c r="CF230" s="656"/>
      <c r="CG230" s="656"/>
      <c r="CH230" s="656"/>
      <c r="CI230" s="656"/>
      <c r="CJ230" s="656"/>
      <c r="CK230" s="656"/>
      <c r="CL230" s="656"/>
      <c r="CM230" s="656"/>
      <c r="CN230" s="656"/>
      <c r="CO230" s="656"/>
      <c r="CP230" s="656"/>
      <c r="CQ230" s="656"/>
      <c r="CR230" s="656"/>
      <c r="CS230" s="656">
        <v>0</v>
      </c>
      <c r="CT230" s="656">
        <v>0</v>
      </c>
      <c r="CU230" s="656">
        <v>0</v>
      </c>
      <c r="CV230" s="656">
        <v>0</v>
      </c>
      <c r="CW230" s="656">
        <v>0</v>
      </c>
      <c r="CX230" s="656">
        <v>0</v>
      </c>
      <c r="CZ230" s="656" t="e">
        <v>#NAME?</v>
      </c>
      <c r="DB230" s="156" t="s">
        <v>294</v>
      </c>
      <c r="DG230" s="156" t="e">
        <v>#VALUE!</v>
      </c>
    </row>
    <row r="231" spans="1:111" ht="12.75">
      <c r="A231" s="167" t="s">
        <v>293</v>
      </c>
      <c r="B231" s="655"/>
      <c r="C231" s="655"/>
      <c r="D231" s="655"/>
      <c r="E231" s="655"/>
      <c r="F231" s="655"/>
      <c r="G231" s="655"/>
      <c r="H231" s="655"/>
      <c r="I231" s="655"/>
      <c r="J231" s="655"/>
      <c r="K231" s="655"/>
      <c r="L231" s="655"/>
      <c r="M231" s="655"/>
      <c r="N231" s="655"/>
      <c r="O231" s="655"/>
      <c r="P231" s="655"/>
      <c r="Q231" s="655"/>
      <c r="R231" s="655"/>
      <c r="S231" s="655"/>
      <c r="T231" s="655"/>
      <c r="U231" s="655">
        <v>-108.11839999999999</v>
      </c>
      <c r="V231" s="655">
        <v>153.24651541</v>
      </c>
      <c r="W231" s="655">
        <v>621.22262632000002</v>
      </c>
      <c r="X231" s="655">
        <v>233.67912921000001</v>
      </c>
      <c r="Y231" s="655">
        <v>-179.63997581000001</v>
      </c>
      <c r="Z231" s="655">
        <v>439.43698128</v>
      </c>
      <c r="AA231" s="655">
        <v>1436.5011631300001</v>
      </c>
      <c r="AB231" s="655">
        <v>453.08941873999999</v>
      </c>
      <c r="AC231" s="655"/>
      <c r="AD231" s="158"/>
      <c r="AE231" s="158"/>
      <c r="AF231" s="655"/>
      <c r="AG231" s="655"/>
      <c r="AH231" s="655"/>
      <c r="AI231" s="655"/>
      <c r="AJ231" s="655"/>
      <c r="AK231" s="655"/>
      <c r="AL231" s="655"/>
      <c r="AM231" s="655"/>
      <c r="AN231" s="655"/>
      <c r="AO231" s="655"/>
      <c r="AP231" s="655"/>
      <c r="AQ231" s="655"/>
      <c r="AR231" s="655"/>
      <c r="AS231" s="655"/>
      <c r="AT231" s="655"/>
      <c r="AU231" s="655"/>
      <c r="AV231" s="655"/>
      <c r="AW231" s="655"/>
      <c r="AX231" s="655"/>
      <c r="AY231" s="655"/>
      <c r="AZ231" s="655"/>
      <c r="BA231" s="655"/>
      <c r="BB231" s="655"/>
      <c r="BC231" s="655"/>
      <c r="BD231" s="655"/>
      <c r="BE231" s="655"/>
      <c r="BF231" s="655"/>
      <c r="BG231" s="655"/>
      <c r="BH231" s="655"/>
      <c r="BI231" s="655"/>
      <c r="BJ231" s="655"/>
      <c r="BK231" s="655"/>
      <c r="BL231" s="655"/>
      <c r="BM231" s="655"/>
      <c r="BN231" s="655"/>
      <c r="BO231" s="655"/>
      <c r="BP231" s="655"/>
      <c r="BQ231" s="655"/>
      <c r="BR231" s="655"/>
      <c r="BS231" s="655"/>
      <c r="BT231" s="655"/>
      <c r="BU231" s="655"/>
      <c r="BV231" s="655"/>
      <c r="BW231" s="655"/>
      <c r="BX231" s="655"/>
      <c r="BY231" s="655"/>
      <c r="BZ231" s="655"/>
      <c r="CA231" s="655"/>
      <c r="CB231" s="655">
        <v>-173.55672403999998</v>
      </c>
      <c r="CC231" s="655">
        <v>-92.312100000000001</v>
      </c>
      <c r="CD231" s="655">
        <v>-86.514543939999996</v>
      </c>
      <c r="CE231" s="655">
        <v>233.67912921000001</v>
      </c>
      <c r="CF231" s="655">
        <v>-189.13571558999999</v>
      </c>
      <c r="CG231" s="655">
        <v>1284.98729697</v>
      </c>
      <c r="CH231" s="655">
        <v>206.34915371</v>
      </c>
      <c r="CI231" s="655">
        <v>-179.63997581000001</v>
      </c>
      <c r="CJ231" s="655">
        <v>687.50198096999998</v>
      </c>
      <c r="CK231" s="655">
        <v>92.094128220000002</v>
      </c>
      <c r="CL231" s="655">
        <v>-178.26556047</v>
      </c>
      <c r="CM231" s="655">
        <v>439.43698128</v>
      </c>
      <c r="CN231" s="655">
        <v>-128.31271559000001</v>
      </c>
      <c r="CO231" s="655">
        <v>738.08075152999993</v>
      </c>
      <c r="CP231" s="655">
        <v>2342.0121803899997</v>
      </c>
      <c r="CQ231" s="655">
        <v>1436.5011631300001</v>
      </c>
      <c r="CR231" s="655">
        <v>1092.1350012400001</v>
      </c>
      <c r="CS231" s="655">
        <v>1540.4226299100001</v>
      </c>
      <c r="CT231" s="655">
        <v>417.57970231000002</v>
      </c>
      <c r="CU231" s="655">
        <v>453.08941873999999</v>
      </c>
      <c r="CV231" s="655">
        <v>-414.74387705999999</v>
      </c>
      <c r="CW231" s="655">
        <v>-1268.0190072999999</v>
      </c>
      <c r="CX231" s="655">
        <v>-1115.62917907</v>
      </c>
      <c r="CZ231" s="655" t="e">
        <v>#NAME?</v>
      </c>
      <c r="DB231" s="156" t="s">
        <v>293</v>
      </c>
      <c r="DG231" s="156" t="e">
        <v>#VALUE!</v>
      </c>
    </row>
    <row r="232" spans="1:111" ht="12.75">
      <c r="A232" s="165" t="s">
        <v>292</v>
      </c>
      <c r="B232" s="656"/>
      <c r="C232" s="656"/>
      <c r="D232" s="656"/>
      <c r="E232" s="656"/>
      <c r="F232" s="656"/>
      <c r="G232" s="656"/>
      <c r="H232" s="656"/>
      <c r="I232" s="656"/>
      <c r="J232" s="656"/>
      <c r="K232" s="656"/>
      <c r="L232" s="656"/>
      <c r="M232" s="656"/>
      <c r="N232" s="656"/>
      <c r="O232" s="656"/>
      <c r="P232" s="656"/>
      <c r="Q232" s="656"/>
      <c r="R232" s="656"/>
      <c r="S232" s="656"/>
      <c r="T232" s="656"/>
      <c r="U232" s="656">
        <v>278.745</v>
      </c>
      <c r="V232" s="656">
        <v>170.62655941</v>
      </c>
      <c r="W232" s="656">
        <v>323.87307482</v>
      </c>
      <c r="X232" s="656">
        <v>945.09570113999996</v>
      </c>
      <c r="Y232" s="656">
        <v>1178.77483035</v>
      </c>
      <c r="Z232" s="656">
        <v>999.13485453999999</v>
      </c>
      <c r="AA232" s="656">
        <v>1438.5718358199999</v>
      </c>
      <c r="AB232" s="656">
        <v>2875.0729989499996</v>
      </c>
      <c r="AC232" s="656"/>
      <c r="AD232" s="158"/>
      <c r="AE232" s="158"/>
      <c r="AF232" s="656"/>
      <c r="AG232" s="656"/>
      <c r="AH232" s="656"/>
      <c r="AI232" s="656"/>
      <c r="AJ232" s="656"/>
      <c r="AK232" s="656"/>
      <c r="AL232" s="656"/>
      <c r="AM232" s="656"/>
      <c r="AN232" s="656"/>
      <c r="AO232" s="656"/>
      <c r="AP232" s="656"/>
      <c r="AQ232" s="656"/>
      <c r="AR232" s="656"/>
      <c r="AS232" s="656"/>
      <c r="AT232" s="656"/>
      <c r="AU232" s="656"/>
      <c r="AV232" s="656"/>
      <c r="AW232" s="656"/>
      <c r="AX232" s="656"/>
      <c r="AY232" s="656"/>
      <c r="AZ232" s="656"/>
      <c r="BA232" s="656"/>
      <c r="BB232" s="656"/>
      <c r="BC232" s="656"/>
      <c r="BD232" s="656"/>
      <c r="BE232" s="656"/>
      <c r="BF232" s="656"/>
      <c r="BG232" s="656"/>
      <c r="BH232" s="656"/>
      <c r="BI232" s="656"/>
      <c r="BJ232" s="656"/>
      <c r="BK232" s="656"/>
      <c r="BL232" s="656"/>
      <c r="BM232" s="656"/>
      <c r="BN232" s="656"/>
      <c r="BO232" s="656"/>
      <c r="BP232" s="656"/>
      <c r="BQ232" s="656"/>
      <c r="BR232" s="656"/>
      <c r="BS232" s="656"/>
      <c r="BT232" s="656"/>
      <c r="BU232" s="656"/>
      <c r="BV232" s="656"/>
      <c r="BW232" s="656"/>
      <c r="BX232" s="656"/>
      <c r="BY232" s="656"/>
      <c r="BZ232" s="656"/>
      <c r="CA232" s="656"/>
      <c r="CB232" s="656">
        <v>945.09570113999996</v>
      </c>
      <c r="CC232" s="656">
        <v>945.09569999999997</v>
      </c>
      <c r="CD232" s="656">
        <v>945.09570113999996</v>
      </c>
      <c r="CE232" s="656">
        <v>945.09570113999996</v>
      </c>
      <c r="CF232" s="656">
        <v>1178.77483035</v>
      </c>
      <c r="CG232" s="656">
        <v>1178.77483035</v>
      </c>
      <c r="CH232" s="656">
        <v>1178.77483035</v>
      </c>
      <c r="CI232" s="656">
        <v>1178.77483035</v>
      </c>
      <c r="CJ232" s="656">
        <v>999.13485453999999</v>
      </c>
      <c r="CK232" s="656">
        <v>999.13485453999999</v>
      </c>
      <c r="CL232" s="656">
        <v>999.13485453999999</v>
      </c>
      <c r="CM232" s="656">
        <v>999.13485453999999</v>
      </c>
      <c r="CN232" s="656">
        <v>1438.5718358199999</v>
      </c>
      <c r="CO232" s="656">
        <v>1438.5718358199999</v>
      </c>
      <c r="CP232" s="656">
        <v>1438.5718358199999</v>
      </c>
      <c r="CQ232" s="656">
        <v>1438.5718358199999</v>
      </c>
      <c r="CR232" s="656">
        <v>2875.0729989499996</v>
      </c>
      <c r="CS232" s="656">
        <v>2875.0729989499996</v>
      </c>
      <c r="CT232" s="656">
        <v>2875.0729989499996</v>
      </c>
      <c r="CU232" s="656">
        <v>2875.0729989499996</v>
      </c>
      <c r="CV232" s="656">
        <v>3328.16241769</v>
      </c>
      <c r="CW232" s="656">
        <v>3328.16241769</v>
      </c>
      <c r="CX232" s="656">
        <v>3328.16241769</v>
      </c>
      <c r="CZ232" s="656" t="e">
        <v>#NAME?</v>
      </c>
      <c r="DB232" s="156" t="s">
        <v>292</v>
      </c>
      <c r="DG232" s="156" t="e">
        <v>#VALUE!</v>
      </c>
    </row>
    <row r="233" spans="1:111" ht="12.75">
      <c r="A233" s="165" t="s">
        <v>291</v>
      </c>
      <c r="B233" s="656"/>
      <c r="C233" s="656"/>
      <c r="D233" s="656"/>
      <c r="E233" s="656"/>
      <c r="F233" s="656"/>
      <c r="G233" s="656"/>
      <c r="H233" s="656"/>
      <c r="I233" s="656"/>
      <c r="J233" s="656"/>
      <c r="K233" s="656"/>
      <c r="L233" s="656"/>
      <c r="M233" s="656"/>
      <c r="N233" s="656"/>
      <c r="O233" s="656"/>
      <c r="P233" s="656"/>
      <c r="Q233" s="656"/>
      <c r="R233" s="656"/>
      <c r="S233" s="656"/>
      <c r="T233" s="656"/>
      <c r="U233" s="656">
        <v>170.6266</v>
      </c>
      <c r="V233" s="656">
        <v>323.87307482</v>
      </c>
      <c r="W233" s="656">
        <v>945.09570113999996</v>
      </c>
      <c r="X233" s="656">
        <v>1178.77483035</v>
      </c>
      <c r="Y233" s="656">
        <v>999.13485453999999</v>
      </c>
      <c r="Z233" s="656">
        <v>1438.5718358199999</v>
      </c>
      <c r="AA233" s="656">
        <v>2875.0729989499996</v>
      </c>
      <c r="AB233" s="656">
        <v>3328.16241769</v>
      </c>
      <c r="AC233" s="656"/>
      <c r="AD233" s="158"/>
      <c r="AE233" s="158"/>
      <c r="AF233" s="656"/>
      <c r="AG233" s="656"/>
      <c r="AH233" s="656"/>
      <c r="AI233" s="656"/>
      <c r="AJ233" s="656"/>
      <c r="AK233" s="656"/>
      <c r="AL233" s="656"/>
      <c r="AM233" s="656"/>
      <c r="AN233" s="656"/>
      <c r="AO233" s="656"/>
      <c r="AP233" s="656"/>
      <c r="AQ233" s="656"/>
      <c r="AR233" s="656"/>
      <c r="AS233" s="656"/>
      <c r="AT233" s="656"/>
      <c r="AU233" s="656"/>
      <c r="AV233" s="656"/>
      <c r="AW233" s="656"/>
      <c r="AX233" s="656"/>
      <c r="AY233" s="656"/>
      <c r="AZ233" s="656"/>
      <c r="BA233" s="656"/>
      <c r="BB233" s="656"/>
      <c r="BC233" s="656"/>
      <c r="BD233" s="656"/>
      <c r="BE233" s="656"/>
      <c r="BF233" s="656"/>
      <c r="BG233" s="656"/>
      <c r="BH233" s="656"/>
      <c r="BI233" s="656"/>
      <c r="BJ233" s="656"/>
      <c r="BK233" s="656"/>
      <c r="BL233" s="656"/>
      <c r="BM233" s="656"/>
      <c r="BN233" s="656"/>
      <c r="BO233" s="656"/>
      <c r="BP233" s="656"/>
      <c r="BQ233" s="656"/>
      <c r="BR233" s="656"/>
      <c r="BS233" s="656"/>
      <c r="BT233" s="656"/>
      <c r="BU233" s="656"/>
      <c r="BV233" s="656"/>
      <c r="BW233" s="656"/>
      <c r="BX233" s="656"/>
      <c r="BY233" s="656"/>
      <c r="BZ233" s="656"/>
      <c r="CA233" s="656"/>
      <c r="CB233" s="656">
        <v>771.53897710000001</v>
      </c>
      <c r="CC233" s="656">
        <v>852.78359999999998</v>
      </c>
      <c r="CD233" s="656">
        <v>858.58115720000001</v>
      </c>
      <c r="CE233" s="656">
        <v>1178.77483035</v>
      </c>
      <c r="CF233" s="656">
        <v>989.63911475999998</v>
      </c>
      <c r="CG233" s="656">
        <v>2463.7621273200002</v>
      </c>
      <c r="CH233" s="656">
        <v>1385.1239840599999</v>
      </c>
      <c r="CI233" s="656">
        <v>999.13485453999999</v>
      </c>
      <c r="CJ233" s="656">
        <v>1686.6368355100001</v>
      </c>
      <c r="CK233" s="656">
        <v>1091.22898276</v>
      </c>
      <c r="CL233" s="656">
        <v>820.86929407000002</v>
      </c>
      <c r="CM233" s="656">
        <v>1438.5718358199999</v>
      </c>
      <c r="CN233" s="656">
        <v>1310.25912023</v>
      </c>
      <c r="CO233" s="656">
        <v>2176.65258735</v>
      </c>
      <c r="CP233" s="656">
        <v>3780.5840162099998</v>
      </c>
      <c r="CQ233" s="656">
        <v>2875.0729989499996</v>
      </c>
      <c r="CR233" s="656">
        <v>3967.2080001899999</v>
      </c>
      <c r="CS233" s="656">
        <v>4415.4956288599997</v>
      </c>
      <c r="CT233" s="656">
        <v>3292.6527012600004</v>
      </c>
      <c r="CU233" s="656">
        <v>3328.16241769</v>
      </c>
      <c r="CV233" s="656">
        <v>2913.4185406300003</v>
      </c>
      <c r="CW233" s="656">
        <v>2060.1434103900001</v>
      </c>
      <c r="CX233" s="656">
        <v>2212.5332386199998</v>
      </c>
      <c r="CZ233" s="656" t="e">
        <v>#NAME?</v>
      </c>
      <c r="DB233" s="156" t="s">
        <v>291</v>
      </c>
      <c r="DG233" s="156">
        <v>453.09</v>
      </c>
    </row>
    <row r="234" spans="1:111">
      <c r="A234" s="166" t="s">
        <v>1065</v>
      </c>
      <c r="B234" s="658"/>
      <c r="C234" s="658"/>
      <c r="D234" s="658"/>
      <c r="E234" s="658"/>
      <c r="F234" s="658"/>
      <c r="G234" s="658"/>
      <c r="H234" s="658"/>
      <c r="I234" s="658"/>
      <c r="J234" s="658"/>
      <c r="K234" s="658"/>
      <c r="L234" s="658"/>
      <c r="M234" s="658"/>
      <c r="N234" s="658"/>
      <c r="O234" s="658"/>
      <c r="P234" s="658"/>
      <c r="Q234" s="658"/>
      <c r="R234" s="658"/>
      <c r="S234" s="658"/>
      <c r="T234" s="658"/>
      <c r="U234" s="658"/>
      <c r="V234" s="658"/>
      <c r="W234" s="658"/>
      <c r="X234" s="658"/>
      <c r="Y234" s="658"/>
      <c r="Z234" s="658"/>
      <c r="AA234" s="658"/>
      <c r="AB234" s="658"/>
      <c r="AC234" s="658"/>
      <c r="AD234" s="158"/>
      <c r="AE234" s="158"/>
      <c r="AF234" s="658"/>
      <c r="AG234" s="658"/>
      <c r="AH234" s="658"/>
      <c r="AI234" s="658"/>
      <c r="AJ234" s="658"/>
      <c r="AK234" s="658"/>
      <c r="AL234" s="658"/>
      <c r="AM234" s="658"/>
      <c r="AN234" s="658"/>
      <c r="AO234" s="658"/>
      <c r="AP234" s="658"/>
      <c r="AQ234" s="658"/>
      <c r="AR234" s="658"/>
      <c r="AS234" s="658"/>
      <c r="AT234" s="658"/>
      <c r="AU234" s="658"/>
      <c r="AV234" s="658"/>
      <c r="AW234" s="658"/>
      <c r="AX234" s="658"/>
      <c r="AY234" s="658"/>
      <c r="AZ234" s="658"/>
      <c r="BA234" s="658"/>
      <c r="BB234" s="658"/>
      <c r="BC234" s="658"/>
      <c r="BD234" s="658"/>
      <c r="BE234" s="658"/>
      <c r="BF234" s="658"/>
      <c r="BG234" s="658"/>
      <c r="BH234" s="658"/>
      <c r="BI234" s="658"/>
      <c r="BJ234" s="658"/>
      <c r="BK234" s="658"/>
      <c r="BL234" s="658"/>
      <c r="BM234" s="658"/>
      <c r="BN234" s="658"/>
      <c r="BO234" s="658"/>
      <c r="BP234" s="658"/>
      <c r="BQ234" s="658"/>
      <c r="BR234" s="658"/>
      <c r="BS234" s="658"/>
      <c r="BT234" s="658"/>
      <c r="BU234" s="658"/>
      <c r="BV234" s="658"/>
      <c r="BW234" s="658"/>
      <c r="BX234" s="658"/>
      <c r="BY234" s="658"/>
      <c r="BZ234" s="658"/>
      <c r="CA234" s="658"/>
      <c r="CB234" s="658"/>
      <c r="CC234" s="658"/>
      <c r="CD234" s="658"/>
      <c r="CE234" s="658"/>
      <c r="CF234" s="658"/>
      <c r="CG234" s="658"/>
      <c r="CH234" s="658"/>
      <c r="CI234" s="658"/>
      <c r="CJ234" s="658"/>
      <c r="CK234" s="658"/>
      <c r="CL234" s="658"/>
      <c r="CM234" s="658"/>
      <c r="CN234" s="658"/>
      <c r="CO234" s="658"/>
      <c r="CP234" s="658"/>
      <c r="CQ234" s="658"/>
      <c r="CR234" s="658"/>
      <c r="CS234" s="658"/>
      <c r="CT234" s="658"/>
      <c r="CU234" s="658"/>
      <c r="CV234" s="658"/>
      <c r="CW234" s="658"/>
      <c r="CX234" s="658"/>
      <c r="CZ234" s="658"/>
      <c r="DB234" s="156" t="s">
        <v>1065</v>
      </c>
    </row>
    <row r="235" spans="1:111" ht="12.75">
      <c r="A235" s="165" t="s">
        <v>290</v>
      </c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6"/>
      <c r="P235" s="656"/>
      <c r="Q235" s="656"/>
      <c r="R235" s="656"/>
      <c r="S235" s="656"/>
      <c r="T235" s="656"/>
      <c r="U235" s="656"/>
      <c r="V235" s="656">
        <v>215.83097868999999</v>
      </c>
      <c r="W235" s="656">
        <v>570.57389559000001</v>
      </c>
      <c r="X235" s="656">
        <v>812.06351098000005</v>
      </c>
      <c r="Y235" s="656">
        <v>1192.9604075899999</v>
      </c>
      <c r="Z235" s="656">
        <v>1440.5205713599998</v>
      </c>
      <c r="AA235" s="656">
        <v>2039.7728039200001</v>
      </c>
      <c r="AB235" s="656">
        <v>3326.4290046900001</v>
      </c>
      <c r="AC235" s="656"/>
      <c r="AD235" s="158"/>
      <c r="AE235" s="158"/>
      <c r="AF235" s="656"/>
      <c r="AG235" s="656"/>
      <c r="AH235" s="656"/>
      <c r="AI235" s="656"/>
      <c r="AJ235" s="656"/>
      <c r="AK235" s="656"/>
      <c r="AL235" s="656"/>
      <c r="AM235" s="656"/>
      <c r="AN235" s="656"/>
      <c r="AO235" s="656"/>
      <c r="AP235" s="656"/>
      <c r="AQ235" s="656"/>
      <c r="AR235" s="656"/>
      <c r="AS235" s="656"/>
      <c r="AT235" s="656"/>
      <c r="AU235" s="656"/>
      <c r="AV235" s="656"/>
      <c r="AW235" s="656"/>
      <c r="AX235" s="656"/>
      <c r="AY235" s="656"/>
      <c r="AZ235" s="656"/>
      <c r="BA235" s="656"/>
      <c r="BB235" s="656"/>
      <c r="BC235" s="656"/>
      <c r="BD235" s="656"/>
      <c r="BE235" s="656"/>
      <c r="BF235" s="656"/>
      <c r="BG235" s="656"/>
      <c r="BH235" s="656"/>
      <c r="BI235" s="656"/>
      <c r="BJ235" s="656"/>
      <c r="BK235" s="656"/>
      <c r="BL235" s="656"/>
      <c r="BM235" s="656"/>
      <c r="BN235" s="656"/>
      <c r="BO235" s="656"/>
      <c r="BP235" s="656"/>
      <c r="BQ235" s="656"/>
      <c r="BR235" s="656"/>
      <c r="BS235" s="656"/>
      <c r="BT235" s="656"/>
      <c r="BU235" s="656"/>
      <c r="BV235" s="656"/>
      <c r="BW235" s="656"/>
      <c r="BX235" s="656"/>
      <c r="BY235" s="656"/>
      <c r="BZ235" s="656"/>
      <c r="CA235" s="656"/>
      <c r="CB235" s="656">
        <v>153.64504765999999</v>
      </c>
      <c r="CC235" s="656"/>
      <c r="CD235" s="656"/>
      <c r="CE235" s="656">
        <v>812.06351098000005</v>
      </c>
      <c r="CF235" s="656">
        <v>341.88946556000002</v>
      </c>
      <c r="CG235" s="656">
        <v>675.82613044000004</v>
      </c>
      <c r="CH235" s="656"/>
      <c r="CI235" s="656">
        <v>1192.9604075899999</v>
      </c>
      <c r="CJ235" s="656"/>
      <c r="CK235" s="656">
        <v>754.62977691999993</v>
      </c>
      <c r="CL235" s="656"/>
      <c r="CM235" s="656">
        <v>1440.5205713599998</v>
      </c>
      <c r="CN235" s="656"/>
      <c r="CO235" s="656">
        <v>1108.1202491199999</v>
      </c>
      <c r="CP235" s="656"/>
      <c r="CQ235" s="656">
        <v>2039.7728039200001</v>
      </c>
      <c r="CR235" s="656"/>
      <c r="CS235" s="656">
        <v>1730.5914987900001</v>
      </c>
      <c r="CT235" s="656">
        <v>0</v>
      </c>
      <c r="CU235" s="656">
        <v>3326.4290046900001</v>
      </c>
      <c r="CV235" s="656">
        <v>0</v>
      </c>
      <c r="CW235" s="656">
        <v>2374.5145638000004</v>
      </c>
      <c r="CX235" s="656">
        <v>0</v>
      </c>
      <c r="CZ235" s="656" t="e">
        <v>#NAME?</v>
      </c>
      <c r="DB235" s="156" t="s">
        <v>290</v>
      </c>
    </row>
    <row r="236" spans="1:111" ht="12.75">
      <c r="A236" s="165" t="s">
        <v>289</v>
      </c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6"/>
      <c r="P236" s="656"/>
      <c r="Q236" s="656"/>
      <c r="R236" s="656"/>
      <c r="S236" s="656"/>
      <c r="T236" s="656"/>
      <c r="U236" s="656"/>
      <c r="V236" s="656">
        <v>2.2846108799999998</v>
      </c>
      <c r="W236" s="656">
        <v>7.40603357</v>
      </c>
      <c r="X236" s="656"/>
      <c r="Y236" s="656">
        <v>0</v>
      </c>
      <c r="Z236" s="656"/>
      <c r="AA236" s="656"/>
      <c r="AB236" s="656">
        <v>0</v>
      </c>
      <c r="AC236" s="656"/>
      <c r="AD236" s="158"/>
      <c r="AE236" s="158"/>
      <c r="AF236" s="656"/>
      <c r="AG236" s="656"/>
      <c r="AH236" s="656"/>
      <c r="AI236" s="656"/>
      <c r="AJ236" s="656"/>
      <c r="AK236" s="656"/>
      <c r="AL236" s="656"/>
      <c r="AM236" s="656"/>
      <c r="AN236" s="656"/>
      <c r="AO236" s="656"/>
      <c r="AP236" s="656"/>
      <c r="AQ236" s="656"/>
      <c r="AR236" s="656"/>
      <c r="AS236" s="656"/>
      <c r="AT236" s="656"/>
      <c r="AU236" s="656"/>
      <c r="AV236" s="656"/>
      <c r="AW236" s="656"/>
      <c r="AX236" s="656"/>
      <c r="AY236" s="656"/>
      <c r="AZ236" s="656"/>
      <c r="BA236" s="656"/>
      <c r="BB236" s="656"/>
      <c r="BC236" s="656"/>
      <c r="BD236" s="656"/>
      <c r="BE236" s="656"/>
      <c r="BF236" s="656"/>
      <c r="BG236" s="656"/>
      <c r="BH236" s="656"/>
      <c r="BI236" s="656"/>
      <c r="BJ236" s="656"/>
      <c r="BK236" s="656"/>
      <c r="BL236" s="656"/>
      <c r="BM236" s="656"/>
      <c r="BN236" s="656"/>
      <c r="BO236" s="656"/>
      <c r="BP236" s="656"/>
      <c r="BQ236" s="656"/>
      <c r="BR236" s="656"/>
      <c r="BS236" s="656"/>
      <c r="BT236" s="656"/>
      <c r="BU236" s="656"/>
      <c r="BV236" s="656"/>
      <c r="BW236" s="656"/>
      <c r="BX236" s="656"/>
      <c r="BY236" s="656"/>
      <c r="BZ236" s="656"/>
      <c r="CA236" s="656"/>
      <c r="CB236" s="656"/>
      <c r="CC236" s="656"/>
      <c r="CD236" s="656"/>
      <c r="CE236" s="656"/>
      <c r="CF236" s="656"/>
      <c r="CG236" s="656"/>
      <c r="CH236" s="656"/>
      <c r="CI236" s="656">
        <v>0</v>
      </c>
      <c r="CJ236" s="656"/>
      <c r="CK236" s="656"/>
      <c r="CL236" s="656"/>
      <c r="CM236" s="656"/>
      <c r="CN236" s="656"/>
      <c r="CO236" s="656"/>
      <c r="CP236" s="656"/>
      <c r="CQ236" s="656"/>
      <c r="CR236" s="656"/>
      <c r="CS236" s="656">
        <v>0</v>
      </c>
      <c r="CT236" s="656">
        <v>0</v>
      </c>
      <c r="CU236" s="656">
        <v>0</v>
      </c>
      <c r="CV236" s="656">
        <v>0</v>
      </c>
      <c r="CW236" s="656">
        <v>0</v>
      </c>
      <c r="CX236" s="656">
        <v>0</v>
      </c>
      <c r="CZ236" s="656" t="e">
        <v>#NAME?</v>
      </c>
      <c r="DB236" s="156" t="s">
        <v>289</v>
      </c>
      <c r="DG236" s="156">
        <v>45657</v>
      </c>
    </row>
    <row r="237" spans="1:111" ht="12.75">
      <c r="A237" s="165" t="s">
        <v>288</v>
      </c>
      <c r="B237" s="656"/>
      <c r="C237" s="656"/>
      <c r="D237" s="656"/>
      <c r="E237" s="656"/>
      <c r="F237" s="656"/>
      <c r="G237" s="656"/>
      <c r="H237" s="656"/>
      <c r="I237" s="656"/>
      <c r="J237" s="656"/>
      <c r="K237" s="656"/>
      <c r="L237" s="656"/>
      <c r="M237" s="656"/>
      <c r="N237" s="656"/>
      <c r="O237" s="656"/>
      <c r="P237" s="656"/>
      <c r="Q237" s="656"/>
      <c r="R237" s="656"/>
      <c r="S237" s="656"/>
      <c r="T237" s="656"/>
      <c r="U237" s="656"/>
      <c r="V237" s="656">
        <v>77.859574969999997</v>
      </c>
      <c r="W237" s="656">
        <v>102.17591390000001</v>
      </c>
      <c r="X237" s="656">
        <v>124.58530337000001</v>
      </c>
      <c r="Y237" s="656">
        <v>173.10489672</v>
      </c>
      <c r="Z237" s="656">
        <v>211.9910213</v>
      </c>
      <c r="AA237" s="656">
        <v>241.69913559</v>
      </c>
      <c r="AB237" s="656">
        <v>325.93171645999996</v>
      </c>
      <c r="AC237" s="656"/>
      <c r="AD237" s="158"/>
      <c r="AE237" s="158"/>
      <c r="AF237" s="656"/>
      <c r="AG237" s="656"/>
      <c r="AH237" s="656"/>
      <c r="AI237" s="656"/>
      <c r="AJ237" s="656"/>
      <c r="AK237" s="656"/>
      <c r="AL237" s="656"/>
      <c r="AM237" s="656"/>
      <c r="AN237" s="656"/>
      <c r="AO237" s="656"/>
      <c r="AP237" s="656"/>
      <c r="AQ237" s="656"/>
      <c r="AR237" s="656"/>
      <c r="AS237" s="656"/>
      <c r="AT237" s="656"/>
      <c r="AU237" s="656"/>
      <c r="AV237" s="656"/>
      <c r="AW237" s="656"/>
      <c r="AX237" s="656"/>
      <c r="AY237" s="656"/>
      <c r="AZ237" s="656"/>
      <c r="BA237" s="656"/>
      <c r="BB237" s="656"/>
      <c r="BC237" s="656"/>
      <c r="BD237" s="656"/>
      <c r="BE237" s="656"/>
      <c r="BF237" s="656"/>
      <c r="BG237" s="656"/>
      <c r="BH237" s="656"/>
      <c r="BI237" s="656"/>
      <c r="BJ237" s="656"/>
      <c r="BK237" s="656"/>
      <c r="BL237" s="656"/>
      <c r="BM237" s="656"/>
      <c r="BN237" s="656"/>
      <c r="BO237" s="656"/>
      <c r="BP237" s="656"/>
      <c r="BQ237" s="656"/>
      <c r="BR237" s="656"/>
      <c r="BS237" s="656"/>
      <c r="BT237" s="656"/>
      <c r="BU237" s="656"/>
      <c r="BV237" s="656"/>
      <c r="BW237" s="656"/>
      <c r="BX237" s="656"/>
      <c r="BY237" s="656"/>
      <c r="BZ237" s="656"/>
      <c r="CA237" s="656"/>
      <c r="CB237" s="656">
        <v>28.306063089999999</v>
      </c>
      <c r="CC237" s="656"/>
      <c r="CD237" s="656"/>
      <c r="CE237" s="656">
        <v>124.58530337000001</v>
      </c>
      <c r="CF237" s="656">
        <v>37.137888789999998</v>
      </c>
      <c r="CG237" s="656">
        <v>79.766064379999989</v>
      </c>
      <c r="CH237" s="656"/>
      <c r="CI237" s="656">
        <v>173.10489672</v>
      </c>
      <c r="CJ237" s="656"/>
      <c r="CK237" s="656">
        <v>99.823009129999988</v>
      </c>
      <c r="CL237" s="656"/>
      <c r="CM237" s="656">
        <v>211.9910213</v>
      </c>
      <c r="CN237" s="656"/>
      <c r="CO237" s="656">
        <v>114.75821863</v>
      </c>
      <c r="CP237" s="656"/>
      <c r="CQ237" s="656">
        <v>241.69913559</v>
      </c>
      <c r="CR237" s="656"/>
      <c r="CS237" s="656">
        <v>154.38296821</v>
      </c>
      <c r="CT237" s="656">
        <v>0</v>
      </c>
      <c r="CU237" s="656">
        <v>325.93171645999996</v>
      </c>
      <c r="CV237" s="656">
        <v>0</v>
      </c>
      <c r="CW237" s="656">
        <v>202.23706357</v>
      </c>
      <c r="CX237" s="656">
        <v>0</v>
      </c>
      <c r="CZ237" s="656" t="e">
        <v>#NAME?</v>
      </c>
      <c r="DB237" s="156" t="s">
        <v>288</v>
      </c>
      <c r="DG237" s="156" t="s">
        <v>256</v>
      </c>
    </row>
    <row r="238" spans="1:111" ht="12.75">
      <c r="A238" s="165" t="s">
        <v>287</v>
      </c>
      <c r="B238" s="656"/>
      <c r="C238" s="656"/>
      <c r="D238" s="656"/>
      <c r="E238" s="656"/>
      <c r="F238" s="656"/>
      <c r="G238" s="656"/>
      <c r="H238" s="656"/>
      <c r="I238" s="656"/>
      <c r="J238" s="656"/>
      <c r="K238" s="656"/>
      <c r="L238" s="656"/>
      <c r="M238" s="656"/>
      <c r="N238" s="656"/>
      <c r="O238" s="656"/>
      <c r="P238" s="656"/>
      <c r="Q238" s="656"/>
      <c r="R238" s="656"/>
      <c r="S238" s="656"/>
      <c r="T238" s="656"/>
      <c r="U238" s="656"/>
      <c r="V238" s="656">
        <v>4.0799488100000003</v>
      </c>
      <c r="W238" s="656">
        <v>4.60600436</v>
      </c>
      <c r="X238" s="656">
        <v>7.0157415099999998</v>
      </c>
      <c r="Y238" s="656">
        <v>8.9344921700000004</v>
      </c>
      <c r="Z238" s="656">
        <v>8.5049594099999997</v>
      </c>
      <c r="AA238" s="656">
        <v>7.9923130999999996</v>
      </c>
      <c r="AB238" s="656">
        <v>10.63093694</v>
      </c>
      <c r="AC238" s="656"/>
      <c r="AD238" s="158"/>
      <c r="AE238" s="158"/>
      <c r="AF238" s="656"/>
      <c r="AG238" s="656"/>
      <c r="AH238" s="656"/>
      <c r="AI238" s="656"/>
      <c r="AJ238" s="656"/>
      <c r="AK238" s="656"/>
      <c r="AL238" s="656"/>
      <c r="AM238" s="656"/>
      <c r="AN238" s="656"/>
      <c r="AO238" s="656"/>
      <c r="AP238" s="656"/>
      <c r="AQ238" s="656"/>
      <c r="AR238" s="656"/>
      <c r="AS238" s="656"/>
      <c r="AT238" s="656"/>
      <c r="AU238" s="656"/>
      <c r="AV238" s="656"/>
      <c r="AW238" s="656"/>
      <c r="AX238" s="656"/>
      <c r="AY238" s="656"/>
      <c r="AZ238" s="656"/>
      <c r="BA238" s="656"/>
      <c r="BB238" s="656"/>
      <c r="BC238" s="656"/>
      <c r="BD238" s="656"/>
      <c r="BE238" s="656"/>
      <c r="BF238" s="656"/>
      <c r="BG238" s="656"/>
      <c r="BH238" s="656"/>
      <c r="BI238" s="656"/>
      <c r="BJ238" s="656"/>
      <c r="BK238" s="656"/>
      <c r="BL238" s="656"/>
      <c r="BM238" s="656"/>
      <c r="BN238" s="656"/>
      <c r="BO238" s="656"/>
      <c r="BP238" s="656"/>
      <c r="BQ238" s="656"/>
      <c r="BR238" s="656"/>
      <c r="BS238" s="656"/>
      <c r="BT238" s="656"/>
      <c r="BU238" s="656"/>
      <c r="BV238" s="656"/>
      <c r="BW238" s="656"/>
      <c r="BX238" s="656"/>
      <c r="BY238" s="656"/>
      <c r="BZ238" s="656"/>
      <c r="CA238" s="656"/>
      <c r="CB238" s="656">
        <v>1.28248929</v>
      </c>
      <c r="CC238" s="656"/>
      <c r="CD238" s="656"/>
      <c r="CE238" s="656">
        <v>7.0157415099999998</v>
      </c>
      <c r="CF238" s="656">
        <v>2.1127846699999999</v>
      </c>
      <c r="CG238" s="656">
        <v>4.2356492300000008</v>
      </c>
      <c r="CH238" s="656"/>
      <c r="CI238" s="656">
        <v>8.9344921700000004</v>
      </c>
      <c r="CJ238" s="656"/>
      <c r="CK238" s="656">
        <v>6.1766713200000005</v>
      </c>
      <c r="CL238" s="656"/>
      <c r="CM238" s="656">
        <v>8.5049594099999997</v>
      </c>
      <c r="CN238" s="656"/>
      <c r="CO238" s="656">
        <v>4.84006487</v>
      </c>
      <c r="CP238" s="656"/>
      <c r="CQ238" s="656">
        <v>7.9923130999999996</v>
      </c>
      <c r="CR238" s="656"/>
      <c r="CS238" s="656">
        <v>6.6539868099999993</v>
      </c>
      <c r="CT238" s="656">
        <v>0</v>
      </c>
      <c r="CU238" s="656">
        <v>10.63093694</v>
      </c>
      <c r="CV238" s="656">
        <v>0</v>
      </c>
      <c r="CW238" s="656">
        <v>10.066407609999999</v>
      </c>
      <c r="CX238" s="656">
        <v>0</v>
      </c>
      <c r="CZ238" s="656" t="e">
        <v>#NAME?</v>
      </c>
      <c r="DB238" s="156" t="s">
        <v>287</v>
      </c>
      <c r="DG238" s="156" t="e">
        <v>#VALUE!</v>
      </c>
    </row>
    <row r="239" spans="1:111" s="808" customFormat="1" ht="12.75">
      <c r="A239" s="806" t="s">
        <v>1114</v>
      </c>
      <c r="B239" s="736"/>
      <c r="C239" s="736"/>
      <c r="D239" s="736"/>
      <c r="E239" s="736"/>
      <c r="F239" s="736"/>
      <c r="G239" s="736"/>
      <c r="H239" s="736"/>
      <c r="I239" s="736"/>
      <c r="J239" s="736"/>
      <c r="K239" s="736"/>
      <c r="L239" s="736"/>
      <c r="M239" s="736"/>
      <c r="N239" s="736"/>
      <c r="O239" s="736"/>
      <c r="P239" s="736"/>
      <c r="Q239" s="736"/>
      <c r="R239" s="736"/>
      <c r="S239" s="736"/>
      <c r="T239" s="736"/>
      <c r="U239" s="736" t="s">
        <v>1181</v>
      </c>
      <c r="V239" s="736" t="s">
        <v>1181</v>
      </c>
      <c r="W239" s="736" t="s">
        <v>1181</v>
      </c>
      <c r="X239" s="736" t="s">
        <v>1181</v>
      </c>
      <c r="Y239" s="736">
        <v>11.15419056</v>
      </c>
      <c r="Z239" s="736">
        <v>15.375967730000001</v>
      </c>
      <c r="AA239" s="736">
        <v>15.85053255</v>
      </c>
      <c r="AB239" s="736">
        <v>15.8928858</v>
      </c>
      <c r="AC239" s="736"/>
      <c r="AD239" s="807"/>
      <c r="AE239" s="807"/>
      <c r="AF239" s="736"/>
      <c r="AG239" s="736"/>
      <c r="AH239" s="736"/>
      <c r="AI239" s="736"/>
      <c r="AJ239" s="736"/>
      <c r="AK239" s="736"/>
      <c r="AL239" s="736"/>
      <c r="AM239" s="736"/>
      <c r="AN239" s="736"/>
      <c r="AO239" s="736"/>
      <c r="AP239" s="736"/>
      <c r="AQ239" s="736"/>
      <c r="AR239" s="736"/>
      <c r="AS239" s="736"/>
      <c r="AT239" s="736"/>
      <c r="AU239" s="736"/>
      <c r="AV239" s="736"/>
      <c r="AW239" s="736"/>
      <c r="AX239" s="736"/>
      <c r="AY239" s="736"/>
      <c r="AZ239" s="736"/>
      <c r="BA239" s="736"/>
      <c r="BB239" s="736"/>
      <c r="BC239" s="736"/>
      <c r="BD239" s="736"/>
      <c r="BE239" s="736"/>
      <c r="BF239" s="736"/>
      <c r="BG239" s="736"/>
      <c r="BH239" s="736"/>
      <c r="BI239" s="736"/>
      <c r="BJ239" s="736"/>
      <c r="BK239" s="736"/>
      <c r="BL239" s="736"/>
      <c r="BM239" s="736"/>
      <c r="BN239" s="736"/>
      <c r="BO239" s="736"/>
      <c r="BP239" s="736"/>
      <c r="BQ239" s="736"/>
      <c r="BR239" s="736"/>
      <c r="BS239" s="736"/>
      <c r="BT239" s="736"/>
      <c r="BU239" s="736"/>
      <c r="BV239" s="736"/>
      <c r="BW239" s="736"/>
      <c r="BX239" s="736"/>
      <c r="BY239" s="736"/>
      <c r="BZ239" s="736"/>
      <c r="CA239" s="736"/>
      <c r="CB239" s="736" t="s">
        <v>1181</v>
      </c>
      <c r="CC239" s="736" t="s">
        <v>1181</v>
      </c>
      <c r="CD239" s="736" t="s">
        <v>1181</v>
      </c>
      <c r="CE239" s="736" t="s">
        <v>1181</v>
      </c>
      <c r="CF239" s="736">
        <v>1.9746805700000001</v>
      </c>
      <c r="CG239" s="736">
        <v>4.0727835399999996</v>
      </c>
      <c r="CH239" s="736" t="s">
        <v>1181</v>
      </c>
      <c r="CI239" s="736">
        <v>11.15419056</v>
      </c>
      <c r="CJ239" s="736"/>
      <c r="CK239" s="736">
        <v>7.6593979800000005</v>
      </c>
      <c r="CL239" s="736" t="s">
        <v>1181</v>
      </c>
      <c r="CM239" s="736">
        <v>15.375967730000001</v>
      </c>
      <c r="CN239" s="736" t="s">
        <v>1181</v>
      </c>
      <c r="CO239" s="736">
        <v>8.0396921900000002</v>
      </c>
      <c r="CP239" s="736" t="s">
        <v>1181</v>
      </c>
      <c r="CQ239" s="736">
        <v>15.85053255</v>
      </c>
      <c r="CR239" s="736" t="s">
        <v>1181</v>
      </c>
      <c r="CS239" s="656">
        <v>7.8657042400000003</v>
      </c>
      <c r="CT239" s="656" t="s">
        <v>1181</v>
      </c>
      <c r="CU239" s="656">
        <v>15.8928858</v>
      </c>
      <c r="CV239" s="656" t="s">
        <v>1181</v>
      </c>
      <c r="CW239" s="656">
        <v>12.16849408</v>
      </c>
      <c r="CX239" s="656">
        <v>0</v>
      </c>
      <c r="CZ239" s="656" t="e">
        <v>#NAME?</v>
      </c>
      <c r="DG239" s="808" t="e">
        <v>#VALUE!</v>
      </c>
    </row>
    <row r="240" spans="1:111" ht="12.75">
      <c r="A240" s="165" t="s">
        <v>286</v>
      </c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6"/>
      <c r="P240" s="656"/>
      <c r="Q240" s="656"/>
      <c r="R240" s="656"/>
      <c r="S240" s="656"/>
      <c r="T240" s="656"/>
      <c r="U240" s="656"/>
      <c r="V240" s="656">
        <v>3.03196428</v>
      </c>
      <c r="W240" s="656">
        <v>2.94254682</v>
      </c>
      <c r="X240" s="656">
        <v>2.8417045399999998</v>
      </c>
      <c r="Y240" s="656">
        <v>3.07341504</v>
      </c>
      <c r="Z240" s="656">
        <v>3.44539068</v>
      </c>
      <c r="AA240" s="656">
        <v>4.3476773299999998</v>
      </c>
      <c r="AB240" s="656">
        <v>6.4890330800000005</v>
      </c>
      <c r="AC240" s="656"/>
      <c r="AD240" s="158"/>
      <c r="AE240" s="158"/>
      <c r="AF240" s="656"/>
      <c r="AG240" s="656"/>
      <c r="AH240" s="656"/>
      <c r="AI240" s="656"/>
      <c r="AJ240" s="656"/>
      <c r="AK240" s="656"/>
      <c r="AL240" s="656"/>
      <c r="AM240" s="656"/>
      <c r="AN240" s="656"/>
      <c r="AO240" s="656"/>
      <c r="AP240" s="656"/>
      <c r="AQ240" s="656"/>
      <c r="AR240" s="656"/>
      <c r="AS240" s="656"/>
      <c r="AT240" s="656"/>
      <c r="AU240" s="656"/>
      <c r="AV240" s="656"/>
      <c r="AW240" s="656"/>
      <c r="AX240" s="656"/>
      <c r="AY240" s="656"/>
      <c r="AZ240" s="656"/>
      <c r="BA240" s="656"/>
      <c r="BB240" s="656"/>
      <c r="BC240" s="656"/>
      <c r="BD240" s="656"/>
      <c r="BE240" s="656"/>
      <c r="BF240" s="656"/>
      <c r="BG240" s="656"/>
      <c r="BH240" s="656"/>
      <c r="BI240" s="656"/>
      <c r="BJ240" s="656"/>
      <c r="BK240" s="656"/>
      <c r="BL240" s="656"/>
      <c r="BM240" s="656"/>
      <c r="BN240" s="656"/>
      <c r="BO240" s="656"/>
      <c r="BP240" s="656"/>
      <c r="BQ240" s="656"/>
      <c r="BR240" s="656"/>
      <c r="BS240" s="656"/>
      <c r="BT240" s="656"/>
      <c r="BU240" s="656"/>
      <c r="BV240" s="656"/>
      <c r="BW240" s="656"/>
      <c r="BX240" s="656"/>
      <c r="BY240" s="656"/>
      <c r="BZ240" s="656"/>
      <c r="CA240" s="656"/>
      <c r="CB240" s="656">
        <v>0.99889373000000004</v>
      </c>
      <c r="CC240" s="656"/>
      <c r="CD240" s="656"/>
      <c r="CE240" s="656">
        <v>2.8417045399999998</v>
      </c>
      <c r="CF240" s="656">
        <v>0.79013734999999996</v>
      </c>
      <c r="CG240" s="656">
        <v>1.54114306</v>
      </c>
      <c r="CH240" s="656"/>
      <c r="CI240" s="656">
        <v>3.07341504</v>
      </c>
      <c r="CJ240" s="656"/>
      <c r="CK240" s="656">
        <v>2.7291516200000001</v>
      </c>
      <c r="CL240" s="656"/>
      <c r="CM240" s="656">
        <v>3.44539068</v>
      </c>
      <c r="CN240" s="656"/>
      <c r="CO240" s="656">
        <v>1.89203202</v>
      </c>
      <c r="CP240" s="656"/>
      <c r="CQ240" s="656">
        <v>4.3476773299999998</v>
      </c>
      <c r="CR240" s="656"/>
      <c r="CS240" s="656">
        <v>2.7336520000000002</v>
      </c>
      <c r="CT240" s="656">
        <v>0</v>
      </c>
      <c r="CU240" s="656">
        <v>6.4890330800000005</v>
      </c>
      <c r="CV240" s="656">
        <v>0</v>
      </c>
      <c r="CW240" s="656">
        <v>7.3144447300000008</v>
      </c>
      <c r="CX240" s="656">
        <v>0</v>
      </c>
      <c r="CZ240" s="656" t="e">
        <v>#NAME?</v>
      </c>
      <c r="DB240" s="156" t="s">
        <v>286</v>
      </c>
      <c r="DG240" s="156" t="e">
        <v>#VALUE!</v>
      </c>
    </row>
    <row r="241" spans="1:111" ht="12.75">
      <c r="A241" s="165" t="s">
        <v>285</v>
      </c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6"/>
      <c r="P241" s="656"/>
      <c r="Q241" s="656"/>
      <c r="R241" s="656"/>
      <c r="S241" s="656"/>
      <c r="T241" s="656"/>
      <c r="U241" s="656"/>
      <c r="V241" s="656"/>
      <c r="W241" s="656"/>
      <c r="X241" s="656"/>
      <c r="Y241" s="656">
        <v>0</v>
      </c>
      <c r="Z241" s="656"/>
      <c r="AA241" s="656"/>
      <c r="AB241" s="656">
        <v>0</v>
      </c>
      <c r="AC241" s="656"/>
      <c r="AD241" s="158"/>
      <c r="AE241" s="158"/>
      <c r="AF241" s="656"/>
      <c r="AG241" s="656"/>
      <c r="AH241" s="656"/>
      <c r="AI241" s="656"/>
      <c r="AJ241" s="656"/>
      <c r="AK241" s="656"/>
      <c r="AL241" s="656"/>
      <c r="AM241" s="656"/>
      <c r="AN241" s="656"/>
      <c r="AO241" s="656"/>
      <c r="AP241" s="656"/>
      <c r="AQ241" s="656"/>
      <c r="AR241" s="656"/>
      <c r="AS241" s="656"/>
      <c r="AT241" s="656"/>
      <c r="AU241" s="656"/>
      <c r="AV241" s="656"/>
      <c r="AW241" s="656"/>
      <c r="AX241" s="656"/>
      <c r="AY241" s="656"/>
      <c r="AZ241" s="656"/>
      <c r="BA241" s="656"/>
      <c r="BB241" s="656"/>
      <c r="BC241" s="656"/>
      <c r="BD241" s="656"/>
      <c r="BE241" s="656"/>
      <c r="BF241" s="656"/>
      <c r="BG241" s="656"/>
      <c r="BH241" s="656"/>
      <c r="BI241" s="656"/>
      <c r="BJ241" s="656"/>
      <c r="BK241" s="656"/>
      <c r="BL241" s="656"/>
      <c r="BM241" s="656"/>
      <c r="BN241" s="656"/>
      <c r="BO241" s="656"/>
      <c r="BP241" s="656"/>
      <c r="BQ241" s="656"/>
      <c r="BR241" s="656"/>
      <c r="BS241" s="656"/>
      <c r="BT241" s="656"/>
      <c r="BU241" s="656"/>
      <c r="BV241" s="656"/>
      <c r="BW241" s="656"/>
      <c r="BX241" s="656"/>
      <c r="BY241" s="656"/>
      <c r="BZ241" s="656"/>
      <c r="CA241" s="656"/>
      <c r="CB241" s="656"/>
      <c r="CC241" s="656"/>
      <c r="CD241" s="656"/>
      <c r="CE241" s="656"/>
      <c r="CF241" s="656"/>
      <c r="CG241" s="656"/>
      <c r="CH241" s="656"/>
      <c r="CI241" s="656">
        <v>0</v>
      </c>
      <c r="CJ241" s="656"/>
      <c r="CK241" s="656"/>
      <c r="CL241" s="656"/>
      <c r="CM241" s="656"/>
      <c r="CN241" s="656"/>
      <c r="CO241" s="656"/>
      <c r="CP241" s="656"/>
      <c r="CQ241" s="656"/>
      <c r="CR241" s="656"/>
      <c r="CS241" s="656">
        <v>0</v>
      </c>
      <c r="CT241" s="656">
        <v>0</v>
      </c>
      <c r="CU241" s="656">
        <v>0</v>
      </c>
      <c r="CV241" s="656">
        <v>0</v>
      </c>
      <c r="CW241" s="656">
        <v>0</v>
      </c>
      <c r="CX241" s="656">
        <v>0</v>
      </c>
      <c r="CZ241" s="656" t="e">
        <v>#NAME?</v>
      </c>
      <c r="DB241" s="156" t="s">
        <v>285</v>
      </c>
      <c r="DG241" s="156" t="e">
        <v>#VALUE!</v>
      </c>
    </row>
    <row r="242" spans="1:111" ht="12.75">
      <c r="A242" s="165" t="s">
        <v>284</v>
      </c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6"/>
      <c r="P242" s="656"/>
      <c r="Q242" s="656"/>
      <c r="R242" s="656"/>
      <c r="S242" s="656"/>
      <c r="T242" s="656"/>
      <c r="U242" s="656"/>
      <c r="V242" s="656"/>
      <c r="W242" s="656"/>
      <c r="X242" s="656"/>
      <c r="Y242" s="656">
        <v>0</v>
      </c>
      <c r="Z242" s="656"/>
      <c r="AA242" s="656"/>
      <c r="AB242" s="656">
        <v>0</v>
      </c>
      <c r="AC242" s="656"/>
      <c r="AD242" s="158"/>
      <c r="AE242" s="158"/>
      <c r="AF242" s="656"/>
      <c r="AG242" s="656"/>
      <c r="AH242" s="656"/>
      <c r="AI242" s="656"/>
      <c r="AJ242" s="656"/>
      <c r="AK242" s="656"/>
      <c r="AL242" s="656"/>
      <c r="AM242" s="656"/>
      <c r="AN242" s="656"/>
      <c r="AO242" s="656"/>
      <c r="AP242" s="656"/>
      <c r="AQ242" s="656"/>
      <c r="AR242" s="656"/>
      <c r="AS242" s="656"/>
      <c r="AT242" s="656"/>
      <c r="AU242" s="656"/>
      <c r="AV242" s="656"/>
      <c r="AW242" s="656"/>
      <c r="AX242" s="656"/>
      <c r="AY242" s="656"/>
      <c r="AZ242" s="656"/>
      <c r="BA242" s="656"/>
      <c r="BB242" s="656"/>
      <c r="BC242" s="656"/>
      <c r="BD242" s="656"/>
      <c r="BE242" s="656"/>
      <c r="BF242" s="656"/>
      <c r="BG242" s="656"/>
      <c r="BH242" s="656"/>
      <c r="BI242" s="656"/>
      <c r="BJ242" s="656"/>
      <c r="BK242" s="656"/>
      <c r="BL242" s="656"/>
      <c r="BM242" s="656"/>
      <c r="BN242" s="656"/>
      <c r="BO242" s="656"/>
      <c r="BP242" s="656"/>
      <c r="BQ242" s="656"/>
      <c r="BR242" s="656"/>
      <c r="BS242" s="656"/>
      <c r="BT242" s="656"/>
      <c r="BU242" s="656"/>
      <c r="BV242" s="656"/>
      <c r="BW242" s="656"/>
      <c r="BX242" s="656"/>
      <c r="BY242" s="656"/>
      <c r="BZ242" s="656"/>
      <c r="CA242" s="656"/>
      <c r="CB242" s="656"/>
      <c r="CC242" s="656"/>
      <c r="CD242" s="656"/>
      <c r="CE242" s="656"/>
      <c r="CF242" s="656"/>
      <c r="CG242" s="656"/>
      <c r="CH242" s="656"/>
      <c r="CI242" s="656">
        <v>0</v>
      </c>
      <c r="CJ242" s="656"/>
      <c r="CK242" s="656"/>
      <c r="CL242" s="656"/>
      <c r="CM242" s="656"/>
      <c r="CN242" s="656"/>
      <c r="CO242" s="656"/>
      <c r="CP242" s="656"/>
      <c r="CQ242" s="656"/>
      <c r="CR242" s="656"/>
      <c r="CS242" s="656">
        <v>0</v>
      </c>
      <c r="CT242" s="656">
        <v>0</v>
      </c>
      <c r="CU242" s="656">
        <v>0</v>
      </c>
      <c r="CV242" s="656">
        <v>0</v>
      </c>
      <c r="CW242" s="656">
        <v>0</v>
      </c>
      <c r="CX242" s="656">
        <v>0</v>
      </c>
      <c r="CZ242" s="656" t="e">
        <v>#NAME?</v>
      </c>
      <c r="DB242" s="156" t="s">
        <v>284</v>
      </c>
      <c r="DG242" s="156" t="e">
        <v>#VALUE!</v>
      </c>
    </row>
    <row r="243" spans="1:111" ht="12.75">
      <c r="A243" s="165" t="s">
        <v>283</v>
      </c>
      <c r="B243" s="656"/>
      <c r="C243" s="656"/>
      <c r="D243" s="656"/>
      <c r="E243" s="656"/>
      <c r="F243" s="656"/>
      <c r="G243" s="656"/>
      <c r="H243" s="656"/>
      <c r="I243" s="656"/>
      <c r="J243" s="656"/>
      <c r="K243" s="656"/>
      <c r="L243" s="656"/>
      <c r="M243" s="656"/>
      <c r="N243" s="656"/>
      <c r="O243" s="656"/>
      <c r="P243" s="656"/>
      <c r="Q243" s="656"/>
      <c r="R243" s="656"/>
      <c r="S243" s="656"/>
      <c r="T243" s="656"/>
      <c r="U243" s="656"/>
      <c r="V243" s="656"/>
      <c r="W243" s="656"/>
      <c r="X243" s="656"/>
      <c r="Y243" s="656">
        <v>0</v>
      </c>
      <c r="Z243" s="656"/>
      <c r="AA243" s="656"/>
      <c r="AB243" s="656">
        <v>9.8089029999999994E-2</v>
      </c>
      <c r="AC243" s="656"/>
      <c r="AD243" s="158"/>
      <c r="AE243" s="158"/>
      <c r="AF243" s="656"/>
      <c r="AG243" s="656"/>
      <c r="AH243" s="656"/>
      <c r="AI243" s="656"/>
      <c r="AJ243" s="656"/>
      <c r="AK243" s="656"/>
      <c r="AL243" s="656"/>
      <c r="AM243" s="656"/>
      <c r="AN243" s="656"/>
      <c r="AO243" s="656"/>
      <c r="AP243" s="656"/>
      <c r="AQ243" s="656"/>
      <c r="AR243" s="656"/>
      <c r="AS243" s="656"/>
      <c r="AT243" s="656"/>
      <c r="AU243" s="656"/>
      <c r="AV243" s="656"/>
      <c r="AW243" s="656"/>
      <c r="AX243" s="656"/>
      <c r="AY243" s="656"/>
      <c r="AZ243" s="656"/>
      <c r="BA243" s="656"/>
      <c r="BB243" s="656"/>
      <c r="BC243" s="656"/>
      <c r="BD243" s="656"/>
      <c r="BE243" s="656"/>
      <c r="BF243" s="656"/>
      <c r="BG243" s="656"/>
      <c r="BH243" s="656"/>
      <c r="BI243" s="656"/>
      <c r="BJ243" s="656"/>
      <c r="BK243" s="656"/>
      <c r="BL243" s="656"/>
      <c r="BM243" s="656"/>
      <c r="BN243" s="656"/>
      <c r="BO243" s="656"/>
      <c r="BP243" s="656"/>
      <c r="BQ243" s="656"/>
      <c r="BR243" s="656"/>
      <c r="BS243" s="656"/>
      <c r="BT243" s="656"/>
      <c r="BU243" s="656"/>
      <c r="BV243" s="656"/>
      <c r="BW243" s="656"/>
      <c r="BX243" s="656"/>
      <c r="BY243" s="656"/>
      <c r="BZ243" s="656"/>
      <c r="CA243" s="656"/>
      <c r="CB243" s="656"/>
      <c r="CC243" s="656"/>
      <c r="CD243" s="656"/>
      <c r="CE243" s="656"/>
      <c r="CF243" s="656"/>
      <c r="CG243" s="656">
        <v>-1.0167018299999999</v>
      </c>
      <c r="CH243" s="656"/>
      <c r="CI243" s="656">
        <v>0</v>
      </c>
      <c r="CJ243" s="656"/>
      <c r="CK243" s="656"/>
      <c r="CL243" s="656"/>
      <c r="CM243" s="656"/>
      <c r="CN243" s="656"/>
      <c r="CO243" s="656"/>
      <c r="CP243" s="656"/>
      <c r="CQ243" s="656"/>
      <c r="CR243" s="656"/>
      <c r="CS243" s="656">
        <v>0.13976515</v>
      </c>
      <c r="CT243" s="656">
        <v>0</v>
      </c>
      <c r="CU243" s="656">
        <v>9.8089029999999994E-2</v>
      </c>
      <c r="CV243" s="656">
        <v>0</v>
      </c>
      <c r="CW243" s="656">
        <v>1.53622E-3</v>
      </c>
      <c r="CX243" s="656">
        <v>0</v>
      </c>
      <c r="CZ243" s="656" t="e">
        <v>#NAME?</v>
      </c>
      <c r="DB243" s="156" t="s">
        <v>283</v>
      </c>
    </row>
    <row r="244" spans="1:111" ht="12.75">
      <c r="A244" s="165" t="s">
        <v>282</v>
      </c>
      <c r="B244" s="656"/>
      <c r="C244" s="656"/>
      <c r="D244" s="656"/>
      <c r="E244" s="656"/>
      <c r="F244" s="656"/>
      <c r="G244" s="656"/>
      <c r="H244" s="656"/>
      <c r="I244" s="656"/>
      <c r="J244" s="656"/>
      <c r="K244" s="656"/>
      <c r="L244" s="656"/>
      <c r="M244" s="656"/>
      <c r="N244" s="656"/>
      <c r="O244" s="656"/>
      <c r="P244" s="656"/>
      <c r="Q244" s="656"/>
      <c r="R244" s="656"/>
      <c r="S244" s="656"/>
      <c r="T244" s="656"/>
      <c r="U244" s="656"/>
      <c r="V244" s="656"/>
      <c r="W244" s="656"/>
      <c r="X244" s="656"/>
      <c r="Y244" s="656">
        <v>6.7292364000000005</v>
      </c>
      <c r="Z244" s="656">
        <v>2.83745015</v>
      </c>
      <c r="AA244" s="656">
        <v>0.41496262</v>
      </c>
      <c r="AB244" s="656">
        <v>0.71749620999999997</v>
      </c>
      <c r="AC244" s="656"/>
      <c r="AD244" s="158"/>
      <c r="AE244" s="158"/>
      <c r="AF244" s="656"/>
      <c r="AG244" s="656"/>
      <c r="AH244" s="656"/>
      <c r="AI244" s="656"/>
      <c r="AJ244" s="656"/>
      <c r="AK244" s="656"/>
      <c r="AL244" s="656"/>
      <c r="AM244" s="656"/>
      <c r="AN244" s="656"/>
      <c r="AO244" s="656"/>
      <c r="AP244" s="656"/>
      <c r="AQ244" s="656"/>
      <c r="AR244" s="656"/>
      <c r="AS244" s="656"/>
      <c r="AT244" s="656"/>
      <c r="AU244" s="656"/>
      <c r="AV244" s="656"/>
      <c r="AW244" s="656"/>
      <c r="AX244" s="656"/>
      <c r="AY244" s="656"/>
      <c r="AZ244" s="656"/>
      <c r="BA244" s="656"/>
      <c r="BB244" s="656"/>
      <c r="BC244" s="656"/>
      <c r="BD244" s="656"/>
      <c r="BE244" s="656"/>
      <c r="BF244" s="656"/>
      <c r="BG244" s="656"/>
      <c r="BH244" s="656"/>
      <c r="BI244" s="656"/>
      <c r="BJ244" s="656"/>
      <c r="BK244" s="656"/>
      <c r="BL244" s="656"/>
      <c r="BM244" s="656"/>
      <c r="BN244" s="656"/>
      <c r="BO244" s="656"/>
      <c r="BP244" s="656"/>
      <c r="BQ244" s="656"/>
      <c r="BR244" s="656"/>
      <c r="BS244" s="656"/>
      <c r="BT244" s="656"/>
      <c r="BU244" s="656"/>
      <c r="BV244" s="656"/>
      <c r="BW244" s="656"/>
      <c r="BX244" s="656"/>
      <c r="BY244" s="656"/>
      <c r="BZ244" s="656"/>
      <c r="CA244" s="656"/>
      <c r="CB244" s="656"/>
      <c r="CC244" s="656"/>
      <c r="CD244" s="656"/>
      <c r="CE244" s="656"/>
      <c r="CF244" s="656"/>
      <c r="CG244" s="656">
        <v>2.2523222000000001</v>
      </c>
      <c r="CH244" s="656"/>
      <c r="CI244" s="656">
        <v>6.7292364000000005</v>
      </c>
      <c r="CJ244" s="656"/>
      <c r="CK244" s="656">
        <v>9.3722189999999997E-2</v>
      </c>
      <c r="CL244" s="656"/>
      <c r="CM244" s="656">
        <v>2.83745015</v>
      </c>
      <c r="CN244" s="656"/>
      <c r="CO244" s="656">
        <v>0.37747205</v>
      </c>
      <c r="CP244" s="656"/>
      <c r="CQ244" s="656">
        <v>0.41496262</v>
      </c>
      <c r="CR244" s="656"/>
      <c r="CS244" s="656">
        <v>0.56184621000000001</v>
      </c>
      <c r="CT244" s="656">
        <v>0</v>
      </c>
      <c r="CU244" s="656">
        <v>0.71749620999999997</v>
      </c>
      <c r="CV244" s="656">
        <v>0</v>
      </c>
      <c r="CW244" s="656">
        <v>0.50370559999999998</v>
      </c>
      <c r="CX244" s="656">
        <v>0</v>
      </c>
      <c r="CZ244" s="656" t="e">
        <v>#NAME?</v>
      </c>
      <c r="DB244" s="156" t="s">
        <v>282</v>
      </c>
      <c r="DG244" s="156">
        <v>5070</v>
      </c>
    </row>
    <row r="245" spans="1:111" ht="12.75">
      <c r="A245" s="165" t="s">
        <v>281</v>
      </c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6"/>
      <c r="P245" s="656"/>
      <c r="Q245" s="656"/>
      <c r="R245" s="656"/>
      <c r="S245" s="656"/>
      <c r="T245" s="656"/>
      <c r="U245" s="656"/>
      <c r="V245" s="656"/>
      <c r="W245" s="656"/>
      <c r="X245" s="656"/>
      <c r="Y245" s="656">
        <v>-116.67008993</v>
      </c>
      <c r="Z245" s="656">
        <v>-12.7878311</v>
      </c>
      <c r="AA245" s="656">
        <v>-29.3724329</v>
      </c>
      <c r="AB245" s="656">
        <v>-32.948581670000003</v>
      </c>
      <c r="AC245" s="656"/>
      <c r="AD245" s="158"/>
      <c r="AE245" s="158"/>
      <c r="AF245" s="656"/>
      <c r="AG245" s="656"/>
      <c r="AH245" s="656"/>
      <c r="AI245" s="656"/>
      <c r="AJ245" s="656"/>
      <c r="AK245" s="656"/>
      <c r="AL245" s="656"/>
      <c r="AM245" s="656"/>
      <c r="AN245" s="656"/>
      <c r="AO245" s="656"/>
      <c r="AP245" s="656"/>
      <c r="AQ245" s="656"/>
      <c r="AR245" s="656"/>
      <c r="AS245" s="656"/>
      <c r="AT245" s="656"/>
      <c r="AU245" s="656"/>
      <c r="AV245" s="656"/>
      <c r="AW245" s="656"/>
      <c r="AX245" s="656"/>
      <c r="AY245" s="656"/>
      <c r="AZ245" s="656"/>
      <c r="BA245" s="656"/>
      <c r="BB245" s="656"/>
      <c r="BC245" s="656"/>
      <c r="BD245" s="656"/>
      <c r="BE245" s="656"/>
      <c r="BF245" s="656"/>
      <c r="BG245" s="656"/>
      <c r="BH245" s="656"/>
      <c r="BI245" s="656"/>
      <c r="BJ245" s="656"/>
      <c r="BK245" s="656"/>
      <c r="BL245" s="656"/>
      <c r="BM245" s="656"/>
      <c r="BN245" s="656"/>
      <c r="BO245" s="656"/>
      <c r="BP245" s="656"/>
      <c r="BQ245" s="656"/>
      <c r="BR245" s="656"/>
      <c r="BS245" s="656"/>
      <c r="BT245" s="656"/>
      <c r="BU245" s="656"/>
      <c r="BV245" s="656"/>
      <c r="BW245" s="656"/>
      <c r="BX245" s="656"/>
      <c r="BY245" s="656"/>
      <c r="BZ245" s="656"/>
      <c r="CA245" s="656"/>
      <c r="CB245" s="656"/>
      <c r="CC245" s="656"/>
      <c r="CD245" s="656"/>
      <c r="CE245" s="656"/>
      <c r="CF245" s="656"/>
      <c r="CG245" s="656">
        <v>-6.2103795100000001</v>
      </c>
      <c r="CH245" s="656"/>
      <c r="CI245" s="656">
        <v>-116.67008993</v>
      </c>
      <c r="CJ245" s="656"/>
      <c r="CK245" s="656">
        <v>-32.879002479999997</v>
      </c>
      <c r="CL245" s="656"/>
      <c r="CM245" s="656">
        <v>-12.7878311</v>
      </c>
      <c r="CN245" s="656"/>
      <c r="CO245" s="656">
        <v>-72.317929159999991</v>
      </c>
      <c r="CP245" s="656"/>
      <c r="CQ245" s="656">
        <v>-29.3724329</v>
      </c>
      <c r="CR245" s="656"/>
      <c r="CS245" s="656">
        <v>-14.529543929999999</v>
      </c>
      <c r="CT245" s="656">
        <v>0</v>
      </c>
      <c r="CU245" s="656">
        <v>-32.948581670000003</v>
      </c>
      <c r="CV245" s="656">
        <v>0</v>
      </c>
      <c r="CW245" s="656">
        <v>-79.295974889999997</v>
      </c>
      <c r="CX245" s="656">
        <v>0</v>
      </c>
      <c r="CZ245" s="656" t="e">
        <v>#NAME?</v>
      </c>
      <c r="DB245" s="156" t="s">
        <v>281</v>
      </c>
      <c r="DG245" s="156">
        <v>1394</v>
      </c>
    </row>
    <row r="246" spans="1:111" ht="12.75">
      <c r="A246" s="165" t="s">
        <v>280</v>
      </c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6"/>
      <c r="P246" s="656"/>
      <c r="Q246" s="656"/>
      <c r="R246" s="656"/>
      <c r="S246" s="656"/>
      <c r="T246" s="656"/>
      <c r="U246" s="656"/>
      <c r="V246" s="656">
        <v>6.9068464699999996</v>
      </c>
      <c r="W246" s="656">
        <v>5.40212936</v>
      </c>
      <c r="X246" s="656">
        <v>11.237455499999999</v>
      </c>
      <c r="Y246" s="656">
        <v>15.44038626</v>
      </c>
      <c r="Z246" s="656">
        <v>49.55672861</v>
      </c>
      <c r="AA246" s="656">
        <v>57.720814470000001</v>
      </c>
      <c r="AB246" s="656">
        <v>-119.89998962999999</v>
      </c>
      <c r="AC246" s="656"/>
      <c r="AD246" s="158"/>
      <c r="AE246" s="158"/>
      <c r="AF246" s="656"/>
      <c r="AG246" s="656"/>
      <c r="AH246" s="656"/>
      <c r="AI246" s="656"/>
      <c r="AJ246" s="656"/>
      <c r="AK246" s="656"/>
      <c r="AL246" s="656"/>
      <c r="AM246" s="656"/>
      <c r="AN246" s="656"/>
      <c r="AO246" s="656"/>
      <c r="AP246" s="656"/>
      <c r="AQ246" s="656"/>
      <c r="AR246" s="656"/>
      <c r="AS246" s="656"/>
      <c r="AT246" s="656"/>
      <c r="AU246" s="656"/>
      <c r="AV246" s="656"/>
      <c r="AW246" s="656"/>
      <c r="AX246" s="656"/>
      <c r="AY246" s="656"/>
      <c r="AZ246" s="656"/>
      <c r="BA246" s="656"/>
      <c r="BB246" s="656"/>
      <c r="BC246" s="656"/>
      <c r="BD246" s="656"/>
      <c r="BE246" s="656"/>
      <c r="BF246" s="656"/>
      <c r="BG246" s="656"/>
      <c r="BH246" s="656"/>
      <c r="BI246" s="656"/>
      <c r="BJ246" s="656"/>
      <c r="BK246" s="656"/>
      <c r="BL246" s="656"/>
      <c r="BM246" s="656"/>
      <c r="BN246" s="656"/>
      <c r="BO246" s="656"/>
      <c r="BP246" s="656"/>
      <c r="BQ246" s="656"/>
      <c r="BR246" s="656"/>
      <c r="BS246" s="656"/>
      <c r="BT246" s="656"/>
      <c r="BU246" s="656"/>
      <c r="BV246" s="656"/>
      <c r="BW246" s="656"/>
      <c r="BX246" s="656"/>
      <c r="BY246" s="656"/>
      <c r="BZ246" s="656"/>
      <c r="CA246" s="656"/>
      <c r="CB246" s="656">
        <v>1.4244545100000001</v>
      </c>
      <c r="CC246" s="656"/>
      <c r="CD246" s="656"/>
      <c r="CE246" s="656">
        <v>11.237455499999999</v>
      </c>
      <c r="CF246" s="656">
        <v>3.55783184</v>
      </c>
      <c r="CG246" s="656">
        <v>7.19341133</v>
      </c>
      <c r="CH246" s="656"/>
      <c r="CI246" s="656">
        <v>15.44038626</v>
      </c>
      <c r="CJ246" s="656"/>
      <c r="CK246" s="656">
        <v>21.900270729999999</v>
      </c>
      <c r="CL246" s="656"/>
      <c r="CM246" s="656">
        <v>49.55672861</v>
      </c>
      <c r="CN246" s="656"/>
      <c r="CO246" s="656">
        <v>2.50428125</v>
      </c>
      <c r="CP246" s="656"/>
      <c r="CQ246" s="656">
        <v>57.720814470000001</v>
      </c>
      <c r="CR246" s="656"/>
      <c r="CS246" s="656">
        <v>-90.053329869999999</v>
      </c>
      <c r="CT246" s="656">
        <v>0</v>
      </c>
      <c r="CU246" s="656">
        <v>-119.89998962999999</v>
      </c>
      <c r="CV246" s="656">
        <v>0</v>
      </c>
      <c r="CW246" s="656">
        <v>-61.322428600000002</v>
      </c>
      <c r="CX246" s="656">
        <v>0</v>
      </c>
      <c r="CZ246" s="656" t="e">
        <v>#NAME?</v>
      </c>
      <c r="DB246" s="156" t="s">
        <v>280</v>
      </c>
      <c r="DG246" s="156">
        <v>6</v>
      </c>
    </row>
    <row r="247" spans="1:111" ht="12.75">
      <c r="A247" s="165" t="s">
        <v>279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>
        <v>-13.060715949999999</v>
      </c>
      <c r="W247" s="656">
        <v>-7.1893000999999996</v>
      </c>
      <c r="X247" s="656">
        <v>-9.8371245799999993</v>
      </c>
      <c r="Y247" s="656">
        <v>-22.52671557</v>
      </c>
      <c r="Z247" s="656">
        <v>-70.018458499999994</v>
      </c>
      <c r="AA247" s="656">
        <v>-141.56359981</v>
      </c>
      <c r="AB247" s="656">
        <v>-95.315854420000008</v>
      </c>
      <c r="AC247" s="656"/>
      <c r="AD247" s="158"/>
      <c r="AE247" s="158"/>
      <c r="AF247" s="656"/>
      <c r="AG247" s="656"/>
      <c r="AH247" s="656"/>
      <c r="AI247" s="656"/>
      <c r="AJ247" s="656"/>
      <c r="AK247" s="656"/>
      <c r="AL247" s="656"/>
      <c r="AM247" s="656"/>
      <c r="AN247" s="656"/>
      <c r="AO247" s="656"/>
      <c r="AP247" s="656"/>
      <c r="AQ247" s="656"/>
      <c r="AR247" s="656"/>
      <c r="AS247" s="656"/>
      <c r="AT247" s="656"/>
      <c r="AU247" s="656"/>
      <c r="AV247" s="656"/>
      <c r="AW247" s="656"/>
      <c r="AX247" s="656"/>
      <c r="AY247" s="656"/>
      <c r="AZ247" s="656"/>
      <c r="BA247" s="656"/>
      <c r="BB247" s="656"/>
      <c r="BC247" s="656"/>
      <c r="BD247" s="656"/>
      <c r="BE247" s="656"/>
      <c r="BF247" s="656"/>
      <c r="BG247" s="656"/>
      <c r="BH247" s="656"/>
      <c r="BI247" s="656"/>
      <c r="BJ247" s="656"/>
      <c r="BK247" s="656"/>
      <c r="BL247" s="656"/>
      <c r="BM247" s="656"/>
      <c r="BN247" s="656"/>
      <c r="BO247" s="656"/>
      <c r="BP247" s="656"/>
      <c r="BQ247" s="656"/>
      <c r="BR247" s="656"/>
      <c r="BS247" s="656"/>
      <c r="BT247" s="656"/>
      <c r="BU247" s="656"/>
      <c r="BV247" s="656"/>
      <c r="BW247" s="656"/>
      <c r="BX247" s="656"/>
      <c r="BY247" s="656"/>
      <c r="BZ247" s="656"/>
      <c r="CA247" s="656"/>
      <c r="CB247" s="656">
        <v>-1.09064915</v>
      </c>
      <c r="CC247" s="656"/>
      <c r="CD247" s="656"/>
      <c r="CE247" s="656">
        <v>-9.8371245799999993</v>
      </c>
      <c r="CF247" s="656">
        <v>-3.9421580199999999</v>
      </c>
      <c r="CG247" s="656">
        <v>-9.5305684100000008</v>
      </c>
      <c r="CH247" s="656"/>
      <c r="CI247" s="656">
        <v>-22.52671557</v>
      </c>
      <c r="CJ247" s="656"/>
      <c r="CK247" s="656">
        <v>-15.019116070000001</v>
      </c>
      <c r="CL247" s="656"/>
      <c r="CM247" s="656">
        <v>-70.018458499999994</v>
      </c>
      <c r="CN247" s="656"/>
      <c r="CO247" s="656">
        <v>-72.838272590000003</v>
      </c>
      <c r="CP247" s="656"/>
      <c r="CQ247" s="656">
        <v>-141.56359981</v>
      </c>
      <c r="CR247" s="656"/>
      <c r="CS247" s="656">
        <v>-35.853332039999998</v>
      </c>
      <c r="CT247" s="656">
        <v>0</v>
      </c>
      <c r="CU247" s="656">
        <v>-95.315854420000008</v>
      </c>
      <c r="CV247" s="656">
        <v>0</v>
      </c>
      <c r="CW247" s="656">
        <v>-56.706210219999996</v>
      </c>
      <c r="CX247" s="656">
        <v>0</v>
      </c>
      <c r="CZ247" s="656" t="e">
        <v>#NAME?</v>
      </c>
      <c r="DB247" s="156" t="s">
        <v>279</v>
      </c>
      <c r="DG247" s="156">
        <v>3670</v>
      </c>
    </row>
    <row r="248" spans="1:111" ht="12.75">
      <c r="A248" s="165" t="s">
        <v>278</v>
      </c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6"/>
      <c r="P248" s="656"/>
      <c r="Q248" s="656"/>
      <c r="R248" s="656"/>
      <c r="S248" s="656"/>
      <c r="T248" s="656"/>
      <c r="U248" s="656"/>
      <c r="V248" s="656">
        <v>22.481813679999998</v>
      </c>
      <c r="W248" s="656">
        <v>-39.206649079999998</v>
      </c>
      <c r="X248" s="656">
        <v>-51.568615109999996</v>
      </c>
      <c r="Y248" s="656">
        <v>-46.065306640000003</v>
      </c>
      <c r="Z248" s="656">
        <v>-141.48335591</v>
      </c>
      <c r="AA248" s="656">
        <v>-37.725795890000001</v>
      </c>
      <c r="AB248" s="656">
        <v>-100.65380625</v>
      </c>
      <c r="AC248" s="656"/>
      <c r="AD248" s="158"/>
      <c r="AE248" s="158"/>
      <c r="AF248" s="656"/>
      <c r="AG248" s="656"/>
      <c r="AH248" s="656"/>
      <c r="AI248" s="656"/>
      <c r="AJ248" s="656"/>
      <c r="AK248" s="656"/>
      <c r="AL248" s="656"/>
      <c r="AM248" s="656"/>
      <c r="AN248" s="656"/>
      <c r="AO248" s="656"/>
      <c r="AP248" s="656"/>
      <c r="AQ248" s="656"/>
      <c r="AR248" s="656"/>
      <c r="AS248" s="656"/>
      <c r="AT248" s="656"/>
      <c r="AU248" s="656"/>
      <c r="AV248" s="656"/>
      <c r="AW248" s="656"/>
      <c r="AX248" s="656"/>
      <c r="AY248" s="656"/>
      <c r="AZ248" s="656"/>
      <c r="BA248" s="656"/>
      <c r="BB248" s="656"/>
      <c r="BC248" s="656"/>
      <c r="BD248" s="656"/>
      <c r="BE248" s="656"/>
      <c r="BF248" s="656"/>
      <c r="BG248" s="656"/>
      <c r="BH248" s="656"/>
      <c r="BI248" s="656"/>
      <c r="BJ248" s="656"/>
      <c r="BK248" s="656"/>
      <c r="BL248" s="656"/>
      <c r="BM248" s="656"/>
      <c r="BN248" s="656"/>
      <c r="BO248" s="656"/>
      <c r="BP248" s="656"/>
      <c r="BQ248" s="656"/>
      <c r="BR248" s="656"/>
      <c r="BS248" s="656"/>
      <c r="BT248" s="656"/>
      <c r="BU248" s="656"/>
      <c r="BV248" s="656"/>
      <c r="BW248" s="656"/>
      <c r="BX248" s="656"/>
      <c r="BY248" s="656"/>
      <c r="BZ248" s="656"/>
      <c r="CA248" s="656"/>
      <c r="CB248" s="656">
        <v>-26.987811269999998</v>
      </c>
      <c r="CC248" s="656"/>
      <c r="CD248" s="656"/>
      <c r="CE248" s="656">
        <v>-51.568615109999996</v>
      </c>
      <c r="CF248" s="656">
        <v>-39.287817149999995</v>
      </c>
      <c r="CG248" s="656">
        <v>-79.955861589999998</v>
      </c>
      <c r="CH248" s="656"/>
      <c r="CI248" s="656">
        <v>-46.065306640000003</v>
      </c>
      <c r="CJ248" s="656"/>
      <c r="CK248" s="656">
        <v>-109.97623287</v>
      </c>
      <c r="CL248" s="656"/>
      <c r="CM248" s="656">
        <v>-141.48335591</v>
      </c>
      <c r="CN248" s="656"/>
      <c r="CO248" s="656">
        <v>-105.012502</v>
      </c>
      <c r="CP248" s="656"/>
      <c r="CQ248" s="656">
        <v>-37.725795890000001</v>
      </c>
      <c r="CR248" s="656"/>
      <c r="CS248" s="656">
        <v>-89.233875439999991</v>
      </c>
      <c r="CT248" s="656">
        <v>0</v>
      </c>
      <c r="CU248" s="656">
        <v>-100.65380625</v>
      </c>
      <c r="CV248" s="656">
        <v>0</v>
      </c>
      <c r="CW248" s="656">
        <v>-187.97771541</v>
      </c>
      <c r="CX248" s="656">
        <v>0</v>
      </c>
      <c r="CZ248" s="656" t="e">
        <v>#NAME?</v>
      </c>
      <c r="DB248" s="156" t="s">
        <v>278</v>
      </c>
      <c r="DG248" s="156" t="e">
        <v>#VALUE!</v>
      </c>
    </row>
    <row r="249" spans="1:111" ht="12.75">
      <c r="A249" s="165" t="s">
        <v>277</v>
      </c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6"/>
      <c r="P249" s="656"/>
      <c r="Q249" s="656"/>
      <c r="R249" s="656"/>
      <c r="S249" s="656"/>
      <c r="T249" s="656"/>
      <c r="U249" s="656"/>
      <c r="V249" s="656">
        <v>0.55322981999999998</v>
      </c>
      <c r="W249" s="656">
        <v>0.63025675000000003</v>
      </c>
      <c r="X249" s="656">
        <v>-0.19710604000000001</v>
      </c>
      <c r="Y249" s="656">
        <v>3.03161652</v>
      </c>
      <c r="Z249" s="656">
        <v>-3.2686890699999998</v>
      </c>
      <c r="AA249" s="656">
        <v>2.8560432699999998</v>
      </c>
      <c r="AB249" s="656">
        <v>-0.33663484000000005</v>
      </c>
      <c r="AC249" s="656"/>
      <c r="AD249" s="158"/>
      <c r="AE249" s="158"/>
      <c r="AF249" s="656"/>
      <c r="AG249" s="656"/>
      <c r="AH249" s="656"/>
      <c r="AI249" s="656"/>
      <c r="AJ249" s="656"/>
      <c r="AK249" s="656"/>
      <c r="AL249" s="656"/>
      <c r="AM249" s="656"/>
      <c r="AN249" s="656"/>
      <c r="AO249" s="656"/>
      <c r="AP249" s="656"/>
      <c r="AQ249" s="656"/>
      <c r="AR249" s="656"/>
      <c r="AS249" s="656"/>
      <c r="AT249" s="656"/>
      <c r="AU249" s="656"/>
      <c r="AV249" s="656"/>
      <c r="AW249" s="656"/>
      <c r="AX249" s="656"/>
      <c r="AY249" s="656"/>
      <c r="AZ249" s="656"/>
      <c r="BA249" s="656"/>
      <c r="BB249" s="656"/>
      <c r="BC249" s="656"/>
      <c r="BD249" s="656"/>
      <c r="BE249" s="656"/>
      <c r="BF249" s="656"/>
      <c r="BG249" s="656"/>
      <c r="BH249" s="656"/>
      <c r="BI249" s="656"/>
      <c r="BJ249" s="656"/>
      <c r="BK249" s="656"/>
      <c r="BL249" s="656"/>
      <c r="BM249" s="656"/>
      <c r="BN249" s="656"/>
      <c r="BO249" s="656"/>
      <c r="BP249" s="656"/>
      <c r="BQ249" s="656"/>
      <c r="BR249" s="656"/>
      <c r="BS249" s="656"/>
      <c r="BT249" s="656"/>
      <c r="BU249" s="656"/>
      <c r="BV249" s="656"/>
      <c r="BW249" s="656"/>
      <c r="BX249" s="656"/>
      <c r="BY249" s="656"/>
      <c r="BZ249" s="656"/>
      <c r="CA249" s="656"/>
      <c r="CB249" s="656"/>
      <c r="CC249" s="656"/>
      <c r="CD249" s="656"/>
      <c r="CE249" s="656">
        <v>-0.19710604000000001</v>
      </c>
      <c r="CF249" s="656">
        <v>-2.6410909999999999E-2</v>
      </c>
      <c r="CG249" s="656">
        <v>-5.7432050000000005E-2</v>
      </c>
      <c r="CH249" s="656"/>
      <c r="CI249" s="656">
        <v>3.03161652</v>
      </c>
      <c r="CJ249" s="656"/>
      <c r="CK249" s="656">
        <v>3.1331208099999999</v>
      </c>
      <c r="CL249" s="656"/>
      <c r="CM249" s="656">
        <v>-3.2686890699999998</v>
      </c>
      <c r="CN249" s="656"/>
      <c r="CO249" s="656">
        <v>6.0379284900000005</v>
      </c>
      <c r="CP249" s="656"/>
      <c r="CQ249" s="656">
        <v>2.8560432699999998</v>
      </c>
      <c r="CR249" s="656"/>
      <c r="CS249" s="656">
        <v>-1.4875616100000002</v>
      </c>
      <c r="CT249" s="656">
        <v>0</v>
      </c>
      <c r="CU249" s="656">
        <v>-0.33663484000000005</v>
      </c>
      <c r="CV249" s="656">
        <v>0</v>
      </c>
      <c r="CW249" s="656">
        <v>-2.5494350299999997</v>
      </c>
      <c r="CX249" s="656">
        <v>0</v>
      </c>
      <c r="CZ249" s="656" t="e">
        <v>#NAME?</v>
      </c>
      <c r="DB249" s="156" t="s">
        <v>277</v>
      </c>
      <c r="DG249" s="156" t="e">
        <v>#VALUE!</v>
      </c>
    </row>
    <row r="250" spans="1:111" ht="12.75">
      <c r="A250" s="165" t="s">
        <v>276</v>
      </c>
      <c r="B250" s="656"/>
      <c r="C250" s="656"/>
      <c r="D250" s="656"/>
      <c r="E250" s="656"/>
      <c r="F250" s="656"/>
      <c r="G250" s="656"/>
      <c r="H250" s="656"/>
      <c r="I250" s="656"/>
      <c r="J250" s="656"/>
      <c r="K250" s="656"/>
      <c r="L250" s="656"/>
      <c r="M250" s="656"/>
      <c r="N250" s="656"/>
      <c r="O250" s="656"/>
      <c r="P250" s="656"/>
      <c r="Q250" s="656"/>
      <c r="R250" s="656"/>
      <c r="S250" s="656"/>
      <c r="T250" s="656"/>
      <c r="U250" s="656"/>
      <c r="V250" s="656">
        <v>14.281262369999999</v>
      </c>
      <c r="W250" s="656">
        <v>-95.428729260000011</v>
      </c>
      <c r="X250" s="656">
        <v>-58.473150049999994</v>
      </c>
      <c r="Y250" s="656">
        <v>-67.33474815999999</v>
      </c>
      <c r="Z250" s="656">
        <v>-54.183837880000006</v>
      </c>
      <c r="AA250" s="656">
        <v>-176.07688181999998</v>
      </c>
      <c r="AB250" s="656">
        <v>-499.48250118999999</v>
      </c>
      <c r="AC250" s="656"/>
      <c r="AD250" s="158"/>
      <c r="AE250" s="158"/>
      <c r="AF250" s="656"/>
      <c r="AG250" s="656"/>
      <c r="AH250" s="656"/>
      <c r="AI250" s="656"/>
      <c r="AJ250" s="656"/>
      <c r="AK250" s="656"/>
      <c r="AL250" s="656"/>
      <c r="AM250" s="656"/>
      <c r="AN250" s="656"/>
      <c r="AO250" s="656"/>
      <c r="AP250" s="656"/>
      <c r="AQ250" s="656"/>
      <c r="AR250" s="656"/>
      <c r="AS250" s="656"/>
      <c r="AT250" s="656"/>
      <c r="AU250" s="656"/>
      <c r="AV250" s="656"/>
      <c r="AW250" s="656"/>
      <c r="AX250" s="656"/>
      <c r="AY250" s="656"/>
      <c r="AZ250" s="656"/>
      <c r="BA250" s="656"/>
      <c r="BB250" s="656"/>
      <c r="BC250" s="656"/>
      <c r="BD250" s="656"/>
      <c r="BE250" s="656"/>
      <c r="BF250" s="656"/>
      <c r="BG250" s="656"/>
      <c r="BH250" s="656"/>
      <c r="BI250" s="656"/>
      <c r="BJ250" s="656"/>
      <c r="BK250" s="656"/>
      <c r="BL250" s="656"/>
      <c r="BM250" s="656"/>
      <c r="BN250" s="656"/>
      <c r="BO250" s="656"/>
      <c r="BP250" s="656"/>
      <c r="BQ250" s="656"/>
      <c r="BR250" s="656"/>
      <c r="BS250" s="656"/>
      <c r="BT250" s="656"/>
      <c r="BU250" s="656"/>
      <c r="BV250" s="656"/>
      <c r="BW250" s="656"/>
      <c r="BX250" s="656"/>
      <c r="BY250" s="656"/>
      <c r="BZ250" s="656"/>
      <c r="CA250" s="656"/>
      <c r="CB250" s="656">
        <v>25.626111290000001</v>
      </c>
      <c r="CC250" s="656"/>
      <c r="CD250" s="656"/>
      <c r="CE250" s="656">
        <v>-58.473150049999994</v>
      </c>
      <c r="CF250" s="656">
        <v>31.011957989999999</v>
      </c>
      <c r="CG250" s="656">
        <v>-1.58486762</v>
      </c>
      <c r="CH250" s="656"/>
      <c r="CI250" s="656">
        <v>-67.33474815999999</v>
      </c>
      <c r="CJ250" s="656"/>
      <c r="CK250" s="656">
        <v>-52.386921919999999</v>
      </c>
      <c r="CL250" s="656"/>
      <c r="CM250" s="656">
        <v>-54.183837880000006</v>
      </c>
      <c r="CN250" s="656"/>
      <c r="CO250" s="656">
        <v>30.156160809999999</v>
      </c>
      <c r="CP250" s="656"/>
      <c r="CQ250" s="656">
        <v>-176.07688181999998</v>
      </c>
      <c r="CR250" s="656"/>
      <c r="CS250" s="656">
        <v>111.72490356</v>
      </c>
      <c r="CT250" s="656">
        <v>0</v>
      </c>
      <c r="CU250" s="656">
        <v>-499.48250118999999</v>
      </c>
      <c r="CV250" s="656">
        <v>0</v>
      </c>
      <c r="CW250" s="656">
        <v>389.76244161</v>
      </c>
      <c r="CX250" s="656">
        <v>0</v>
      </c>
      <c r="CZ250" s="656" t="e">
        <v>#NAME?</v>
      </c>
      <c r="DB250" s="156" t="s">
        <v>276</v>
      </c>
      <c r="DG250" s="156" t="e">
        <v>#VALUE!</v>
      </c>
    </row>
    <row r="251" spans="1:111" ht="12.75">
      <c r="A251" s="165" t="s">
        <v>275</v>
      </c>
      <c r="B251" s="656"/>
      <c r="C251" s="656"/>
      <c r="D251" s="656"/>
      <c r="E251" s="656"/>
      <c r="F251" s="656"/>
      <c r="G251" s="656"/>
      <c r="H251" s="656"/>
      <c r="I251" s="656"/>
      <c r="J251" s="656"/>
      <c r="K251" s="656"/>
      <c r="L251" s="656"/>
      <c r="M251" s="656"/>
      <c r="N251" s="656"/>
      <c r="O251" s="656"/>
      <c r="P251" s="656"/>
      <c r="Q251" s="656"/>
      <c r="R251" s="656"/>
      <c r="S251" s="656"/>
      <c r="T251" s="656"/>
      <c r="U251" s="656"/>
      <c r="V251" s="656">
        <v>29.155433629999997</v>
      </c>
      <c r="W251" s="656">
        <v>-51.529387659999998</v>
      </c>
      <c r="X251" s="656">
        <v>-5.7621598600000006</v>
      </c>
      <c r="Y251" s="656">
        <v>106.76323897</v>
      </c>
      <c r="Z251" s="656">
        <v>-55.926652149999995</v>
      </c>
      <c r="AA251" s="656">
        <v>-88.376155760000003</v>
      </c>
      <c r="AB251" s="656">
        <v>-91.608529110000006</v>
      </c>
      <c r="AC251" s="656"/>
      <c r="AD251" s="158"/>
      <c r="AE251" s="158"/>
      <c r="AF251" s="656"/>
      <c r="AG251" s="656"/>
      <c r="AH251" s="656"/>
      <c r="AI251" s="656"/>
      <c r="AJ251" s="656"/>
      <c r="AK251" s="656"/>
      <c r="AL251" s="656"/>
      <c r="AM251" s="656"/>
      <c r="AN251" s="656"/>
      <c r="AO251" s="656"/>
      <c r="AP251" s="656"/>
      <c r="AQ251" s="656"/>
      <c r="AR251" s="656"/>
      <c r="AS251" s="656"/>
      <c r="AT251" s="656"/>
      <c r="AU251" s="656"/>
      <c r="AV251" s="656"/>
      <c r="AW251" s="656"/>
      <c r="AX251" s="656"/>
      <c r="AY251" s="656"/>
      <c r="AZ251" s="656"/>
      <c r="BA251" s="656"/>
      <c r="BB251" s="656"/>
      <c r="BC251" s="656"/>
      <c r="BD251" s="656"/>
      <c r="BE251" s="656"/>
      <c r="BF251" s="656"/>
      <c r="BG251" s="656"/>
      <c r="BH251" s="656"/>
      <c r="BI251" s="656"/>
      <c r="BJ251" s="656"/>
      <c r="BK251" s="656"/>
      <c r="BL251" s="656"/>
      <c r="BM251" s="656"/>
      <c r="BN251" s="656"/>
      <c r="BO251" s="656"/>
      <c r="BP251" s="656"/>
      <c r="BQ251" s="656"/>
      <c r="BR251" s="656"/>
      <c r="BS251" s="656"/>
      <c r="BT251" s="656"/>
      <c r="BU251" s="656"/>
      <c r="BV251" s="656"/>
      <c r="BW251" s="656"/>
      <c r="BX251" s="656"/>
      <c r="BY251" s="656"/>
      <c r="BZ251" s="656"/>
      <c r="CA251" s="656"/>
      <c r="CB251" s="656">
        <v>-121.78272894</v>
      </c>
      <c r="CC251" s="656"/>
      <c r="CD251" s="656"/>
      <c r="CE251" s="656">
        <v>-5.7621598600000006</v>
      </c>
      <c r="CF251" s="656">
        <v>41.988386439999999</v>
      </c>
      <c r="CG251" s="656">
        <v>65.826872249999994</v>
      </c>
      <c r="CH251" s="656"/>
      <c r="CI251" s="656">
        <v>106.76323897</v>
      </c>
      <c r="CJ251" s="656"/>
      <c r="CK251" s="656">
        <v>-123.39774987</v>
      </c>
      <c r="CL251" s="656"/>
      <c r="CM251" s="656">
        <v>-55.926652149999995</v>
      </c>
      <c r="CN251" s="656"/>
      <c r="CO251" s="656">
        <v>-248.41287663</v>
      </c>
      <c r="CP251" s="656"/>
      <c r="CQ251" s="656">
        <v>-88.376155760000003</v>
      </c>
      <c r="CR251" s="656"/>
      <c r="CS251" s="656">
        <v>48.850090729999998</v>
      </c>
      <c r="CT251" s="656">
        <v>0</v>
      </c>
      <c r="CU251" s="656">
        <v>-91.608529110000006</v>
      </c>
      <c r="CV251" s="656">
        <v>0</v>
      </c>
      <c r="CW251" s="656">
        <v>-133.44005673999999</v>
      </c>
      <c r="CX251" s="656">
        <v>0</v>
      </c>
      <c r="CZ251" s="656" t="e">
        <v>#NAME?</v>
      </c>
      <c r="DB251" s="156" t="s">
        <v>275</v>
      </c>
      <c r="DG251" s="156" t="e">
        <v>#VALUE!</v>
      </c>
    </row>
    <row r="252" spans="1:111" ht="12.75">
      <c r="A252" s="165" t="s">
        <v>274</v>
      </c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6"/>
      <c r="P252" s="656"/>
      <c r="Q252" s="656"/>
      <c r="R252" s="656"/>
      <c r="S252" s="656"/>
      <c r="T252" s="656"/>
      <c r="U252" s="656"/>
      <c r="V252" s="656">
        <v>-170.45343563999998</v>
      </c>
      <c r="W252" s="656">
        <v>649.09832004999998</v>
      </c>
      <c r="X252" s="656">
        <v>501.05740410000004</v>
      </c>
      <c r="Y252" s="656">
        <v>807.4639833</v>
      </c>
      <c r="Z252" s="656">
        <v>631.18373505</v>
      </c>
      <c r="AA252" s="656">
        <v>1378.98843663</v>
      </c>
      <c r="AB252" s="656">
        <v>3046.2926672199997</v>
      </c>
      <c r="AC252" s="656"/>
      <c r="AD252" s="158"/>
      <c r="AE252" s="158"/>
      <c r="AF252" s="656"/>
      <c r="AG252" s="656"/>
      <c r="AH252" s="656"/>
      <c r="AI252" s="656"/>
      <c r="AJ252" s="656"/>
      <c r="AK252" s="656"/>
      <c r="AL252" s="656"/>
      <c r="AM252" s="656"/>
      <c r="AN252" s="656"/>
      <c r="AO252" s="656"/>
      <c r="AP252" s="656"/>
      <c r="AQ252" s="656"/>
      <c r="AR252" s="656"/>
      <c r="AS252" s="656"/>
      <c r="AT252" s="656"/>
      <c r="AU252" s="656"/>
      <c r="AV252" s="656"/>
      <c r="AW252" s="656"/>
      <c r="AX252" s="656"/>
      <c r="AY252" s="656"/>
      <c r="AZ252" s="656"/>
      <c r="BA252" s="656"/>
      <c r="BB252" s="656"/>
      <c r="BC252" s="656"/>
      <c r="BD252" s="656"/>
      <c r="BE252" s="656"/>
      <c r="BF252" s="656"/>
      <c r="BG252" s="656"/>
      <c r="BH252" s="656"/>
      <c r="BI252" s="656"/>
      <c r="BJ252" s="656"/>
      <c r="BK252" s="656"/>
      <c r="BL252" s="656"/>
      <c r="BM252" s="656"/>
      <c r="BN252" s="656"/>
      <c r="BO252" s="656"/>
      <c r="BP252" s="656"/>
      <c r="BQ252" s="656"/>
      <c r="BR252" s="656"/>
      <c r="BS252" s="656"/>
      <c r="BT252" s="656"/>
      <c r="BU252" s="656"/>
      <c r="BV252" s="656"/>
      <c r="BW252" s="656"/>
      <c r="BX252" s="656"/>
      <c r="BY252" s="656"/>
      <c r="BZ252" s="656"/>
      <c r="CA252" s="656"/>
      <c r="CB252" s="656">
        <v>-103.97906847</v>
      </c>
      <c r="CC252" s="656"/>
      <c r="CD252" s="656"/>
      <c r="CE252" s="656">
        <v>501.05740410000004</v>
      </c>
      <c r="CF252" s="656">
        <v>37.47211858</v>
      </c>
      <c r="CG252" s="656">
        <v>436.05659972000001</v>
      </c>
      <c r="CH252" s="656"/>
      <c r="CI252" s="656">
        <v>807.4639833</v>
      </c>
      <c r="CJ252" s="656"/>
      <c r="CK252" s="656">
        <v>149.81083082000001</v>
      </c>
      <c r="CL252" s="656"/>
      <c r="CM252" s="656">
        <v>631.18373505</v>
      </c>
      <c r="CN252" s="656"/>
      <c r="CO252" s="656">
        <v>518.56039037999994</v>
      </c>
      <c r="CP252" s="656"/>
      <c r="CQ252" s="656">
        <v>1378.98843663</v>
      </c>
      <c r="CR252" s="656"/>
      <c r="CS252" s="656">
        <v>433.32576372000005</v>
      </c>
      <c r="CT252" s="656">
        <v>0</v>
      </c>
      <c r="CU252" s="656">
        <v>3046.2926672199997</v>
      </c>
      <c r="CV252" s="656">
        <v>0</v>
      </c>
      <c r="CW252" s="656">
        <v>-733.54030179999995</v>
      </c>
      <c r="CX252" s="656">
        <v>0</v>
      </c>
      <c r="CZ252" s="656" t="e">
        <v>#NAME?</v>
      </c>
      <c r="DB252" s="156" t="s">
        <v>274</v>
      </c>
      <c r="DG252" s="156">
        <v>820</v>
      </c>
    </row>
    <row r="253" spans="1:111" ht="12.75">
      <c r="A253" s="165" t="s">
        <v>273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>
        <v>0</v>
      </c>
      <c r="Z253" s="656"/>
      <c r="AA253" s="656"/>
      <c r="AB253" s="656">
        <v>0</v>
      </c>
      <c r="AC253" s="656"/>
      <c r="AD253" s="158"/>
      <c r="AE253" s="158"/>
      <c r="AF253" s="656"/>
      <c r="AG253" s="656"/>
      <c r="AH253" s="656"/>
      <c r="AI253" s="656"/>
      <c r="AJ253" s="656"/>
      <c r="AK253" s="656"/>
      <c r="AL253" s="656"/>
      <c r="AM253" s="656"/>
      <c r="AN253" s="656"/>
      <c r="AO253" s="656"/>
      <c r="AP253" s="656"/>
      <c r="AQ253" s="656"/>
      <c r="AR253" s="656"/>
      <c r="AS253" s="656"/>
      <c r="AT253" s="656"/>
      <c r="AU253" s="656"/>
      <c r="AV253" s="656"/>
      <c r="AW253" s="656"/>
      <c r="AX253" s="656"/>
      <c r="AY253" s="656"/>
      <c r="AZ253" s="656"/>
      <c r="BA253" s="656"/>
      <c r="BB253" s="656"/>
      <c r="BC253" s="656"/>
      <c r="BD253" s="656"/>
      <c r="BE253" s="656"/>
      <c r="BF253" s="656"/>
      <c r="BG253" s="656"/>
      <c r="BH253" s="656"/>
      <c r="BI253" s="656"/>
      <c r="BJ253" s="656"/>
      <c r="BK253" s="656"/>
      <c r="BL253" s="656"/>
      <c r="BM253" s="656"/>
      <c r="BN253" s="656"/>
      <c r="BO253" s="656"/>
      <c r="BP253" s="656"/>
      <c r="BQ253" s="656"/>
      <c r="BR253" s="656"/>
      <c r="BS253" s="656"/>
      <c r="BT253" s="656"/>
      <c r="BU253" s="656"/>
      <c r="BV253" s="656"/>
      <c r="BW253" s="656"/>
      <c r="BX253" s="656"/>
      <c r="BY253" s="656"/>
      <c r="BZ253" s="656"/>
      <c r="CA253" s="656"/>
      <c r="CB253" s="656"/>
      <c r="CC253" s="656"/>
      <c r="CD253" s="656"/>
      <c r="CE253" s="656"/>
      <c r="CF253" s="656"/>
      <c r="CG253" s="656"/>
      <c r="CH253" s="656"/>
      <c r="CI253" s="656"/>
      <c r="CJ253" s="656"/>
      <c r="CK253" s="656"/>
      <c r="CL253" s="656"/>
      <c r="CM253" s="656"/>
      <c r="CN253" s="656"/>
      <c r="CO253" s="656"/>
      <c r="CP253" s="656"/>
      <c r="CQ253" s="656"/>
      <c r="CR253" s="656"/>
      <c r="CS253" s="656">
        <v>0</v>
      </c>
      <c r="CT253" s="656">
        <v>0</v>
      </c>
      <c r="CU253" s="656">
        <v>0</v>
      </c>
      <c r="CV253" s="656">
        <v>0</v>
      </c>
      <c r="CW253" s="656">
        <v>0</v>
      </c>
      <c r="CX253" s="656">
        <v>0</v>
      </c>
      <c r="CZ253" s="656" t="e">
        <v>#NAME?</v>
      </c>
      <c r="DB253" s="156" t="s">
        <v>273</v>
      </c>
      <c r="DG253" s="156">
        <v>74</v>
      </c>
    </row>
    <row r="254" spans="1:111" ht="12.75">
      <c r="A254" s="165" t="s">
        <v>272</v>
      </c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6"/>
      <c r="P254" s="656"/>
      <c r="Q254" s="656"/>
      <c r="R254" s="656"/>
      <c r="S254" s="656"/>
      <c r="T254" s="656"/>
      <c r="U254" s="656"/>
      <c r="V254" s="656"/>
      <c r="W254" s="656"/>
      <c r="X254" s="656"/>
      <c r="Y254" s="656">
        <v>0</v>
      </c>
      <c r="Z254" s="656"/>
      <c r="AA254" s="656">
        <v>5.5066695700000006</v>
      </c>
      <c r="AB254" s="656">
        <v>0</v>
      </c>
      <c r="AC254" s="656"/>
      <c r="AD254" s="158"/>
      <c r="AE254" s="158"/>
      <c r="AF254" s="656"/>
      <c r="AG254" s="656"/>
      <c r="AH254" s="656"/>
      <c r="AI254" s="656"/>
      <c r="AJ254" s="656"/>
      <c r="AK254" s="656"/>
      <c r="AL254" s="656"/>
      <c r="AM254" s="656"/>
      <c r="AN254" s="656"/>
      <c r="AO254" s="656"/>
      <c r="AP254" s="656"/>
      <c r="AQ254" s="656"/>
      <c r="AR254" s="656"/>
      <c r="AS254" s="656"/>
      <c r="AT254" s="656"/>
      <c r="AU254" s="656"/>
      <c r="AV254" s="656"/>
      <c r="AW254" s="656"/>
      <c r="AX254" s="656"/>
      <c r="AY254" s="656"/>
      <c r="AZ254" s="656"/>
      <c r="BA254" s="656"/>
      <c r="BB254" s="656"/>
      <c r="BC254" s="656"/>
      <c r="BD254" s="656"/>
      <c r="BE254" s="656"/>
      <c r="BF254" s="656"/>
      <c r="BG254" s="656"/>
      <c r="BH254" s="656"/>
      <c r="BI254" s="656"/>
      <c r="BJ254" s="656"/>
      <c r="BK254" s="656"/>
      <c r="BL254" s="656"/>
      <c r="BM254" s="656"/>
      <c r="BN254" s="656"/>
      <c r="BO254" s="656"/>
      <c r="BP254" s="656"/>
      <c r="BQ254" s="656"/>
      <c r="BR254" s="656"/>
      <c r="BS254" s="656"/>
      <c r="BT254" s="656"/>
      <c r="BU254" s="656"/>
      <c r="BV254" s="656"/>
      <c r="BW254" s="656"/>
      <c r="BX254" s="656"/>
      <c r="BY254" s="656"/>
      <c r="BZ254" s="656"/>
      <c r="CA254" s="656"/>
      <c r="CB254" s="656"/>
      <c r="CC254" s="656"/>
      <c r="CD254" s="656"/>
      <c r="CE254" s="656"/>
      <c r="CF254" s="656"/>
      <c r="CG254" s="656"/>
      <c r="CH254" s="656"/>
      <c r="CI254" s="656"/>
      <c r="CJ254" s="656"/>
      <c r="CK254" s="656"/>
      <c r="CL254" s="656"/>
      <c r="CM254" s="656"/>
      <c r="CN254" s="656"/>
      <c r="CO254" s="656"/>
      <c r="CP254" s="656"/>
      <c r="CQ254" s="656">
        <v>5.5066695700000006</v>
      </c>
      <c r="CR254" s="656"/>
      <c r="CS254" s="656">
        <v>0</v>
      </c>
      <c r="CT254" s="656">
        <v>0</v>
      </c>
      <c r="CU254" s="656">
        <v>0</v>
      </c>
      <c r="CV254" s="656">
        <v>0</v>
      </c>
      <c r="CW254" s="656">
        <v>0</v>
      </c>
      <c r="CX254" s="656">
        <v>0</v>
      </c>
      <c r="CZ254" s="656" t="e">
        <v>#NAME?</v>
      </c>
      <c r="DB254" s="156" t="s">
        <v>272</v>
      </c>
      <c r="DG254" s="156" t="e">
        <v>#VALUE!</v>
      </c>
    </row>
    <row r="255" spans="1:111" ht="12.75">
      <c r="A255" s="165" t="s">
        <v>271</v>
      </c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6"/>
      <c r="P255" s="656"/>
      <c r="Q255" s="656"/>
      <c r="R255" s="656"/>
      <c r="S255" s="656"/>
      <c r="T255" s="656"/>
      <c r="U255" s="656"/>
      <c r="V255" s="656">
        <v>1.98816328</v>
      </c>
      <c r="W255" s="656">
        <v>62.345449509999995</v>
      </c>
      <c r="X255" s="656">
        <v>8.017709309999999</v>
      </c>
      <c r="Y255" s="656">
        <v>0</v>
      </c>
      <c r="Z255" s="656"/>
      <c r="AA255" s="656">
        <v>-2.4572897999999999</v>
      </c>
      <c r="AB255" s="656">
        <v>-3.7853508599999999</v>
      </c>
      <c r="AC255" s="656"/>
      <c r="AD255" s="158"/>
      <c r="AE255" s="158"/>
      <c r="AF255" s="656"/>
      <c r="AG255" s="656"/>
      <c r="AH255" s="656"/>
      <c r="AI255" s="656"/>
      <c r="AJ255" s="656"/>
      <c r="AK255" s="656"/>
      <c r="AL255" s="656"/>
      <c r="AM255" s="656"/>
      <c r="AN255" s="656"/>
      <c r="AO255" s="656"/>
      <c r="AP255" s="656"/>
      <c r="AQ255" s="656"/>
      <c r="AR255" s="656"/>
      <c r="AS255" s="656"/>
      <c r="AT255" s="656"/>
      <c r="AU255" s="656"/>
      <c r="AV255" s="656"/>
      <c r="AW255" s="656"/>
      <c r="AX255" s="656"/>
      <c r="AY255" s="656"/>
      <c r="AZ255" s="656"/>
      <c r="BA255" s="656"/>
      <c r="BB255" s="656"/>
      <c r="BC255" s="656"/>
      <c r="BD255" s="656"/>
      <c r="BE255" s="656"/>
      <c r="BF255" s="656"/>
      <c r="BG255" s="656"/>
      <c r="BH255" s="656"/>
      <c r="BI255" s="656"/>
      <c r="BJ255" s="656"/>
      <c r="BK255" s="656"/>
      <c r="BL255" s="656"/>
      <c r="BM255" s="656"/>
      <c r="BN255" s="656"/>
      <c r="BO255" s="656"/>
      <c r="BP255" s="656"/>
      <c r="BQ255" s="656"/>
      <c r="BR255" s="656"/>
      <c r="BS255" s="656"/>
      <c r="BT255" s="656"/>
      <c r="BU255" s="656"/>
      <c r="BV255" s="656"/>
      <c r="BW255" s="656"/>
      <c r="BX255" s="656"/>
      <c r="BY255" s="656"/>
      <c r="BZ255" s="656"/>
      <c r="CA255" s="656"/>
      <c r="CB255" s="656">
        <v>0.77462431999999992</v>
      </c>
      <c r="CC255" s="656"/>
      <c r="CD255" s="656"/>
      <c r="CE255" s="656">
        <v>8.017709309999999</v>
      </c>
      <c r="CF255" s="656">
        <v>-0.31327886999999999</v>
      </c>
      <c r="CG255" s="656"/>
      <c r="CH255" s="656"/>
      <c r="CI255" s="656"/>
      <c r="CJ255" s="656"/>
      <c r="CK255" s="656"/>
      <c r="CL255" s="656"/>
      <c r="CM255" s="656"/>
      <c r="CN255" s="656"/>
      <c r="CO255" s="656"/>
      <c r="CP255" s="656"/>
      <c r="CQ255" s="656">
        <v>-2.4572897999999999</v>
      </c>
      <c r="CR255" s="656"/>
      <c r="CS255" s="656">
        <v>0</v>
      </c>
      <c r="CT255" s="656">
        <v>0</v>
      </c>
      <c r="CU255" s="656">
        <v>-3.7853508599999999</v>
      </c>
      <c r="CV255" s="656">
        <v>0</v>
      </c>
      <c r="CW255" s="656">
        <v>-3.2036729199999998</v>
      </c>
      <c r="CX255" s="656">
        <v>0</v>
      </c>
      <c r="CZ255" s="656" t="e">
        <v>#NAME?</v>
      </c>
      <c r="DB255" s="156" t="s">
        <v>271</v>
      </c>
      <c r="DG255" s="156">
        <v>746</v>
      </c>
    </row>
    <row r="256" spans="1:111" ht="12.75">
      <c r="A256" s="165" t="s">
        <v>270</v>
      </c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6"/>
      <c r="P256" s="656"/>
      <c r="Q256" s="656"/>
      <c r="R256" s="656"/>
      <c r="S256" s="656"/>
      <c r="T256" s="656"/>
      <c r="U256" s="656"/>
      <c r="V256" s="656"/>
      <c r="W256" s="656"/>
      <c r="X256" s="656"/>
      <c r="Y256" s="656">
        <v>0</v>
      </c>
      <c r="Z256" s="656"/>
      <c r="AA256" s="656"/>
      <c r="AB256" s="656">
        <v>0</v>
      </c>
      <c r="AC256" s="656"/>
      <c r="AD256" s="158"/>
      <c r="AE256" s="158"/>
      <c r="AF256" s="656"/>
      <c r="AG256" s="656"/>
      <c r="AH256" s="656"/>
      <c r="AI256" s="656"/>
      <c r="AJ256" s="656"/>
      <c r="AK256" s="656"/>
      <c r="AL256" s="656"/>
      <c r="AM256" s="656"/>
      <c r="AN256" s="656"/>
      <c r="AO256" s="656"/>
      <c r="AP256" s="656"/>
      <c r="AQ256" s="656"/>
      <c r="AR256" s="656"/>
      <c r="AS256" s="656"/>
      <c r="AT256" s="656"/>
      <c r="AU256" s="656"/>
      <c r="AV256" s="656"/>
      <c r="AW256" s="656"/>
      <c r="AX256" s="656"/>
      <c r="AY256" s="656"/>
      <c r="AZ256" s="656"/>
      <c r="BA256" s="656"/>
      <c r="BB256" s="656"/>
      <c r="BC256" s="656"/>
      <c r="BD256" s="656"/>
      <c r="BE256" s="656"/>
      <c r="BF256" s="656"/>
      <c r="BG256" s="656"/>
      <c r="BH256" s="656"/>
      <c r="BI256" s="656"/>
      <c r="BJ256" s="656"/>
      <c r="BK256" s="656"/>
      <c r="BL256" s="656"/>
      <c r="BM256" s="656"/>
      <c r="BN256" s="656"/>
      <c r="BO256" s="656"/>
      <c r="BP256" s="656"/>
      <c r="BQ256" s="656"/>
      <c r="BR256" s="656"/>
      <c r="BS256" s="656"/>
      <c r="BT256" s="656"/>
      <c r="BU256" s="656"/>
      <c r="BV256" s="656"/>
      <c r="BW256" s="656"/>
      <c r="BX256" s="656"/>
      <c r="BY256" s="656"/>
      <c r="BZ256" s="656"/>
      <c r="CA256" s="656"/>
      <c r="CB256" s="656"/>
      <c r="CC256" s="656"/>
      <c r="CD256" s="656"/>
      <c r="CE256" s="656"/>
      <c r="CF256" s="656"/>
      <c r="CG256" s="656"/>
      <c r="CH256" s="656"/>
      <c r="CI256" s="656"/>
      <c r="CJ256" s="656"/>
      <c r="CK256" s="656"/>
      <c r="CL256" s="656"/>
      <c r="CM256" s="656"/>
      <c r="CN256" s="656"/>
      <c r="CO256" s="656"/>
      <c r="CP256" s="656"/>
      <c r="CQ256" s="656"/>
      <c r="CR256" s="656"/>
      <c r="CS256" s="656">
        <v>0</v>
      </c>
      <c r="CT256" s="656">
        <v>0</v>
      </c>
      <c r="CU256" s="656">
        <v>0</v>
      </c>
      <c r="CV256" s="656">
        <v>0</v>
      </c>
      <c r="CW256" s="656">
        <v>0</v>
      </c>
      <c r="CX256" s="656">
        <v>0</v>
      </c>
      <c r="CZ256" s="656" t="e">
        <v>#NAME?</v>
      </c>
      <c r="DB256" s="156" t="s">
        <v>270</v>
      </c>
    </row>
    <row r="257" spans="1:111" ht="12.75">
      <c r="A257" s="165" t="s">
        <v>269</v>
      </c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6"/>
      <c r="P257" s="656"/>
      <c r="Q257" s="656"/>
      <c r="R257" s="656"/>
      <c r="S257" s="656"/>
      <c r="T257" s="656"/>
      <c r="U257" s="656"/>
      <c r="V257" s="656">
        <v>194.93967529</v>
      </c>
      <c r="W257" s="656">
        <v>1210.98143514</v>
      </c>
      <c r="X257" s="656">
        <v>1340.3631529700001</v>
      </c>
      <c r="Y257" s="656">
        <v>2076.84403767</v>
      </c>
      <c r="Z257" s="656">
        <v>2026.1051407300001</v>
      </c>
      <c r="AA257" s="656">
        <v>3281.2696526499999</v>
      </c>
      <c r="AB257" s="656">
        <v>5789.4085085400002</v>
      </c>
      <c r="AC257" s="656"/>
      <c r="AD257" s="158"/>
      <c r="AE257" s="158"/>
      <c r="AF257" s="656"/>
      <c r="AG257" s="656"/>
      <c r="AH257" s="656"/>
      <c r="AI257" s="656"/>
      <c r="AJ257" s="656"/>
      <c r="AK257" s="656"/>
      <c r="AL257" s="656"/>
      <c r="AM257" s="656"/>
      <c r="AN257" s="656"/>
      <c r="AO257" s="656"/>
      <c r="AP257" s="656"/>
      <c r="AQ257" s="656"/>
      <c r="AR257" s="656"/>
      <c r="AS257" s="656"/>
      <c r="AT257" s="656"/>
      <c r="AU257" s="656"/>
      <c r="AV257" s="656"/>
      <c r="AW257" s="656"/>
      <c r="AX257" s="656"/>
      <c r="AY257" s="656"/>
      <c r="AZ257" s="656"/>
      <c r="BA257" s="656"/>
      <c r="BB257" s="656"/>
      <c r="BC257" s="656"/>
      <c r="BD257" s="656"/>
      <c r="BE257" s="656"/>
      <c r="BF257" s="656"/>
      <c r="BG257" s="656"/>
      <c r="BH257" s="656"/>
      <c r="BI257" s="656"/>
      <c r="BJ257" s="656"/>
      <c r="BK257" s="656"/>
      <c r="BL257" s="656"/>
      <c r="BM257" s="656"/>
      <c r="BN257" s="656"/>
      <c r="BO257" s="656"/>
      <c r="BP257" s="656"/>
      <c r="BQ257" s="656"/>
      <c r="BR257" s="656"/>
      <c r="BS257" s="656"/>
      <c r="BT257" s="656"/>
      <c r="BU257" s="656"/>
      <c r="BV257" s="656"/>
      <c r="BW257" s="656"/>
      <c r="BX257" s="656"/>
      <c r="BY257" s="656"/>
      <c r="BZ257" s="656"/>
      <c r="CA257" s="656"/>
      <c r="CB257" s="656">
        <v>-41.922024</v>
      </c>
      <c r="CC257" s="656"/>
      <c r="CD257" s="656"/>
      <c r="CE257" s="656">
        <v>1340.3631529700001</v>
      </c>
      <c r="CF257" s="656">
        <v>454.90829431999998</v>
      </c>
      <c r="CG257" s="656">
        <v>1179.18514878</v>
      </c>
      <c r="CH257" s="656"/>
      <c r="CI257" s="656">
        <v>2076.84403767</v>
      </c>
      <c r="CJ257" s="656"/>
      <c r="CK257" s="656">
        <v>713.15587480999989</v>
      </c>
      <c r="CL257" s="656"/>
      <c r="CM257" s="656">
        <v>2026.1051407300001</v>
      </c>
      <c r="CN257" s="656"/>
      <c r="CO257" s="656">
        <v>1297.9530904400001</v>
      </c>
      <c r="CP257" s="656"/>
      <c r="CQ257" s="656">
        <v>3281.2696526499999</v>
      </c>
      <c r="CR257" s="656"/>
      <c r="CS257" s="656">
        <v>2267.29261933</v>
      </c>
      <c r="CT257" s="656">
        <v>0</v>
      </c>
      <c r="CU257" s="656">
        <v>5789.4085085400002</v>
      </c>
      <c r="CV257" s="656">
        <v>0</v>
      </c>
      <c r="CW257" s="656">
        <v>1740.46056279</v>
      </c>
      <c r="CX257" s="656">
        <v>0</v>
      </c>
      <c r="CZ257" s="656" t="e">
        <v>#NAME?</v>
      </c>
      <c r="DB257" s="156" t="s">
        <v>269</v>
      </c>
    </row>
    <row r="258" spans="1:111" ht="12.75">
      <c r="A258" s="165" t="s">
        <v>268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>
        <v>0</v>
      </c>
      <c r="Z258" s="656"/>
      <c r="AA258" s="656"/>
      <c r="AB258" s="656">
        <v>0</v>
      </c>
      <c r="AC258" s="656"/>
      <c r="AD258" s="158"/>
      <c r="AE258" s="158"/>
      <c r="AF258" s="656"/>
      <c r="AG258" s="656"/>
      <c r="AH258" s="656"/>
      <c r="AI258" s="656"/>
      <c r="AJ258" s="656"/>
      <c r="AK258" s="656"/>
      <c r="AL258" s="656"/>
      <c r="AM258" s="656"/>
      <c r="AN258" s="656"/>
      <c r="AO258" s="656"/>
      <c r="AP258" s="656"/>
      <c r="AQ258" s="656"/>
      <c r="AR258" s="656"/>
      <c r="AS258" s="656"/>
      <c r="AT258" s="656"/>
      <c r="AU258" s="656"/>
      <c r="AV258" s="656"/>
      <c r="AW258" s="656"/>
      <c r="AX258" s="656"/>
      <c r="AY258" s="656"/>
      <c r="AZ258" s="656"/>
      <c r="BA258" s="656"/>
      <c r="BB258" s="656"/>
      <c r="BC258" s="656"/>
      <c r="BD258" s="656"/>
      <c r="BE258" s="656"/>
      <c r="BF258" s="656"/>
      <c r="BG258" s="656"/>
      <c r="BH258" s="656"/>
      <c r="BI258" s="656"/>
      <c r="BJ258" s="656"/>
      <c r="BK258" s="656"/>
      <c r="BL258" s="656"/>
      <c r="BM258" s="656"/>
      <c r="BN258" s="656"/>
      <c r="BO258" s="656"/>
      <c r="BP258" s="656"/>
      <c r="BQ258" s="656"/>
      <c r="BR258" s="656"/>
      <c r="BS258" s="656"/>
      <c r="BT258" s="656"/>
      <c r="BU258" s="656"/>
      <c r="BV258" s="656"/>
      <c r="BW258" s="656"/>
      <c r="BX258" s="656"/>
      <c r="BY258" s="656"/>
      <c r="BZ258" s="656"/>
      <c r="CA258" s="656"/>
      <c r="CB258" s="656"/>
      <c r="CC258" s="656"/>
      <c r="CD258" s="656"/>
      <c r="CE258" s="656"/>
      <c r="CF258" s="656"/>
      <c r="CG258" s="656"/>
      <c r="CH258" s="656"/>
      <c r="CI258" s="656"/>
      <c r="CJ258" s="656"/>
      <c r="CK258" s="656"/>
      <c r="CL258" s="656"/>
      <c r="CM258" s="656"/>
      <c r="CN258" s="656"/>
      <c r="CO258" s="656"/>
      <c r="CP258" s="656"/>
      <c r="CQ258" s="656"/>
      <c r="CR258" s="656"/>
      <c r="CS258" s="656">
        <v>0</v>
      </c>
      <c r="CT258" s="656">
        <v>0</v>
      </c>
      <c r="CU258" s="656">
        <v>0</v>
      </c>
      <c r="CV258" s="656">
        <v>0</v>
      </c>
      <c r="CW258" s="656">
        <v>0</v>
      </c>
      <c r="CX258" s="656">
        <v>0</v>
      </c>
      <c r="CZ258" s="656" t="e">
        <v>#NAME?</v>
      </c>
      <c r="DB258" s="156" t="s">
        <v>268</v>
      </c>
      <c r="DG258" s="156">
        <v>0</v>
      </c>
    </row>
    <row r="259" spans="1:111" ht="12.75">
      <c r="A259" s="165" t="s">
        <v>267</v>
      </c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6"/>
      <c r="P259" s="656"/>
      <c r="Q259" s="656"/>
      <c r="R259" s="656"/>
      <c r="S259" s="656"/>
      <c r="T259" s="656"/>
      <c r="U259" s="656"/>
      <c r="V259" s="656"/>
      <c r="W259" s="656"/>
      <c r="X259" s="656"/>
      <c r="Y259" s="656">
        <v>0</v>
      </c>
      <c r="Z259" s="656"/>
      <c r="AA259" s="656"/>
      <c r="AB259" s="656">
        <v>0</v>
      </c>
      <c r="AC259" s="656"/>
      <c r="AD259" s="158"/>
      <c r="AE259" s="158"/>
      <c r="AF259" s="656"/>
      <c r="AG259" s="656"/>
      <c r="AH259" s="656"/>
      <c r="AI259" s="656"/>
      <c r="AJ259" s="656"/>
      <c r="AK259" s="656"/>
      <c r="AL259" s="656"/>
      <c r="AM259" s="656"/>
      <c r="AN259" s="656"/>
      <c r="AO259" s="656"/>
      <c r="AP259" s="656"/>
      <c r="AQ259" s="656"/>
      <c r="AR259" s="656"/>
      <c r="AS259" s="656"/>
      <c r="AT259" s="656"/>
      <c r="AU259" s="656"/>
      <c r="AV259" s="656"/>
      <c r="AW259" s="656"/>
      <c r="AX259" s="656"/>
      <c r="AY259" s="656"/>
      <c r="AZ259" s="656"/>
      <c r="BA259" s="656"/>
      <c r="BB259" s="656"/>
      <c r="BC259" s="656"/>
      <c r="BD259" s="656"/>
      <c r="BE259" s="656"/>
      <c r="BF259" s="656"/>
      <c r="BG259" s="656"/>
      <c r="BH259" s="656"/>
      <c r="BI259" s="656"/>
      <c r="BJ259" s="656"/>
      <c r="BK259" s="656"/>
      <c r="BL259" s="656"/>
      <c r="BM259" s="656"/>
      <c r="BN259" s="656"/>
      <c r="BO259" s="656"/>
      <c r="BP259" s="656"/>
      <c r="BQ259" s="656"/>
      <c r="BR259" s="656"/>
      <c r="BS259" s="656"/>
      <c r="BT259" s="656"/>
      <c r="BU259" s="656"/>
      <c r="BV259" s="656"/>
      <c r="BW259" s="656"/>
      <c r="BX259" s="656"/>
      <c r="BY259" s="656"/>
      <c r="BZ259" s="656"/>
      <c r="CA259" s="656"/>
      <c r="CB259" s="656"/>
      <c r="CC259" s="656"/>
      <c r="CD259" s="656"/>
      <c r="CE259" s="656"/>
      <c r="CF259" s="656"/>
      <c r="CG259" s="656"/>
      <c r="CH259" s="656"/>
      <c r="CI259" s="656"/>
      <c r="CJ259" s="656"/>
      <c r="CK259" s="656"/>
      <c r="CL259" s="656"/>
      <c r="CM259" s="656"/>
      <c r="CN259" s="656"/>
      <c r="CO259" s="656"/>
      <c r="CP259" s="656"/>
      <c r="CQ259" s="656"/>
      <c r="CR259" s="656"/>
      <c r="CS259" s="656">
        <v>0</v>
      </c>
      <c r="CT259" s="656">
        <v>0</v>
      </c>
      <c r="CU259" s="656">
        <v>0</v>
      </c>
      <c r="CV259" s="656">
        <v>0</v>
      </c>
      <c r="CW259" s="656">
        <v>0</v>
      </c>
      <c r="CX259" s="656">
        <v>0</v>
      </c>
      <c r="CZ259" s="656" t="e">
        <v>#NAME?</v>
      </c>
      <c r="DB259" s="156" t="s">
        <v>267</v>
      </c>
    </row>
    <row r="260" spans="1:111" ht="12.75">
      <c r="A260" s="165" t="s">
        <v>266</v>
      </c>
      <c r="B260" s="656"/>
      <c r="C260" s="656"/>
      <c r="D260" s="656"/>
      <c r="E260" s="656"/>
      <c r="F260" s="656"/>
      <c r="G260" s="656"/>
      <c r="H260" s="656"/>
      <c r="I260" s="656"/>
      <c r="J260" s="656"/>
      <c r="K260" s="656"/>
      <c r="L260" s="656"/>
      <c r="M260" s="656"/>
      <c r="N260" s="656"/>
      <c r="O260" s="656"/>
      <c r="P260" s="656"/>
      <c r="Q260" s="656"/>
      <c r="R260" s="656"/>
      <c r="S260" s="656"/>
      <c r="T260" s="656"/>
      <c r="U260" s="656"/>
      <c r="V260" s="656"/>
      <c r="W260" s="656"/>
      <c r="X260" s="656"/>
      <c r="Y260" s="656">
        <v>0</v>
      </c>
      <c r="Z260" s="656"/>
      <c r="AA260" s="656"/>
      <c r="AB260" s="656">
        <v>0</v>
      </c>
      <c r="AC260" s="656"/>
      <c r="AD260" s="158"/>
      <c r="AE260" s="158"/>
      <c r="AF260" s="656"/>
      <c r="AG260" s="656"/>
      <c r="AH260" s="656"/>
      <c r="AI260" s="656"/>
      <c r="AJ260" s="656"/>
      <c r="AK260" s="656"/>
      <c r="AL260" s="656"/>
      <c r="AM260" s="656"/>
      <c r="AN260" s="656"/>
      <c r="AO260" s="656"/>
      <c r="AP260" s="656"/>
      <c r="AQ260" s="656"/>
      <c r="AR260" s="656"/>
      <c r="AS260" s="656"/>
      <c r="AT260" s="656"/>
      <c r="AU260" s="656"/>
      <c r="AV260" s="656"/>
      <c r="AW260" s="656"/>
      <c r="AX260" s="656"/>
      <c r="AY260" s="656"/>
      <c r="AZ260" s="656"/>
      <c r="BA260" s="656"/>
      <c r="BB260" s="656"/>
      <c r="BC260" s="656"/>
      <c r="BD260" s="656"/>
      <c r="BE260" s="656"/>
      <c r="BF260" s="656"/>
      <c r="BG260" s="656"/>
      <c r="BH260" s="656"/>
      <c r="BI260" s="656"/>
      <c r="BJ260" s="656"/>
      <c r="BK260" s="656"/>
      <c r="BL260" s="656"/>
      <c r="BM260" s="656"/>
      <c r="BN260" s="656"/>
      <c r="BO260" s="656"/>
      <c r="BP260" s="656"/>
      <c r="BQ260" s="656"/>
      <c r="BR260" s="656"/>
      <c r="BS260" s="656"/>
      <c r="BT260" s="656"/>
      <c r="BU260" s="656"/>
      <c r="BV260" s="656"/>
      <c r="BW260" s="656"/>
      <c r="BX260" s="656"/>
      <c r="BY260" s="656"/>
      <c r="BZ260" s="656"/>
      <c r="CA260" s="656"/>
      <c r="CB260" s="656"/>
      <c r="CC260" s="656"/>
      <c r="CD260" s="656"/>
      <c r="CE260" s="656"/>
      <c r="CF260" s="656"/>
      <c r="CG260" s="656"/>
      <c r="CH260" s="656"/>
      <c r="CI260" s="656"/>
      <c r="CJ260" s="656"/>
      <c r="CK260" s="656"/>
      <c r="CL260" s="656"/>
      <c r="CM260" s="656"/>
      <c r="CN260" s="656"/>
      <c r="CO260" s="656"/>
      <c r="CP260" s="656"/>
      <c r="CQ260" s="656"/>
      <c r="CR260" s="656"/>
      <c r="CS260" s="656">
        <v>0</v>
      </c>
      <c r="CT260" s="656">
        <v>0</v>
      </c>
      <c r="CU260" s="656">
        <v>0</v>
      </c>
      <c r="CV260" s="656">
        <v>0</v>
      </c>
      <c r="CW260" s="656">
        <v>0</v>
      </c>
      <c r="CX260" s="656">
        <v>0</v>
      </c>
      <c r="CZ260" s="656" t="e">
        <v>#NAME?</v>
      </c>
      <c r="DB260" s="156" t="s">
        <v>266</v>
      </c>
      <c r="DG260" s="156" t="s">
        <v>1182</v>
      </c>
    </row>
    <row r="261" spans="1:111" ht="12.75">
      <c r="A261" s="165" t="s">
        <v>265</v>
      </c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6"/>
      <c r="P261" s="656"/>
      <c r="Q261" s="656"/>
      <c r="R261" s="656"/>
      <c r="S261" s="656"/>
      <c r="T261" s="656"/>
      <c r="U261" s="656"/>
      <c r="V261" s="656">
        <v>323.87307482</v>
      </c>
      <c r="W261" s="656">
        <v>945.09570113999996</v>
      </c>
      <c r="X261" s="656">
        <v>1178.77483035</v>
      </c>
      <c r="Y261" s="656">
        <v>999.13485453999999</v>
      </c>
      <c r="Z261" s="656">
        <v>1438.5718358199999</v>
      </c>
      <c r="AA261" s="656">
        <v>2875.0729989499996</v>
      </c>
      <c r="AB261" s="656">
        <v>3328.16241769</v>
      </c>
      <c r="AC261" s="656"/>
      <c r="AD261" s="158"/>
      <c r="AE261" s="158"/>
      <c r="AF261" s="656"/>
      <c r="AG261" s="656"/>
      <c r="AH261" s="656"/>
      <c r="AI261" s="656"/>
      <c r="AJ261" s="656"/>
      <c r="AK261" s="656"/>
      <c r="AL261" s="656"/>
      <c r="AM261" s="656"/>
      <c r="AN261" s="656"/>
      <c r="AO261" s="656"/>
      <c r="AP261" s="656"/>
      <c r="AQ261" s="656"/>
      <c r="AR261" s="656"/>
      <c r="AS261" s="656"/>
      <c r="AT261" s="656"/>
      <c r="AU261" s="656"/>
      <c r="AV261" s="656"/>
      <c r="AW261" s="656"/>
      <c r="AX261" s="656"/>
      <c r="AY261" s="656"/>
      <c r="AZ261" s="656"/>
      <c r="BA261" s="656"/>
      <c r="BB261" s="656"/>
      <c r="BC261" s="656"/>
      <c r="BD261" s="656"/>
      <c r="BE261" s="656"/>
      <c r="BF261" s="656"/>
      <c r="BG261" s="656"/>
      <c r="BH261" s="656"/>
      <c r="BI261" s="656"/>
      <c r="BJ261" s="656"/>
      <c r="BK261" s="656"/>
      <c r="BL261" s="656"/>
      <c r="BM261" s="656"/>
      <c r="BN261" s="656"/>
      <c r="BO261" s="656"/>
      <c r="BP261" s="656"/>
      <c r="BQ261" s="656"/>
      <c r="BR261" s="656"/>
      <c r="BS261" s="656"/>
      <c r="BT261" s="656"/>
      <c r="BU261" s="656"/>
      <c r="BV261" s="656"/>
      <c r="BW261" s="656"/>
      <c r="BX261" s="656"/>
      <c r="BY261" s="656"/>
      <c r="BZ261" s="656"/>
      <c r="CA261" s="656"/>
      <c r="CB261" s="656">
        <v>771.53897710000001</v>
      </c>
      <c r="CC261" s="656"/>
      <c r="CD261" s="656"/>
      <c r="CE261" s="656">
        <v>1178.77483035</v>
      </c>
      <c r="CF261" s="656">
        <v>989.63911475999998</v>
      </c>
      <c r="CG261" s="656">
        <v>2463.7621273200002</v>
      </c>
      <c r="CH261" s="656"/>
      <c r="CI261" s="656">
        <v>999.13485453999999</v>
      </c>
      <c r="CJ261" s="656"/>
      <c r="CK261" s="656">
        <v>1091.22898276</v>
      </c>
      <c r="CL261" s="656"/>
      <c r="CM261" s="656">
        <v>1438.5718358199999</v>
      </c>
      <c r="CN261" s="656"/>
      <c r="CO261" s="656">
        <v>2176.65258735</v>
      </c>
      <c r="CP261" s="656"/>
      <c r="CQ261" s="656">
        <v>2875.0729989499996</v>
      </c>
      <c r="CR261" s="656"/>
      <c r="CS261" s="656">
        <v>4415.4956288599997</v>
      </c>
      <c r="CT261" s="656">
        <v>0</v>
      </c>
      <c r="CU261" s="656">
        <v>3328.16241769</v>
      </c>
      <c r="CV261" s="656">
        <v>0</v>
      </c>
      <c r="CW261" s="656">
        <v>2060.1434103900001</v>
      </c>
      <c r="CX261" s="656">
        <v>0</v>
      </c>
      <c r="CZ261" s="656" t="e">
        <v>#NAME?</v>
      </c>
      <c r="DB261" s="156" t="s">
        <v>265</v>
      </c>
      <c r="DG261" s="156">
        <v>49.74</v>
      </c>
    </row>
    <row r="262" spans="1:111" ht="12.75">
      <c r="A262" s="165" t="s">
        <v>264</v>
      </c>
      <c r="B262" s="656"/>
      <c r="C262" s="656"/>
      <c r="D262" s="656"/>
      <c r="E262" s="656"/>
      <c r="F262" s="656"/>
      <c r="G262" s="656"/>
      <c r="H262" s="656"/>
      <c r="I262" s="656"/>
      <c r="J262" s="656"/>
      <c r="K262" s="656"/>
      <c r="L262" s="656"/>
      <c r="M262" s="656"/>
      <c r="N262" s="656"/>
      <c r="O262" s="656"/>
      <c r="P262" s="656"/>
      <c r="Q262" s="656"/>
      <c r="R262" s="656"/>
      <c r="S262" s="656"/>
      <c r="T262" s="656"/>
      <c r="U262" s="656"/>
      <c r="V262" s="656">
        <v>170.62655941</v>
      </c>
      <c r="W262" s="656">
        <v>323.87307482</v>
      </c>
      <c r="X262" s="656">
        <v>945.09570113999996</v>
      </c>
      <c r="Y262" s="656">
        <v>1178.77483035</v>
      </c>
      <c r="Z262" s="656">
        <v>999.13485453999999</v>
      </c>
      <c r="AA262" s="656">
        <v>1438.5718358199999</v>
      </c>
      <c r="AB262" s="656">
        <v>2875.0729989499996</v>
      </c>
      <c r="AC262" s="656"/>
      <c r="AD262" s="158"/>
      <c r="AE262" s="158"/>
      <c r="AF262" s="656"/>
      <c r="AG262" s="656"/>
      <c r="AH262" s="656"/>
      <c r="AI262" s="656"/>
      <c r="AJ262" s="656"/>
      <c r="AK262" s="656"/>
      <c r="AL262" s="656"/>
      <c r="AM262" s="656"/>
      <c r="AN262" s="656"/>
      <c r="AO262" s="656"/>
      <c r="AP262" s="656"/>
      <c r="AQ262" s="656"/>
      <c r="AR262" s="656"/>
      <c r="AS262" s="656"/>
      <c r="AT262" s="656"/>
      <c r="AU262" s="656"/>
      <c r="AV262" s="656"/>
      <c r="AW262" s="656"/>
      <c r="AX262" s="656"/>
      <c r="AY262" s="656"/>
      <c r="AZ262" s="656"/>
      <c r="BA262" s="656"/>
      <c r="BB262" s="656"/>
      <c r="BC262" s="656"/>
      <c r="BD262" s="656"/>
      <c r="BE262" s="656"/>
      <c r="BF262" s="656"/>
      <c r="BG262" s="656"/>
      <c r="BH262" s="656"/>
      <c r="BI262" s="656"/>
      <c r="BJ262" s="656"/>
      <c r="BK262" s="656"/>
      <c r="BL262" s="656"/>
      <c r="BM262" s="656"/>
      <c r="BN262" s="656"/>
      <c r="BO262" s="656"/>
      <c r="BP262" s="656"/>
      <c r="BQ262" s="656"/>
      <c r="BR262" s="656"/>
      <c r="BS262" s="656"/>
      <c r="BT262" s="656"/>
      <c r="BU262" s="656"/>
      <c r="BV262" s="656"/>
      <c r="BW262" s="656"/>
      <c r="BX262" s="656"/>
      <c r="BY262" s="656"/>
      <c r="BZ262" s="656"/>
      <c r="CA262" s="656"/>
      <c r="CB262" s="656">
        <v>945.09570113999996</v>
      </c>
      <c r="CC262" s="656"/>
      <c r="CD262" s="656"/>
      <c r="CE262" s="656">
        <v>945.09570113999996</v>
      </c>
      <c r="CF262" s="656">
        <v>1178.77483035</v>
      </c>
      <c r="CG262" s="656">
        <v>1178.77483035</v>
      </c>
      <c r="CH262" s="656"/>
      <c r="CI262" s="656">
        <v>1178.77483035</v>
      </c>
      <c r="CJ262" s="656"/>
      <c r="CK262" s="656">
        <v>999.13485453999999</v>
      </c>
      <c r="CL262" s="656"/>
      <c r="CM262" s="656">
        <v>999.13485453999999</v>
      </c>
      <c r="CN262" s="656"/>
      <c r="CO262" s="656">
        <v>1438.5718358199999</v>
      </c>
      <c r="CP262" s="656"/>
      <c r="CQ262" s="656">
        <v>1438.5718358199999</v>
      </c>
      <c r="CR262" s="656"/>
      <c r="CS262" s="656">
        <v>2875.0729989499996</v>
      </c>
      <c r="CT262" s="656">
        <v>0</v>
      </c>
      <c r="CU262" s="656">
        <v>2875.0729989499996</v>
      </c>
      <c r="CV262" s="656">
        <v>0</v>
      </c>
      <c r="CW262" s="656">
        <v>3328.16241769</v>
      </c>
      <c r="CX262" s="656">
        <v>0</v>
      </c>
      <c r="CZ262" s="656" t="e">
        <v>#NAME?</v>
      </c>
      <c r="DB262" s="156" t="s">
        <v>264</v>
      </c>
      <c r="DG262" s="156">
        <v>0.64</v>
      </c>
    </row>
    <row r="263" spans="1:111" ht="12.75">
      <c r="A263" s="165" t="s">
        <v>263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>
        <v>0</v>
      </c>
      <c r="Z263" s="656"/>
      <c r="AA263" s="656"/>
      <c r="AB263" s="656">
        <v>0</v>
      </c>
      <c r="AC263" s="656"/>
      <c r="AD263" s="158"/>
      <c r="AE263" s="158"/>
      <c r="AF263" s="656"/>
      <c r="AG263" s="656"/>
      <c r="AH263" s="656"/>
      <c r="AI263" s="656"/>
      <c r="AJ263" s="656"/>
      <c r="AK263" s="656"/>
      <c r="AL263" s="656"/>
      <c r="AM263" s="656"/>
      <c r="AN263" s="656"/>
      <c r="AO263" s="656"/>
      <c r="AP263" s="656"/>
      <c r="AQ263" s="656"/>
      <c r="AR263" s="656"/>
      <c r="AS263" s="656"/>
      <c r="AT263" s="656"/>
      <c r="AU263" s="656"/>
      <c r="AV263" s="656"/>
      <c r="AW263" s="656"/>
      <c r="AX263" s="656"/>
      <c r="AY263" s="656"/>
      <c r="AZ263" s="656"/>
      <c r="BA263" s="656"/>
      <c r="BB263" s="656"/>
      <c r="BC263" s="656"/>
      <c r="BD263" s="656"/>
      <c r="BE263" s="656"/>
      <c r="BF263" s="656"/>
      <c r="BG263" s="656"/>
      <c r="BH263" s="656"/>
      <c r="BI263" s="656"/>
      <c r="BJ263" s="656"/>
      <c r="BK263" s="656"/>
      <c r="BL263" s="656"/>
      <c r="BM263" s="656"/>
      <c r="BN263" s="656"/>
      <c r="BO263" s="656"/>
      <c r="BP263" s="656"/>
      <c r="BQ263" s="656"/>
      <c r="BR263" s="656"/>
      <c r="BS263" s="656"/>
      <c r="BT263" s="656"/>
      <c r="BU263" s="656"/>
      <c r="BV263" s="656"/>
      <c r="BW263" s="656"/>
      <c r="BX263" s="656"/>
      <c r="BY263" s="656"/>
      <c r="BZ263" s="656"/>
      <c r="CA263" s="656"/>
      <c r="CB263" s="656"/>
      <c r="CC263" s="656"/>
      <c r="CD263" s="656"/>
      <c r="CE263" s="656"/>
      <c r="CF263" s="656"/>
      <c r="CG263" s="656"/>
      <c r="CH263" s="656"/>
      <c r="CI263" s="656"/>
      <c r="CJ263" s="656"/>
      <c r="CK263" s="656"/>
      <c r="CL263" s="656"/>
      <c r="CM263" s="656"/>
      <c r="CN263" s="656"/>
      <c r="CO263" s="656"/>
      <c r="CP263" s="656"/>
      <c r="CQ263" s="656"/>
      <c r="CR263" s="656"/>
      <c r="CS263" s="656">
        <v>0</v>
      </c>
      <c r="CT263" s="656">
        <v>0</v>
      </c>
      <c r="CU263" s="656">
        <v>0</v>
      </c>
      <c r="CV263" s="656">
        <v>0</v>
      </c>
      <c r="CW263" s="656">
        <v>0</v>
      </c>
      <c r="CX263" s="656">
        <v>0</v>
      </c>
      <c r="CZ263" s="656" t="e">
        <v>#NAME?</v>
      </c>
      <c r="DB263" s="156" t="s">
        <v>263</v>
      </c>
      <c r="DG263" s="156" t="e">
        <v>#VALUE!</v>
      </c>
    </row>
    <row r="264" spans="1:111" ht="12.75">
      <c r="A264" s="165" t="s">
        <v>262</v>
      </c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6"/>
      <c r="P264" s="656"/>
      <c r="Q264" s="656"/>
      <c r="R264" s="656"/>
      <c r="S264" s="656"/>
      <c r="T264" s="656"/>
      <c r="U264" s="656"/>
      <c r="V264" s="656"/>
      <c r="W264" s="656"/>
      <c r="X264" s="656"/>
      <c r="Y264" s="656">
        <v>0</v>
      </c>
      <c r="Z264" s="656"/>
      <c r="AA264" s="656"/>
      <c r="AB264" s="656">
        <v>0</v>
      </c>
      <c r="AC264" s="656"/>
      <c r="AD264" s="158"/>
      <c r="AE264" s="158"/>
      <c r="AF264" s="656"/>
      <c r="AG264" s="656"/>
      <c r="AH264" s="656"/>
      <c r="AI264" s="656"/>
      <c r="AJ264" s="656"/>
      <c r="AK264" s="656"/>
      <c r="AL264" s="656"/>
      <c r="AM264" s="656"/>
      <c r="AN264" s="656"/>
      <c r="AO264" s="656"/>
      <c r="AP264" s="656"/>
      <c r="AQ264" s="656"/>
      <c r="AR264" s="656"/>
      <c r="AS264" s="656"/>
      <c r="AT264" s="656"/>
      <c r="AU264" s="656"/>
      <c r="AV264" s="656"/>
      <c r="AW264" s="656"/>
      <c r="AX264" s="656"/>
      <c r="AY264" s="656"/>
      <c r="AZ264" s="656"/>
      <c r="BA264" s="656"/>
      <c r="BB264" s="656"/>
      <c r="BC264" s="656"/>
      <c r="BD264" s="656"/>
      <c r="BE264" s="656"/>
      <c r="BF264" s="656"/>
      <c r="BG264" s="656"/>
      <c r="BH264" s="656"/>
      <c r="BI264" s="656"/>
      <c r="BJ264" s="656"/>
      <c r="BK264" s="656"/>
      <c r="BL264" s="656"/>
      <c r="BM264" s="656"/>
      <c r="BN264" s="656"/>
      <c r="BO264" s="656"/>
      <c r="BP264" s="656"/>
      <c r="BQ264" s="656"/>
      <c r="BR264" s="656"/>
      <c r="BS264" s="656"/>
      <c r="BT264" s="656"/>
      <c r="BU264" s="656"/>
      <c r="BV264" s="656"/>
      <c r="BW264" s="656"/>
      <c r="BX264" s="656"/>
      <c r="BY264" s="656"/>
      <c r="BZ264" s="656"/>
      <c r="CA264" s="656"/>
      <c r="CB264" s="656"/>
      <c r="CC264" s="656"/>
      <c r="CD264" s="656"/>
      <c r="CE264" s="656"/>
      <c r="CF264" s="656"/>
      <c r="CG264" s="656"/>
      <c r="CH264" s="656"/>
      <c r="CI264" s="656"/>
      <c r="CJ264" s="656"/>
      <c r="CK264" s="656"/>
      <c r="CL264" s="656"/>
      <c r="CM264" s="656"/>
      <c r="CN264" s="656"/>
      <c r="CO264" s="656"/>
      <c r="CP264" s="656"/>
      <c r="CQ264" s="656"/>
      <c r="CR264" s="656"/>
      <c r="CS264" s="656">
        <v>0</v>
      </c>
      <c r="CT264" s="656">
        <v>0</v>
      </c>
      <c r="CU264" s="656">
        <v>0</v>
      </c>
      <c r="CV264" s="656">
        <v>0</v>
      </c>
      <c r="CW264" s="656">
        <v>0</v>
      </c>
      <c r="CX264" s="656">
        <v>0</v>
      </c>
      <c r="CZ264" s="656" t="e">
        <v>#NAME?</v>
      </c>
      <c r="DB264" s="156" t="s">
        <v>262</v>
      </c>
      <c r="DG264" s="156">
        <v>0</v>
      </c>
    </row>
    <row r="265" spans="1:111" ht="12.75">
      <c r="A265" s="165" t="s">
        <v>261</v>
      </c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6"/>
      <c r="P265" s="656"/>
      <c r="Q265" s="656"/>
      <c r="R265" s="656"/>
      <c r="S265" s="656"/>
      <c r="T265" s="656"/>
      <c r="U265" s="656"/>
      <c r="V265" s="656"/>
      <c r="W265" s="656"/>
      <c r="X265" s="656"/>
      <c r="Y265" s="656">
        <v>0</v>
      </c>
      <c r="Z265" s="656"/>
      <c r="AA265" s="656"/>
      <c r="AB265" s="656">
        <v>0</v>
      </c>
      <c r="AC265" s="656"/>
      <c r="AD265" s="158"/>
      <c r="AE265" s="158"/>
      <c r="AF265" s="656"/>
      <c r="AG265" s="656"/>
      <c r="AH265" s="656"/>
      <c r="AI265" s="656"/>
      <c r="AJ265" s="656"/>
      <c r="AK265" s="656"/>
      <c r="AL265" s="656"/>
      <c r="AM265" s="656"/>
      <c r="AN265" s="656"/>
      <c r="AO265" s="656"/>
      <c r="AP265" s="656"/>
      <c r="AQ265" s="656"/>
      <c r="AR265" s="656"/>
      <c r="AS265" s="656"/>
      <c r="AT265" s="656"/>
      <c r="AU265" s="656"/>
      <c r="AV265" s="656"/>
      <c r="AW265" s="656"/>
      <c r="AX265" s="656"/>
      <c r="AY265" s="656"/>
      <c r="AZ265" s="656"/>
      <c r="BA265" s="656"/>
      <c r="BB265" s="656"/>
      <c r="BC265" s="656"/>
      <c r="BD265" s="656"/>
      <c r="BE265" s="656"/>
      <c r="BF265" s="656"/>
      <c r="BG265" s="656"/>
      <c r="BH265" s="656"/>
      <c r="BI265" s="656"/>
      <c r="BJ265" s="656"/>
      <c r="BK265" s="656"/>
      <c r="BL265" s="656"/>
      <c r="BM265" s="656"/>
      <c r="BN265" s="656"/>
      <c r="BO265" s="656"/>
      <c r="BP265" s="656"/>
      <c r="BQ265" s="656"/>
      <c r="BR265" s="656"/>
      <c r="BS265" s="656"/>
      <c r="BT265" s="656"/>
      <c r="BU265" s="656"/>
      <c r="BV265" s="656"/>
      <c r="BW265" s="656"/>
      <c r="BX265" s="656"/>
      <c r="BY265" s="656"/>
      <c r="BZ265" s="656"/>
      <c r="CA265" s="656"/>
      <c r="CB265" s="656"/>
      <c r="CC265" s="656"/>
      <c r="CD265" s="656"/>
      <c r="CE265" s="656"/>
      <c r="CF265" s="656"/>
      <c r="CG265" s="656"/>
      <c r="CH265" s="656"/>
      <c r="CI265" s="656"/>
      <c r="CJ265" s="656"/>
      <c r="CK265" s="656"/>
      <c r="CL265" s="656"/>
      <c r="CM265" s="656"/>
      <c r="CN265" s="656"/>
      <c r="CO265" s="656"/>
      <c r="CP265" s="656"/>
      <c r="CQ265" s="656"/>
      <c r="CR265" s="656"/>
      <c r="CS265" s="656">
        <v>0</v>
      </c>
      <c r="CT265" s="656">
        <v>0</v>
      </c>
      <c r="CU265" s="656">
        <v>0</v>
      </c>
      <c r="CV265" s="656">
        <v>0</v>
      </c>
      <c r="CW265" s="656">
        <v>0</v>
      </c>
      <c r="CX265" s="656">
        <v>0</v>
      </c>
      <c r="CZ265" s="656" t="e">
        <v>#NAME?</v>
      </c>
      <c r="DB265" s="156" t="s">
        <v>261</v>
      </c>
    </row>
    <row r="266" spans="1:111" ht="12.75">
      <c r="A266" s="165" t="s">
        <v>260</v>
      </c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6"/>
      <c r="P266" s="656"/>
      <c r="Q266" s="656"/>
      <c r="R266" s="656"/>
      <c r="S266" s="656"/>
      <c r="T266" s="656"/>
      <c r="U266" s="656"/>
      <c r="V266" s="656"/>
      <c r="W266" s="656"/>
      <c r="X266" s="656"/>
      <c r="Y266" s="656">
        <v>0</v>
      </c>
      <c r="Z266" s="656"/>
      <c r="AA266" s="656"/>
      <c r="AB266" s="656">
        <v>0</v>
      </c>
      <c r="AC266" s="656"/>
      <c r="AD266" s="158"/>
      <c r="AE266" s="158"/>
      <c r="AF266" s="656"/>
      <c r="AG266" s="656"/>
      <c r="AH266" s="656"/>
      <c r="AI266" s="656"/>
      <c r="AJ266" s="656"/>
      <c r="AK266" s="656"/>
      <c r="AL266" s="656"/>
      <c r="AM266" s="656"/>
      <c r="AN266" s="656"/>
      <c r="AO266" s="656"/>
      <c r="AP266" s="656"/>
      <c r="AQ266" s="656"/>
      <c r="AR266" s="656"/>
      <c r="AS266" s="656"/>
      <c r="AT266" s="656"/>
      <c r="AU266" s="656"/>
      <c r="AV266" s="656"/>
      <c r="AW266" s="656"/>
      <c r="AX266" s="656"/>
      <c r="AY266" s="656"/>
      <c r="AZ266" s="656"/>
      <c r="BA266" s="656"/>
      <c r="BB266" s="656"/>
      <c r="BC266" s="656"/>
      <c r="BD266" s="656"/>
      <c r="BE266" s="656"/>
      <c r="BF266" s="656"/>
      <c r="BG266" s="656"/>
      <c r="BH266" s="656"/>
      <c r="BI266" s="656"/>
      <c r="BJ266" s="656"/>
      <c r="BK266" s="656"/>
      <c r="BL266" s="656"/>
      <c r="BM266" s="656"/>
      <c r="BN266" s="656"/>
      <c r="BO266" s="656"/>
      <c r="BP266" s="656"/>
      <c r="BQ266" s="656"/>
      <c r="BR266" s="656"/>
      <c r="BS266" s="656"/>
      <c r="BT266" s="656"/>
      <c r="BU266" s="656"/>
      <c r="BV266" s="656"/>
      <c r="BW266" s="656"/>
      <c r="BX266" s="656"/>
      <c r="BY266" s="656"/>
      <c r="BZ266" s="656"/>
      <c r="CA266" s="656"/>
      <c r="CB266" s="656"/>
      <c r="CC266" s="656"/>
      <c r="CD266" s="656"/>
      <c r="CE266" s="656"/>
      <c r="CF266" s="656"/>
      <c r="CG266" s="656"/>
      <c r="CH266" s="656"/>
      <c r="CI266" s="656"/>
      <c r="CJ266" s="656"/>
      <c r="CK266" s="656"/>
      <c r="CL266" s="656"/>
      <c r="CM266" s="656"/>
      <c r="CN266" s="656"/>
      <c r="CO266" s="656"/>
      <c r="CP266" s="656"/>
      <c r="CQ266" s="656"/>
      <c r="CR266" s="656"/>
      <c r="CS266" s="656">
        <v>0</v>
      </c>
      <c r="CT266" s="656">
        <v>0</v>
      </c>
      <c r="CU266" s="656">
        <v>0</v>
      </c>
      <c r="CV266" s="656">
        <v>0</v>
      </c>
      <c r="CW266" s="656">
        <v>0</v>
      </c>
      <c r="CX266" s="656">
        <v>0</v>
      </c>
      <c r="CZ266" s="656" t="e">
        <v>#NAME?</v>
      </c>
      <c r="DB266" s="156" t="s">
        <v>260</v>
      </c>
    </row>
    <row r="267" spans="1:111" ht="12.75">
      <c r="A267" s="165" t="s">
        <v>259</v>
      </c>
      <c r="B267" s="656"/>
      <c r="C267" s="656"/>
      <c r="D267" s="656"/>
      <c r="E267" s="656"/>
      <c r="F267" s="656"/>
      <c r="G267" s="656"/>
      <c r="H267" s="656"/>
      <c r="I267" s="656"/>
      <c r="J267" s="656"/>
      <c r="K267" s="656"/>
      <c r="L267" s="656"/>
      <c r="M267" s="656"/>
      <c r="N267" s="656"/>
      <c r="O267" s="656"/>
      <c r="P267" s="656"/>
      <c r="Q267" s="656"/>
      <c r="R267" s="656"/>
      <c r="S267" s="656"/>
      <c r="T267" s="656"/>
      <c r="U267" s="656"/>
      <c r="V267" s="656">
        <v>153.24651541</v>
      </c>
      <c r="W267" s="656">
        <v>621.22262632000002</v>
      </c>
      <c r="X267" s="656">
        <v>233.67912921000001</v>
      </c>
      <c r="Y267" s="656">
        <v>-179.63997581000001</v>
      </c>
      <c r="Z267" s="656">
        <v>439.43698128</v>
      </c>
      <c r="AA267" s="656">
        <v>1436.5011631300001</v>
      </c>
      <c r="AB267" s="656">
        <v>453.08941873999999</v>
      </c>
      <c r="AC267" s="656"/>
      <c r="AD267" s="158"/>
      <c r="AE267" s="158"/>
      <c r="AF267" s="656"/>
      <c r="AG267" s="656"/>
      <c r="AH267" s="656"/>
      <c r="AI267" s="656"/>
      <c r="AJ267" s="656"/>
      <c r="AK267" s="656"/>
      <c r="AL267" s="656"/>
      <c r="AM267" s="656"/>
      <c r="AN267" s="656"/>
      <c r="AO267" s="656"/>
      <c r="AP267" s="656"/>
      <c r="AQ267" s="656"/>
      <c r="AR267" s="656"/>
      <c r="AS267" s="656"/>
      <c r="AT267" s="656"/>
      <c r="AU267" s="656"/>
      <c r="AV267" s="656"/>
      <c r="AW267" s="656"/>
      <c r="AX267" s="656"/>
      <c r="AY267" s="656"/>
      <c r="AZ267" s="656"/>
      <c r="BA267" s="656"/>
      <c r="BB267" s="656"/>
      <c r="BC267" s="656"/>
      <c r="BD267" s="656"/>
      <c r="BE267" s="656"/>
      <c r="BF267" s="656"/>
      <c r="BG267" s="656"/>
      <c r="BH267" s="656"/>
      <c r="BI267" s="656"/>
      <c r="BJ267" s="656"/>
      <c r="BK267" s="656"/>
      <c r="BL267" s="656"/>
      <c r="BM267" s="656"/>
      <c r="BN267" s="656"/>
      <c r="BO267" s="656"/>
      <c r="BP267" s="656"/>
      <c r="BQ267" s="656"/>
      <c r="BR267" s="656"/>
      <c r="BS267" s="656"/>
      <c r="BT267" s="656"/>
      <c r="BU267" s="656"/>
      <c r="BV267" s="656"/>
      <c r="BW267" s="656"/>
      <c r="BX267" s="656"/>
      <c r="BY267" s="656"/>
      <c r="BZ267" s="656"/>
      <c r="CA267" s="656"/>
      <c r="CB267" s="656">
        <v>-173.55672403999998</v>
      </c>
      <c r="CC267" s="656"/>
      <c r="CD267" s="656"/>
      <c r="CE267" s="656">
        <v>233.67912921000001</v>
      </c>
      <c r="CF267" s="656">
        <v>-189.13571558999999</v>
      </c>
      <c r="CG267" s="656">
        <v>1284.98729697</v>
      </c>
      <c r="CH267" s="656"/>
      <c r="CI267" s="656">
        <v>-179.63997581000001</v>
      </c>
      <c r="CJ267" s="656"/>
      <c r="CK267" s="656">
        <v>92.094128220000002</v>
      </c>
      <c r="CL267" s="656"/>
      <c r="CM267" s="656">
        <v>439.43698128</v>
      </c>
      <c r="CN267" s="656"/>
      <c r="CO267" s="656">
        <v>738.08075152999993</v>
      </c>
      <c r="CP267" s="656"/>
      <c r="CQ267" s="656">
        <v>1436.5011631300001</v>
      </c>
      <c r="CR267" s="656"/>
      <c r="CS267" s="656">
        <v>1540.4226299100001</v>
      </c>
      <c r="CT267" s="656">
        <v>0</v>
      </c>
      <c r="CU267" s="656">
        <v>453.08941873999999</v>
      </c>
      <c r="CV267" s="656">
        <v>0</v>
      </c>
      <c r="CW267" s="656">
        <v>-1268.0190072999999</v>
      </c>
      <c r="CX267" s="656">
        <v>0</v>
      </c>
      <c r="CZ267" s="656" t="e">
        <v>#NAME?</v>
      </c>
      <c r="DB267" s="156" t="s">
        <v>259</v>
      </c>
    </row>
    <row r="268" spans="1:111" ht="12.75">
      <c r="B268" s="659"/>
      <c r="C268" s="659"/>
      <c r="D268" s="659"/>
      <c r="E268" s="659"/>
      <c r="F268" s="659"/>
      <c r="G268" s="659"/>
      <c r="H268" s="659"/>
      <c r="I268" s="659"/>
      <c r="J268" s="659"/>
      <c r="K268" s="659"/>
      <c r="L268" s="659"/>
      <c r="M268" s="659"/>
      <c r="N268" s="659"/>
      <c r="O268" s="659"/>
      <c r="P268" s="659"/>
      <c r="Q268" s="659"/>
      <c r="R268" s="659"/>
      <c r="S268" s="659"/>
      <c r="T268" s="659"/>
      <c r="U268" s="659"/>
      <c r="V268" s="659"/>
      <c r="W268" s="659"/>
      <c r="X268" s="659"/>
      <c r="Y268" s="659"/>
      <c r="Z268" s="659"/>
      <c r="AA268" s="659"/>
      <c r="AB268" s="659"/>
      <c r="AC268" s="659"/>
      <c r="AD268" s="158"/>
      <c r="AE268" s="158"/>
      <c r="AF268" s="659"/>
      <c r="AG268" s="659"/>
      <c r="AH268" s="659"/>
      <c r="AI268" s="659"/>
      <c r="AJ268" s="659"/>
      <c r="AK268" s="659"/>
      <c r="AL268" s="659"/>
      <c r="AM268" s="659"/>
      <c r="AN268" s="659"/>
      <c r="AO268" s="659"/>
      <c r="AP268" s="659"/>
      <c r="AQ268" s="659"/>
      <c r="AR268" s="659"/>
      <c r="AS268" s="659"/>
      <c r="AT268" s="659"/>
      <c r="AU268" s="659"/>
      <c r="AV268" s="659"/>
      <c r="AW268" s="659"/>
      <c r="AX268" s="659"/>
      <c r="AY268" s="659"/>
      <c r="AZ268" s="659"/>
      <c r="BA268" s="659"/>
      <c r="BB268" s="659"/>
      <c r="BC268" s="659"/>
      <c r="BD268" s="659"/>
      <c r="BE268" s="659"/>
      <c r="BF268" s="659"/>
      <c r="BG268" s="659"/>
      <c r="BH268" s="659"/>
      <c r="BI268" s="659"/>
      <c r="BJ268" s="659"/>
      <c r="BK268" s="659"/>
      <c r="BL268" s="659"/>
      <c r="BM268" s="659"/>
      <c r="BN268" s="659"/>
      <c r="BO268" s="659"/>
      <c r="BP268" s="659"/>
      <c r="BQ268" s="659"/>
      <c r="BR268" s="659"/>
      <c r="BS268" s="659"/>
      <c r="BT268" s="659"/>
      <c r="BU268" s="659"/>
      <c r="BV268" s="659"/>
      <c r="BW268" s="659"/>
      <c r="BX268" s="659"/>
      <c r="BY268" s="659"/>
      <c r="BZ268" s="659"/>
      <c r="CA268" s="659"/>
      <c r="CB268" s="659"/>
      <c r="CC268" s="659"/>
      <c r="CD268" s="659"/>
      <c r="CE268" s="659"/>
      <c r="CF268" s="659"/>
      <c r="CG268" s="659"/>
      <c r="CH268" s="659"/>
      <c r="CI268" s="659"/>
      <c r="CJ268" s="659"/>
      <c r="CK268" s="659"/>
      <c r="CL268" s="659"/>
      <c r="CM268" s="659"/>
      <c r="CN268" s="659"/>
      <c r="CO268" s="659"/>
      <c r="CP268" s="659"/>
      <c r="CQ268" s="659"/>
      <c r="CR268" s="659"/>
      <c r="CS268" s="659"/>
      <c r="CT268" s="659"/>
      <c r="CU268" s="659"/>
      <c r="CV268" s="659"/>
      <c r="CW268" s="659"/>
      <c r="CX268" s="659"/>
      <c r="CZ268" s="659"/>
    </row>
    <row r="269" spans="1:111" ht="12.75">
      <c r="B269" s="659"/>
      <c r="C269" s="659"/>
      <c r="D269" s="659"/>
      <c r="E269" s="659"/>
      <c r="F269" s="659"/>
      <c r="G269" s="659"/>
      <c r="H269" s="659"/>
      <c r="I269" s="659"/>
      <c r="J269" s="659"/>
      <c r="K269" s="659"/>
      <c r="L269" s="659"/>
      <c r="M269" s="659"/>
      <c r="N269" s="659"/>
      <c r="O269" s="659"/>
      <c r="P269" s="659"/>
      <c r="Q269" s="659"/>
      <c r="R269" s="659"/>
      <c r="S269" s="659"/>
      <c r="T269" s="659"/>
      <c r="U269" s="659"/>
      <c r="V269" s="659"/>
      <c r="W269" s="659"/>
      <c r="X269" s="659"/>
      <c r="Y269" s="659"/>
      <c r="Z269" s="659"/>
      <c r="AA269" s="659"/>
      <c r="AB269" s="659"/>
      <c r="AC269" s="659"/>
      <c r="AD269" s="158"/>
      <c r="AE269" s="158"/>
      <c r="AF269" s="659"/>
      <c r="AG269" s="659"/>
      <c r="AH269" s="659"/>
      <c r="AI269" s="659"/>
      <c r="AJ269" s="659"/>
      <c r="AK269" s="659"/>
      <c r="AL269" s="659"/>
      <c r="AM269" s="659"/>
      <c r="AN269" s="659"/>
      <c r="AO269" s="659"/>
      <c r="AP269" s="659"/>
      <c r="AQ269" s="659"/>
      <c r="AR269" s="659"/>
      <c r="AS269" s="659"/>
      <c r="AT269" s="659"/>
      <c r="AU269" s="659"/>
      <c r="AV269" s="659"/>
      <c r="AW269" s="659"/>
      <c r="AX269" s="659"/>
      <c r="AY269" s="659"/>
      <c r="AZ269" s="659"/>
      <c r="BA269" s="659"/>
      <c r="BB269" s="659"/>
      <c r="BC269" s="659"/>
      <c r="BD269" s="659"/>
      <c r="BE269" s="659"/>
      <c r="BF269" s="659"/>
      <c r="BG269" s="659"/>
      <c r="BH269" s="659"/>
      <c r="BI269" s="659"/>
      <c r="BJ269" s="659"/>
      <c r="BK269" s="659"/>
      <c r="BL269" s="659"/>
      <c r="BM269" s="659"/>
      <c r="BN269" s="659"/>
      <c r="BO269" s="659"/>
      <c r="BP269" s="659"/>
      <c r="BQ269" s="659"/>
      <c r="BR269" s="659"/>
      <c r="BS269" s="659"/>
      <c r="BT269" s="659"/>
      <c r="BU269" s="659"/>
      <c r="BV269" s="659"/>
      <c r="BW269" s="659"/>
      <c r="BX269" s="659"/>
      <c r="BY269" s="659"/>
      <c r="BZ269" s="659"/>
      <c r="CA269" s="659"/>
      <c r="CB269" s="659"/>
      <c r="CC269" s="659"/>
      <c r="CD269" s="659"/>
      <c r="CE269" s="659"/>
      <c r="CF269" s="659"/>
      <c r="CG269" s="659"/>
      <c r="CH269" s="659"/>
      <c r="CI269" s="659"/>
      <c r="CJ269" s="659"/>
      <c r="CK269" s="659"/>
      <c r="CL269" s="659"/>
      <c r="CM269" s="659"/>
      <c r="CN269" s="659"/>
      <c r="CO269" s="659"/>
      <c r="CP269" s="659"/>
      <c r="CQ269" s="659"/>
      <c r="CR269" s="659"/>
      <c r="CS269" s="659"/>
      <c r="CT269" s="659"/>
      <c r="CU269" s="659"/>
      <c r="CV269" s="659"/>
      <c r="CW269" s="659"/>
      <c r="CX269" s="659"/>
      <c r="CZ269" s="659"/>
    </row>
    <row r="270" spans="1:111" ht="12.75">
      <c r="A270" s="164" t="s">
        <v>258</v>
      </c>
      <c r="B270" s="661">
        <v>36160</v>
      </c>
      <c r="C270" s="661">
        <v>36525</v>
      </c>
      <c r="D270" s="661">
        <v>36891</v>
      </c>
      <c r="E270" s="661">
        <v>37256</v>
      </c>
      <c r="F270" s="661">
        <v>37621</v>
      </c>
      <c r="G270" s="661">
        <v>37986</v>
      </c>
      <c r="H270" s="661">
        <v>38352</v>
      </c>
      <c r="I270" s="661">
        <v>38717</v>
      </c>
      <c r="J270" s="661">
        <v>39082</v>
      </c>
      <c r="K270" s="661">
        <v>39447</v>
      </c>
      <c r="L270" s="661">
        <v>39813</v>
      </c>
      <c r="M270" s="661">
        <v>40178</v>
      </c>
      <c r="N270" s="661">
        <v>40543</v>
      </c>
      <c r="O270" s="661">
        <v>40908</v>
      </c>
      <c r="P270" s="661">
        <v>41274</v>
      </c>
      <c r="Q270" s="661">
        <v>41639</v>
      </c>
      <c r="R270" s="661">
        <v>42004</v>
      </c>
      <c r="S270" s="661">
        <v>42369</v>
      </c>
      <c r="T270" s="661">
        <v>42735</v>
      </c>
      <c r="U270" s="661">
        <v>43100</v>
      </c>
      <c r="V270" s="661">
        <v>43465</v>
      </c>
      <c r="W270" s="661">
        <v>43830</v>
      </c>
      <c r="X270" s="661">
        <v>44196</v>
      </c>
      <c r="Y270" s="661">
        <v>44561</v>
      </c>
      <c r="Z270" s="661">
        <v>44926</v>
      </c>
      <c r="AA270" s="661">
        <v>45291</v>
      </c>
      <c r="AB270" s="661">
        <v>45657</v>
      </c>
      <c r="AC270" s="661"/>
      <c r="AD270" s="158"/>
      <c r="AE270" s="158"/>
      <c r="AF270" s="661">
        <v>39538</v>
      </c>
      <c r="AG270" s="661">
        <v>39629</v>
      </c>
      <c r="AH270" s="661">
        <v>39721</v>
      </c>
      <c r="AI270" s="661">
        <v>39813</v>
      </c>
      <c r="AJ270" s="661">
        <v>39903</v>
      </c>
      <c r="AK270" s="661">
        <v>39994</v>
      </c>
      <c r="AL270" s="661">
        <v>40086</v>
      </c>
      <c r="AM270" s="661">
        <v>40178</v>
      </c>
      <c r="AN270" s="661">
        <v>40268</v>
      </c>
      <c r="AO270" s="661">
        <v>40359</v>
      </c>
      <c r="AP270" s="661">
        <v>40451</v>
      </c>
      <c r="AQ270" s="661">
        <v>40543</v>
      </c>
      <c r="AR270" s="661">
        <v>40633</v>
      </c>
      <c r="AS270" s="661">
        <v>40724</v>
      </c>
      <c r="AT270" s="661">
        <v>40816</v>
      </c>
      <c r="AU270" s="661">
        <v>40908</v>
      </c>
      <c r="AV270" s="661">
        <v>40999</v>
      </c>
      <c r="AW270" s="661">
        <v>41090</v>
      </c>
      <c r="AX270" s="661">
        <v>41182</v>
      </c>
      <c r="AY270" s="661">
        <v>41274</v>
      </c>
      <c r="AZ270" s="661">
        <v>41364</v>
      </c>
      <c r="BA270" s="661">
        <v>41455</v>
      </c>
      <c r="BB270" s="661">
        <v>41547</v>
      </c>
      <c r="BC270" s="661">
        <v>41639</v>
      </c>
      <c r="BD270" s="661">
        <v>41729</v>
      </c>
      <c r="BE270" s="661">
        <v>41820</v>
      </c>
      <c r="BF270" s="661">
        <v>41912</v>
      </c>
      <c r="BG270" s="661">
        <v>42004</v>
      </c>
      <c r="BH270" s="661">
        <v>42094</v>
      </c>
      <c r="BI270" s="661">
        <v>42185</v>
      </c>
      <c r="BJ270" s="661">
        <v>42277</v>
      </c>
      <c r="BK270" s="661">
        <v>42369</v>
      </c>
      <c r="BL270" s="661">
        <v>42460</v>
      </c>
      <c r="BM270" s="661">
        <v>42551</v>
      </c>
      <c r="BN270" s="661">
        <v>42643</v>
      </c>
      <c r="BO270" s="661">
        <v>42735</v>
      </c>
      <c r="BP270" s="661">
        <v>42825</v>
      </c>
      <c r="BQ270" s="661">
        <v>42916</v>
      </c>
      <c r="BR270" s="661">
        <v>43008</v>
      </c>
      <c r="BS270" s="661">
        <v>43100</v>
      </c>
      <c r="BT270" s="661">
        <v>43190</v>
      </c>
      <c r="BU270" s="661">
        <v>43281</v>
      </c>
      <c r="BV270" s="661">
        <v>43373</v>
      </c>
      <c r="BW270" s="661">
        <v>43465</v>
      </c>
      <c r="BX270" s="661">
        <v>43555</v>
      </c>
      <c r="BY270" s="661">
        <v>43646</v>
      </c>
      <c r="BZ270" s="661">
        <v>43738</v>
      </c>
      <c r="CA270" s="661">
        <v>43830</v>
      </c>
      <c r="CB270" s="661">
        <v>43921</v>
      </c>
      <c r="CC270" s="661">
        <v>44012</v>
      </c>
      <c r="CD270" s="661">
        <v>44104</v>
      </c>
      <c r="CE270" s="661">
        <v>44196</v>
      </c>
      <c r="CF270" s="661">
        <v>44286</v>
      </c>
      <c r="CG270" s="661">
        <v>44377</v>
      </c>
      <c r="CH270" s="661">
        <v>44469</v>
      </c>
      <c r="CI270" s="661">
        <v>44561</v>
      </c>
      <c r="CJ270" s="661">
        <v>44651</v>
      </c>
      <c r="CK270" s="661">
        <v>44742</v>
      </c>
      <c r="CL270" s="661">
        <v>44834</v>
      </c>
      <c r="CM270" s="661">
        <v>44926</v>
      </c>
      <c r="CN270" s="661">
        <v>45016</v>
      </c>
      <c r="CO270" s="661">
        <v>45107</v>
      </c>
      <c r="CP270" s="661">
        <v>45199</v>
      </c>
      <c r="CQ270" s="661">
        <v>45291</v>
      </c>
      <c r="CR270" s="661">
        <v>45382</v>
      </c>
      <c r="CS270" s="661">
        <v>45473</v>
      </c>
      <c r="CT270" s="661">
        <v>45565</v>
      </c>
      <c r="CU270" s="661">
        <v>45657</v>
      </c>
      <c r="CV270" s="661">
        <v>45747</v>
      </c>
      <c r="CW270" s="661">
        <v>45838</v>
      </c>
      <c r="CX270" s="661">
        <v>45930</v>
      </c>
      <c r="CZ270" s="661">
        <f>CZ3</f>
        <v>45930</v>
      </c>
      <c r="DB270" s="156" t="s">
        <v>258</v>
      </c>
    </row>
    <row r="271" spans="1:111" ht="13.5" thickBot="1">
      <c r="A271" s="163" t="s">
        <v>257</v>
      </c>
      <c r="B271" s="662" t="s">
        <v>256</v>
      </c>
      <c r="C271" s="662" t="s">
        <v>256</v>
      </c>
      <c r="D271" s="662" t="s">
        <v>256</v>
      </c>
      <c r="E271" s="662" t="s">
        <v>256</v>
      </c>
      <c r="F271" s="662" t="s">
        <v>256</v>
      </c>
      <c r="G271" s="662" t="s">
        <v>256</v>
      </c>
      <c r="H271" s="662" t="s">
        <v>256</v>
      </c>
      <c r="I271" s="662" t="s">
        <v>256</v>
      </c>
      <c r="J271" s="662" t="s">
        <v>256</v>
      </c>
      <c r="K271" s="662" t="s">
        <v>256</v>
      </c>
      <c r="L271" s="662" t="s">
        <v>256</v>
      </c>
      <c r="M271" s="662" t="s">
        <v>256</v>
      </c>
      <c r="N271" s="662" t="s">
        <v>256</v>
      </c>
      <c r="O271" s="662" t="s">
        <v>256</v>
      </c>
      <c r="P271" s="662" t="s">
        <v>256</v>
      </c>
      <c r="Q271" s="662" t="s">
        <v>256</v>
      </c>
      <c r="R271" s="662" t="s">
        <v>256</v>
      </c>
      <c r="S271" s="662" t="s">
        <v>256</v>
      </c>
      <c r="T271" s="662" t="s">
        <v>256</v>
      </c>
      <c r="U271" s="662" t="s">
        <v>256</v>
      </c>
      <c r="V271" s="662" t="s">
        <v>256</v>
      </c>
      <c r="W271" s="662" t="s">
        <v>256</v>
      </c>
      <c r="X271" s="662" t="s">
        <v>256</v>
      </c>
      <c r="Y271" s="866" t="s">
        <v>256</v>
      </c>
      <c r="Z271" s="866" t="s">
        <v>256</v>
      </c>
      <c r="AA271" s="866" t="s">
        <v>256</v>
      </c>
      <c r="AB271" s="866" t="s">
        <v>256</v>
      </c>
      <c r="AC271" s="866"/>
      <c r="AD271" s="158"/>
      <c r="AE271" s="158"/>
      <c r="AF271" s="662" t="s">
        <v>256</v>
      </c>
      <c r="AG271" s="662" t="s">
        <v>256</v>
      </c>
      <c r="AH271" s="662" t="s">
        <v>256</v>
      </c>
      <c r="AI271" s="662" t="s">
        <v>256</v>
      </c>
      <c r="AJ271" s="662" t="s">
        <v>256</v>
      </c>
      <c r="AK271" s="662" t="s">
        <v>256</v>
      </c>
      <c r="AL271" s="662" t="s">
        <v>256</v>
      </c>
      <c r="AM271" s="662" t="s">
        <v>256</v>
      </c>
      <c r="AN271" s="662" t="s">
        <v>256</v>
      </c>
      <c r="AO271" s="662" t="s">
        <v>256</v>
      </c>
      <c r="AP271" s="662" t="s">
        <v>256</v>
      </c>
      <c r="AQ271" s="662" t="s">
        <v>256</v>
      </c>
      <c r="AR271" s="662" t="s">
        <v>256</v>
      </c>
      <c r="AS271" s="662" t="s">
        <v>256</v>
      </c>
      <c r="AT271" s="662" t="s">
        <v>256</v>
      </c>
      <c r="AU271" s="662" t="s">
        <v>256</v>
      </c>
      <c r="AV271" s="662" t="s">
        <v>256</v>
      </c>
      <c r="AW271" s="662" t="s">
        <v>256</v>
      </c>
      <c r="AX271" s="662" t="s">
        <v>256</v>
      </c>
      <c r="AY271" s="662" t="s">
        <v>256</v>
      </c>
      <c r="AZ271" s="662" t="s">
        <v>256</v>
      </c>
      <c r="BA271" s="662" t="s">
        <v>256</v>
      </c>
      <c r="BB271" s="662" t="s">
        <v>256</v>
      </c>
      <c r="BC271" s="662" t="s">
        <v>256</v>
      </c>
      <c r="BD271" s="662" t="s">
        <v>256</v>
      </c>
      <c r="BE271" s="662" t="s">
        <v>256</v>
      </c>
      <c r="BF271" s="662" t="s">
        <v>256</v>
      </c>
      <c r="BG271" s="662" t="s">
        <v>256</v>
      </c>
      <c r="BH271" s="662" t="s">
        <v>256</v>
      </c>
      <c r="BI271" s="662" t="s">
        <v>256</v>
      </c>
      <c r="BJ271" s="662" t="s">
        <v>256</v>
      </c>
      <c r="BK271" s="662" t="s">
        <v>256</v>
      </c>
      <c r="BL271" s="662" t="s">
        <v>256</v>
      </c>
      <c r="BM271" s="662" t="s">
        <v>256</v>
      </c>
      <c r="BN271" s="662" t="s">
        <v>256</v>
      </c>
      <c r="BO271" s="662" t="s">
        <v>256</v>
      </c>
      <c r="BP271" s="662" t="s">
        <v>256</v>
      </c>
      <c r="BQ271" s="662" t="s">
        <v>256</v>
      </c>
      <c r="BR271" s="662" t="s">
        <v>256</v>
      </c>
      <c r="BS271" s="662" t="s">
        <v>256</v>
      </c>
      <c r="BT271" s="662" t="s">
        <v>256</v>
      </c>
      <c r="BU271" s="662" t="s">
        <v>256</v>
      </c>
      <c r="BV271" s="662" t="s">
        <v>256</v>
      </c>
      <c r="BW271" s="662" t="s">
        <v>256</v>
      </c>
      <c r="BX271" s="662" t="s">
        <v>256</v>
      </c>
      <c r="BY271" s="662" t="s">
        <v>256</v>
      </c>
      <c r="BZ271" s="662" t="s">
        <v>256</v>
      </c>
      <c r="CA271" s="662" t="s">
        <v>256</v>
      </c>
      <c r="CB271" s="662" t="s">
        <v>256</v>
      </c>
      <c r="CC271" s="662" t="s">
        <v>256</v>
      </c>
      <c r="CD271" s="662" t="s">
        <v>256</v>
      </c>
      <c r="CE271" s="662" t="s">
        <v>256</v>
      </c>
      <c r="CF271" s="662" t="s">
        <v>256</v>
      </c>
      <c r="CG271" s="662" t="s">
        <v>256</v>
      </c>
      <c r="CH271" s="662" t="s">
        <v>256</v>
      </c>
      <c r="CI271" s="662" t="s">
        <v>256</v>
      </c>
      <c r="CJ271" s="662" t="s">
        <v>256</v>
      </c>
      <c r="CK271" s="662" t="s">
        <v>256</v>
      </c>
      <c r="CL271" s="662" t="s">
        <v>256</v>
      </c>
      <c r="CM271" s="866" t="s">
        <v>256</v>
      </c>
      <c r="CN271" s="866" t="s">
        <v>256</v>
      </c>
      <c r="CO271" s="866" t="s">
        <v>256</v>
      </c>
      <c r="CP271" s="866" t="s">
        <v>256</v>
      </c>
      <c r="CQ271" s="866" t="s">
        <v>256</v>
      </c>
      <c r="CR271" s="866" t="s">
        <v>256</v>
      </c>
      <c r="CS271" s="662" t="s">
        <v>256</v>
      </c>
      <c r="CT271" s="662" t="s">
        <v>256</v>
      </c>
      <c r="CU271" s="662" t="s">
        <v>256</v>
      </c>
      <c r="CV271" s="866" t="s">
        <v>256</v>
      </c>
      <c r="CW271" s="662" t="s">
        <v>256</v>
      </c>
      <c r="CX271" s="866" t="s">
        <v>256</v>
      </c>
      <c r="CZ271" s="662" t="s">
        <v>256</v>
      </c>
      <c r="DB271" s="156" t="s">
        <v>257</v>
      </c>
    </row>
    <row r="272" spans="1:111" ht="12.75">
      <c r="A272" s="160" t="s">
        <v>255</v>
      </c>
      <c r="B272" s="663"/>
      <c r="C272" s="663"/>
      <c r="D272" s="663"/>
      <c r="E272" s="663"/>
      <c r="F272" s="663"/>
      <c r="G272" s="663"/>
      <c r="H272" s="663"/>
      <c r="I272" s="663"/>
      <c r="J272" s="663"/>
      <c r="K272" s="663"/>
      <c r="L272" s="663"/>
      <c r="M272" s="663"/>
      <c r="N272" s="663"/>
      <c r="O272" s="663"/>
      <c r="P272" s="663"/>
      <c r="Q272" s="663"/>
      <c r="R272" s="663"/>
      <c r="S272" s="663"/>
      <c r="T272" s="663"/>
      <c r="U272" s="664"/>
      <c r="V272" s="664">
        <v>6.9068464699999996</v>
      </c>
      <c r="W272" s="664">
        <v>5.40212936</v>
      </c>
      <c r="X272" s="664">
        <v>9.7758555000000005</v>
      </c>
      <c r="Y272" s="664">
        <v>13.615900460000001</v>
      </c>
      <c r="Z272" s="664">
        <v>52.681527880000004</v>
      </c>
      <c r="AA272" s="664">
        <v>80.086467639999995</v>
      </c>
      <c r="AB272" s="664">
        <v>97.913830869999998</v>
      </c>
      <c r="AC272" s="664"/>
      <c r="AD272" s="158"/>
      <c r="AE272" s="158"/>
      <c r="AF272" s="663"/>
      <c r="AG272" s="663"/>
      <c r="AH272" s="663"/>
      <c r="AI272" s="663"/>
      <c r="AJ272" s="663"/>
      <c r="AK272" s="663"/>
      <c r="AL272" s="663"/>
      <c r="AM272" s="663"/>
      <c r="AN272" s="663"/>
      <c r="AO272" s="663"/>
      <c r="AP272" s="663"/>
      <c r="AQ272" s="663"/>
      <c r="AR272" s="663"/>
      <c r="AS272" s="663"/>
      <c r="AT272" s="663"/>
      <c r="AU272" s="663"/>
      <c r="AV272" s="663"/>
      <c r="AW272" s="663"/>
      <c r="AX272" s="663"/>
      <c r="AY272" s="663"/>
      <c r="AZ272" s="663"/>
      <c r="BA272" s="663"/>
      <c r="BB272" s="663"/>
      <c r="BC272" s="663"/>
      <c r="BD272" s="663"/>
      <c r="BE272" s="663"/>
      <c r="BF272" s="663"/>
      <c r="BG272" s="663"/>
      <c r="BH272" s="663"/>
      <c r="BI272" s="663"/>
      <c r="BJ272" s="663"/>
      <c r="BK272" s="663"/>
      <c r="BL272" s="663"/>
      <c r="BM272" s="663"/>
      <c r="BN272" s="663"/>
      <c r="BO272" s="663"/>
      <c r="BP272" s="663"/>
      <c r="BQ272" s="663"/>
      <c r="BR272" s="663"/>
      <c r="BS272" s="663"/>
      <c r="BT272" s="663"/>
      <c r="BU272" s="663"/>
      <c r="BV272" s="663"/>
      <c r="BW272" s="663"/>
      <c r="BX272" s="663"/>
      <c r="BY272" s="663"/>
      <c r="BZ272" s="663"/>
      <c r="CA272" s="663"/>
      <c r="CB272" s="663">
        <v>1.4244545100000001</v>
      </c>
      <c r="CC272" s="663"/>
      <c r="CD272" s="663"/>
      <c r="CE272" s="663">
        <v>9.7758555000000005</v>
      </c>
      <c r="CF272" s="663">
        <v>3.55783184</v>
      </c>
      <c r="CG272" s="663">
        <v>8.4956241899999991</v>
      </c>
      <c r="CH272" s="663"/>
      <c r="CI272" s="663">
        <v>13.615900460000001</v>
      </c>
      <c r="CJ272" s="663"/>
      <c r="CK272" s="663">
        <v>21.900270729999999</v>
      </c>
      <c r="CL272" s="663"/>
      <c r="CM272" s="663">
        <v>52.681527880000004</v>
      </c>
      <c r="CN272" s="663"/>
      <c r="CO272" s="663">
        <v>38.274048759999999</v>
      </c>
      <c r="CP272" s="663"/>
      <c r="CQ272" s="663">
        <v>80.086467639999995</v>
      </c>
      <c r="CR272" s="663"/>
      <c r="CS272" s="663">
        <v>42.293783380000001</v>
      </c>
      <c r="CT272" s="663">
        <v>0</v>
      </c>
      <c r="CU272" s="663">
        <v>97.913830869999998</v>
      </c>
      <c r="CV272" s="663">
        <v>0</v>
      </c>
      <c r="CW272" s="663">
        <v>0</v>
      </c>
      <c r="CX272" s="663">
        <v>0</v>
      </c>
      <c r="CZ272" s="663" t="e">
        <v>#NAME?</v>
      </c>
      <c r="DB272" s="156" t="s">
        <v>255</v>
      </c>
    </row>
    <row r="273" spans="1:106" ht="12.75">
      <c r="A273" s="160" t="s">
        <v>254</v>
      </c>
      <c r="B273" s="663"/>
      <c r="C273" s="663"/>
      <c r="D273" s="663"/>
      <c r="E273" s="663"/>
      <c r="F273" s="663"/>
      <c r="G273" s="663"/>
      <c r="H273" s="663"/>
      <c r="I273" s="663"/>
      <c r="J273" s="663"/>
      <c r="K273" s="663"/>
      <c r="L273" s="663"/>
      <c r="M273" s="663"/>
      <c r="N273" s="663"/>
      <c r="O273" s="663"/>
      <c r="P273" s="663"/>
      <c r="Q273" s="663"/>
      <c r="R273" s="663"/>
      <c r="S273" s="663"/>
      <c r="T273" s="663"/>
      <c r="U273" s="664"/>
      <c r="V273" s="664">
        <v>2.7387297599999996</v>
      </c>
      <c r="W273" s="664">
        <v>20.080900679999999</v>
      </c>
      <c r="X273" s="664">
        <v>26.04038886</v>
      </c>
      <c r="Y273" s="664">
        <v>29.262542249999999</v>
      </c>
      <c r="Z273" s="664">
        <v>19.820947690000001</v>
      </c>
      <c r="AA273" s="664">
        <v>122.48630601000001</v>
      </c>
      <c r="AB273" s="664">
        <v>260.35606838999996</v>
      </c>
      <c r="AC273" s="664"/>
      <c r="AD273" s="158"/>
      <c r="AE273" s="158"/>
      <c r="AF273" s="663"/>
      <c r="AG273" s="663"/>
      <c r="AH273" s="663"/>
      <c r="AI273" s="663"/>
      <c r="AJ273" s="663"/>
      <c r="AK273" s="663"/>
      <c r="AL273" s="663"/>
      <c r="AM273" s="663"/>
      <c r="AN273" s="663"/>
      <c r="AO273" s="663"/>
      <c r="AP273" s="663"/>
      <c r="AQ273" s="663"/>
      <c r="AR273" s="663"/>
      <c r="AS273" s="663"/>
      <c r="AT273" s="663"/>
      <c r="AU273" s="663"/>
      <c r="AV273" s="663"/>
      <c r="AW273" s="663"/>
      <c r="AX273" s="663"/>
      <c r="AY273" s="663"/>
      <c r="AZ273" s="663"/>
      <c r="BA273" s="663"/>
      <c r="BB273" s="663"/>
      <c r="BC273" s="663"/>
      <c r="BD273" s="663"/>
      <c r="BE273" s="663"/>
      <c r="BF273" s="663"/>
      <c r="BG273" s="663"/>
      <c r="BH273" s="663"/>
      <c r="BI273" s="663"/>
      <c r="BJ273" s="663"/>
      <c r="BK273" s="663"/>
      <c r="BL273" s="663"/>
      <c r="BM273" s="663"/>
      <c r="BN273" s="663"/>
      <c r="BO273" s="663"/>
      <c r="BP273" s="663"/>
      <c r="BQ273" s="663"/>
      <c r="BR273" s="663"/>
      <c r="BS273" s="663"/>
      <c r="BT273" s="663"/>
      <c r="BU273" s="663"/>
      <c r="BV273" s="663"/>
      <c r="BW273" s="663"/>
      <c r="BX273" s="663"/>
      <c r="BY273" s="663"/>
      <c r="BZ273" s="663"/>
      <c r="CA273" s="663"/>
      <c r="CB273" s="663">
        <v>5.2134532199999999</v>
      </c>
      <c r="CC273" s="663"/>
      <c r="CD273" s="663"/>
      <c r="CE273" s="663">
        <v>26.04038886</v>
      </c>
      <c r="CF273" s="663">
        <v>5.9658977999999996</v>
      </c>
      <c r="CG273" s="663">
        <v>11.67165172</v>
      </c>
      <c r="CH273" s="663"/>
      <c r="CI273" s="663">
        <v>29.262542249999999</v>
      </c>
      <c r="CJ273" s="663"/>
      <c r="CK273" s="663">
        <v>6.7554892899999999</v>
      </c>
      <c r="CL273" s="663"/>
      <c r="CM273" s="663">
        <v>19.820947690000001</v>
      </c>
      <c r="CN273" s="663"/>
      <c r="CO273" s="663">
        <v>39.203202060000002</v>
      </c>
      <c r="CP273" s="663"/>
      <c r="CQ273" s="663">
        <v>122.48630601000001</v>
      </c>
      <c r="CR273" s="663"/>
      <c r="CS273" s="663">
        <v>137.10662600000001</v>
      </c>
      <c r="CT273" s="663">
        <v>0</v>
      </c>
      <c r="CU273" s="663">
        <v>260.35606838999996</v>
      </c>
      <c r="CV273" s="663">
        <v>0</v>
      </c>
      <c r="CW273" s="663">
        <v>0</v>
      </c>
      <c r="CX273" s="663">
        <v>0</v>
      </c>
      <c r="CZ273" s="663" t="e">
        <v>#NAME?</v>
      </c>
      <c r="DB273" s="156" t="s">
        <v>254</v>
      </c>
    </row>
    <row r="274" spans="1:106" ht="12.75">
      <c r="A274" s="161" t="s">
        <v>253</v>
      </c>
      <c r="B274" s="663"/>
      <c r="C274" s="663"/>
      <c r="D274" s="663"/>
      <c r="E274" s="663"/>
      <c r="F274" s="663"/>
      <c r="G274" s="663"/>
      <c r="H274" s="663"/>
      <c r="I274" s="663"/>
      <c r="J274" s="663"/>
      <c r="K274" s="663"/>
      <c r="L274" s="663"/>
      <c r="M274" s="663"/>
      <c r="N274" s="663"/>
      <c r="O274" s="663"/>
      <c r="P274" s="663"/>
      <c r="Q274" s="663"/>
      <c r="R274" s="663"/>
      <c r="S274" s="663"/>
      <c r="T274" s="663"/>
      <c r="U274" s="663"/>
      <c r="V274" s="663"/>
      <c r="W274" s="663"/>
      <c r="X274" s="663"/>
      <c r="Y274" s="663">
        <v>1.1902858000000001</v>
      </c>
      <c r="Z274" s="663">
        <v>0.78293142000000004</v>
      </c>
      <c r="AA274" s="663">
        <v>40.865640899999995</v>
      </c>
      <c r="AB274" s="663">
        <v>-44.716060729999995</v>
      </c>
      <c r="AC274" s="663"/>
      <c r="AD274" s="158"/>
      <c r="AE274" s="158"/>
      <c r="AF274" s="663"/>
      <c r="AG274" s="663"/>
      <c r="AH274" s="663"/>
      <c r="AI274" s="663"/>
      <c r="AJ274" s="663"/>
      <c r="AK274" s="663"/>
      <c r="AL274" s="663"/>
      <c r="AM274" s="663"/>
      <c r="AN274" s="663"/>
      <c r="AO274" s="663"/>
      <c r="AP274" s="663"/>
      <c r="AQ274" s="663"/>
      <c r="AR274" s="663"/>
      <c r="AS274" s="663"/>
      <c r="AT274" s="663"/>
      <c r="AU274" s="663"/>
      <c r="AV274" s="663"/>
      <c r="AW274" s="663"/>
      <c r="AX274" s="663"/>
      <c r="AY274" s="663"/>
      <c r="AZ274" s="663"/>
      <c r="BA274" s="663"/>
      <c r="BB274" s="663"/>
      <c r="BC274" s="663"/>
      <c r="BD274" s="663"/>
      <c r="BE274" s="663"/>
      <c r="BF274" s="663"/>
      <c r="BG274" s="663"/>
      <c r="BH274" s="663"/>
      <c r="BI274" s="663"/>
      <c r="BJ274" s="663"/>
      <c r="BK274" s="663"/>
      <c r="BL274" s="663"/>
      <c r="BM274" s="663"/>
      <c r="BN274" s="663"/>
      <c r="BO274" s="663"/>
      <c r="BP274" s="663"/>
      <c r="BQ274" s="663"/>
      <c r="BR274" s="663"/>
      <c r="BS274" s="663"/>
      <c r="BT274" s="663"/>
      <c r="BU274" s="663"/>
      <c r="BV274" s="663"/>
      <c r="BW274" s="663"/>
      <c r="BX274" s="663"/>
      <c r="BY274" s="663"/>
      <c r="BZ274" s="663"/>
      <c r="CA274" s="663"/>
      <c r="CB274" s="663"/>
      <c r="CC274" s="663"/>
      <c r="CD274" s="663"/>
      <c r="CE274" s="663"/>
      <c r="CF274" s="663"/>
      <c r="CG274" s="663"/>
      <c r="CH274" s="663"/>
      <c r="CI274" s="663"/>
      <c r="CJ274" s="663"/>
      <c r="CK274" s="663"/>
      <c r="CL274" s="663"/>
      <c r="CM274" s="663">
        <v>0.78293142000000004</v>
      </c>
      <c r="CN274" s="663"/>
      <c r="CO274" s="663">
        <v>-5.7868291200000002</v>
      </c>
      <c r="CP274" s="663"/>
      <c r="CQ274" s="663">
        <v>40.865640899999995</v>
      </c>
      <c r="CR274" s="663"/>
      <c r="CS274" s="663">
        <v>-16.38750683</v>
      </c>
      <c r="CT274" s="663">
        <v>0</v>
      </c>
      <c r="CU274" s="663">
        <v>-44.716060729999995</v>
      </c>
      <c r="CV274" s="663">
        <v>0</v>
      </c>
      <c r="CW274" s="663">
        <v>0</v>
      </c>
      <c r="CX274" s="663">
        <v>0</v>
      </c>
      <c r="CZ274" s="663" t="e">
        <v>#NAME?</v>
      </c>
      <c r="DB274" s="156" t="s">
        <v>253</v>
      </c>
    </row>
    <row r="275" spans="1:106" ht="12.75">
      <c r="A275" s="160" t="s">
        <v>252</v>
      </c>
      <c r="B275" s="663"/>
      <c r="C275" s="663"/>
      <c r="D275" s="663"/>
      <c r="E275" s="663"/>
      <c r="F275" s="663"/>
      <c r="G275" s="663"/>
      <c r="H275" s="663"/>
      <c r="I275" s="663"/>
      <c r="J275" s="663"/>
      <c r="K275" s="663"/>
      <c r="L275" s="663"/>
      <c r="M275" s="663"/>
      <c r="N275" s="663"/>
      <c r="O275" s="663"/>
      <c r="P275" s="663"/>
      <c r="Q275" s="663"/>
      <c r="R275" s="663"/>
      <c r="S275" s="663"/>
      <c r="T275" s="663"/>
      <c r="U275" s="663"/>
      <c r="V275" s="663"/>
      <c r="W275" s="663"/>
      <c r="X275" s="663"/>
      <c r="Y275" s="663"/>
      <c r="Z275" s="663"/>
      <c r="AA275" s="663"/>
      <c r="AB275" s="663">
        <v>0</v>
      </c>
      <c r="AC275" s="663"/>
      <c r="AD275" s="158"/>
      <c r="AE275" s="158"/>
      <c r="AF275" s="663"/>
      <c r="AG275" s="663"/>
      <c r="AH275" s="663"/>
      <c r="AI275" s="663"/>
      <c r="AJ275" s="663"/>
      <c r="AK275" s="663"/>
      <c r="AL275" s="663"/>
      <c r="AM275" s="663"/>
      <c r="AN275" s="663"/>
      <c r="AO275" s="663"/>
      <c r="AP275" s="663"/>
      <c r="AQ275" s="663"/>
      <c r="AR275" s="663"/>
      <c r="AS275" s="663"/>
      <c r="AT275" s="663"/>
      <c r="AU275" s="663"/>
      <c r="AV275" s="663"/>
      <c r="AW275" s="663"/>
      <c r="AX275" s="663"/>
      <c r="AY275" s="663"/>
      <c r="AZ275" s="663"/>
      <c r="BA275" s="663"/>
      <c r="BB275" s="663"/>
      <c r="BC275" s="663"/>
      <c r="BD275" s="663"/>
      <c r="BE275" s="663"/>
      <c r="BF275" s="663"/>
      <c r="BG275" s="663"/>
      <c r="BH275" s="663"/>
      <c r="BI275" s="663"/>
      <c r="BJ275" s="663"/>
      <c r="BK275" s="663"/>
      <c r="BL275" s="663"/>
      <c r="BM275" s="663"/>
      <c r="BN275" s="663"/>
      <c r="BO275" s="663"/>
      <c r="BP275" s="663"/>
      <c r="BQ275" s="663"/>
      <c r="BR275" s="663"/>
      <c r="BS275" s="663"/>
      <c r="BT275" s="663"/>
      <c r="BU275" s="663"/>
      <c r="BV275" s="663"/>
      <c r="BW275" s="663"/>
      <c r="BX275" s="663"/>
      <c r="BY275" s="663"/>
      <c r="BZ275" s="663"/>
      <c r="CA275" s="663"/>
      <c r="CB275" s="663"/>
      <c r="CC275" s="663"/>
      <c r="CD275" s="663"/>
      <c r="CE275" s="663"/>
      <c r="CF275" s="663"/>
      <c r="CG275" s="663"/>
      <c r="CH275" s="663"/>
      <c r="CI275" s="663"/>
      <c r="CJ275" s="663"/>
      <c r="CK275" s="663"/>
      <c r="CL275" s="663"/>
      <c r="CM275" s="663"/>
      <c r="CN275" s="663"/>
      <c r="CO275" s="663"/>
      <c r="CP275" s="663"/>
      <c r="CQ275" s="663"/>
      <c r="CR275" s="663"/>
      <c r="CS275" s="663">
        <v>0</v>
      </c>
      <c r="CT275" s="663">
        <v>0</v>
      </c>
      <c r="CU275" s="663">
        <v>0</v>
      </c>
      <c r="CV275" s="663">
        <v>0</v>
      </c>
      <c r="CW275" s="663">
        <v>0</v>
      </c>
      <c r="CX275" s="663">
        <v>0</v>
      </c>
      <c r="CZ275" s="663" t="e">
        <v>#NAME?</v>
      </c>
      <c r="DB275" s="156" t="s">
        <v>252</v>
      </c>
    </row>
    <row r="276" spans="1:106" ht="12.75">
      <c r="A276" s="160" t="s">
        <v>251</v>
      </c>
      <c r="B276" s="663"/>
      <c r="C276" s="663"/>
      <c r="D276" s="663"/>
      <c r="E276" s="663"/>
      <c r="F276" s="663"/>
      <c r="G276" s="663"/>
      <c r="H276" s="663"/>
      <c r="I276" s="663"/>
      <c r="J276" s="663"/>
      <c r="K276" s="663"/>
      <c r="L276" s="663"/>
      <c r="M276" s="663"/>
      <c r="N276" s="663"/>
      <c r="O276" s="663"/>
      <c r="P276" s="663"/>
      <c r="Q276" s="663"/>
      <c r="R276" s="663"/>
      <c r="S276" s="663"/>
      <c r="T276" s="663"/>
      <c r="U276" s="663"/>
      <c r="V276" s="663">
        <v>0.91395851000000006</v>
      </c>
      <c r="W276" s="663">
        <v>0.71311416000000005</v>
      </c>
      <c r="X276" s="663">
        <v>0.33359337</v>
      </c>
      <c r="Y276" s="663">
        <v>3.0623986699999999</v>
      </c>
      <c r="Z276" s="663">
        <v>7.39597192</v>
      </c>
      <c r="AA276" s="663">
        <v>3.8198142900000001</v>
      </c>
      <c r="AB276" s="663">
        <v>16.622566750000001</v>
      </c>
      <c r="AC276" s="663"/>
      <c r="AD276" s="158"/>
      <c r="AE276" s="158"/>
      <c r="AF276" s="663"/>
      <c r="AG276" s="663"/>
      <c r="AH276" s="663"/>
      <c r="AI276" s="663"/>
      <c r="AJ276" s="663"/>
      <c r="AK276" s="663"/>
      <c r="AL276" s="663"/>
      <c r="AM276" s="663"/>
      <c r="AN276" s="663"/>
      <c r="AO276" s="663"/>
      <c r="AP276" s="663"/>
      <c r="AQ276" s="663"/>
      <c r="AR276" s="663"/>
      <c r="AS276" s="663"/>
      <c r="AT276" s="663"/>
      <c r="AU276" s="663"/>
      <c r="AV276" s="663"/>
      <c r="AW276" s="663"/>
      <c r="AX276" s="663"/>
      <c r="AY276" s="663"/>
      <c r="AZ276" s="663"/>
      <c r="BA276" s="663"/>
      <c r="BB276" s="663"/>
      <c r="BC276" s="663"/>
      <c r="BD276" s="663"/>
      <c r="BE276" s="663"/>
      <c r="BF276" s="663"/>
      <c r="BG276" s="663"/>
      <c r="BH276" s="663"/>
      <c r="BI276" s="663"/>
      <c r="BJ276" s="663"/>
      <c r="BK276" s="663"/>
      <c r="BL276" s="663"/>
      <c r="BM276" s="663"/>
      <c r="BN276" s="663"/>
      <c r="BO276" s="663"/>
      <c r="BP276" s="663"/>
      <c r="BQ276" s="663"/>
      <c r="BR276" s="663"/>
      <c r="BS276" s="663"/>
      <c r="BT276" s="663"/>
      <c r="BU276" s="663"/>
      <c r="BV276" s="663"/>
      <c r="BW276" s="663"/>
      <c r="BX276" s="663"/>
      <c r="BY276" s="663"/>
      <c r="BZ276" s="663"/>
      <c r="CA276" s="663"/>
      <c r="CB276" s="663">
        <v>6.204606E-2</v>
      </c>
      <c r="CC276" s="663"/>
      <c r="CD276" s="663"/>
      <c r="CE276" s="663">
        <v>0.33359337</v>
      </c>
      <c r="CF276" s="663">
        <v>9.7719609999999998E-2</v>
      </c>
      <c r="CG276" s="663">
        <v>0.18177984</v>
      </c>
      <c r="CH276" s="663"/>
      <c r="CI276" s="663">
        <v>3.0623986699999999</v>
      </c>
      <c r="CJ276" s="663"/>
      <c r="CK276" s="663">
        <v>5.6226065900000002</v>
      </c>
      <c r="CL276" s="663"/>
      <c r="CM276" s="663">
        <v>7.39597192</v>
      </c>
      <c r="CN276" s="663"/>
      <c r="CO276" s="663">
        <v>1.42290658</v>
      </c>
      <c r="CP276" s="663"/>
      <c r="CQ276" s="663">
        <v>3.8198142900000001</v>
      </c>
      <c r="CR276" s="663"/>
      <c r="CS276" s="663">
        <v>6.7559122900000004</v>
      </c>
      <c r="CT276" s="663">
        <v>0</v>
      </c>
      <c r="CU276" s="663">
        <v>16.622566750000001</v>
      </c>
      <c r="CV276" s="663">
        <v>0</v>
      </c>
      <c r="CW276" s="663">
        <v>0</v>
      </c>
      <c r="CX276" s="663">
        <v>0</v>
      </c>
      <c r="CZ276" s="663" t="e">
        <v>#NAME?</v>
      </c>
      <c r="DB276" s="156" t="s">
        <v>251</v>
      </c>
    </row>
    <row r="277" spans="1:106" ht="12.75">
      <c r="A277" s="159"/>
      <c r="B277" s="659"/>
      <c r="C277" s="659"/>
      <c r="D277" s="659"/>
      <c r="E277" s="659"/>
      <c r="F277" s="659"/>
      <c r="G277" s="659"/>
      <c r="H277" s="659"/>
      <c r="I277" s="659"/>
      <c r="J277" s="659"/>
      <c r="K277" s="659"/>
      <c r="L277" s="659"/>
      <c r="M277" s="659"/>
      <c r="N277" s="659"/>
      <c r="O277" s="659"/>
      <c r="P277" s="659"/>
      <c r="Q277" s="659"/>
      <c r="R277" s="659"/>
      <c r="S277" s="659"/>
      <c r="T277" s="659"/>
      <c r="U277" s="659"/>
      <c r="V277" s="659"/>
      <c r="W277" s="659"/>
      <c r="X277" s="659"/>
      <c r="Y277" s="659"/>
      <c r="Z277" s="659"/>
      <c r="AA277" s="659"/>
      <c r="AB277" s="659"/>
      <c r="AC277" s="659"/>
      <c r="AD277" s="158"/>
      <c r="AE277" s="158"/>
      <c r="AF277" s="659"/>
      <c r="AG277" s="659"/>
      <c r="AH277" s="659"/>
      <c r="AI277" s="659"/>
      <c r="AJ277" s="659"/>
      <c r="AK277" s="659"/>
      <c r="AL277" s="659"/>
      <c r="AM277" s="659"/>
      <c r="AN277" s="659"/>
      <c r="AO277" s="659"/>
      <c r="AP277" s="659"/>
      <c r="AQ277" s="659"/>
      <c r="AR277" s="659"/>
      <c r="AS277" s="659"/>
      <c r="AT277" s="659"/>
      <c r="AU277" s="659"/>
      <c r="AV277" s="659"/>
      <c r="AW277" s="659"/>
      <c r="AX277" s="659"/>
      <c r="AY277" s="659"/>
      <c r="AZ277" s="659"/>
      <c r="BA277" s="659"/>
      <c r="BB277" s="659"/>
      <c r="BC277" s="659"/>
      <c r="BD277" s="659"/>
      <c r="BE277" s="659"/>
      <c r="BF277" s="659"/>
      <c r="BG277" s="659"/>
      <c r="BH277" s="659"/>
      <c r="BI277" s="659"/>
      <c r="BJ277" s="659"/>
      <c r="BK277" s="659"/>
      <c r="BL277" s="659"/>
      <c r="BM277" s="659"/>
      <c r="BN277" s="659"/>
      <c r="BO277" s="659"/>
      <c r="BP277" s="659"/>
      <c r="BQ277" s="659"/>
      <c r="BR277" s="659"/>
      <c r="BS277" s="659"/>
      <c r="BT277" s="659"/>
      <c r="BU277" s="659"/>
      <c r="BV277" s="659"/>
      <c r="BW277" s="659"/>
      <c r="BX277" s="659"/>
      <c r="BY277" s="659"/>
      <c r="BZ277" s="659"/>
      <c r="CA277" s="659"/>
      <c r="CB277" s="659"/>
      <c r="CC277" s="659"/>
      <c r="CD277" s="659"/>
      <c r="CE277" s="659"/>
      <c r="CF277" s="659"/>
      <c r="CG277" s="659"/>
      <c r="CH277" s="659"/>
      <c r="CI277" s="659"/>
      <c r="CJ277" s="659"/>
      <c r="CK277" s="659"/>
      <c r="CL277" s="659"/>
      <c r="CM277" s="659"/>
      <c r="CN277" s="659"/>
      <c r="CO277" s="659"/>
      <c r="CP277" s="659"/>
      <c r="CQ277" s="659"/>
      <c r="CR277" s="659"/>
      <c r="CS277" s="659"/>
      <c r="CT277" s="659"/>
      <c r="CU277" s="659"/>
      <c r="CV277" s="659"/>
      <c r="CW277" s="659"/>
      <c r="CX277" s="659"/>
      <c r="CZ277" s="659"/>
    </row>
    <row r="278" spans="1:106" ht="12.75">
      <c r="A278" s="160" t="s">
        <v>250</v>
      </c>
      <c r="B278" s="663"/>
      <c r="C278" s="663"/>
      <c r="D278" s="663"/>
      <c r="E278" s="663"/>
      <c r="F278" s="663"/>
      <c r="G278" s="663"/>
      <c r="H278" s="663"/>
      <c r="I278" s="663"/>
      <c r="J278" s="663"/>
      <c r="K278" s="663"/>
      <c r="L278" s="663"/>
      <c r="M278" s="663"/>
      <c r="N278" s="663"/>
      <c r="O278" s="663"/>
      <c r="P278" s="663"/>
      <c r="Q278" s="656"/>
      <c r="R278" s="663"/>
      <c r="S278" s="663"/>
      <c r="T278" s="663"/>
      <c r="U278" s="663"/>
      <c r="V278" s="663">
        <v>1211.6521</v>
      </c>
      <c r="W278" s="663">
        <v>1431.3064999999999</v>
      </c>
      <c r="X278" s="663">
        <v>1902.09434994</v>
      </c>
      <c r="Y278" s="663">
        <v>2564.2425718200002</v>
      </c>
      <c r="Z278" s="663">
        <v>3082.2437319000001</v>
      </c>
      <c r="AA278" s="663">
        <v>4001.0159505400002</v>
      </c>
      <c r="AB278" s="663">
        <v>5070.141858</v>
      </c>
      <c r="AC278" s="663"/>
      <c r="AD278" s="158"/>
      <c r="AE278" s="158"/>
      <c r="AF278" s="663"/>
      <c r="AG278" s="663"/>
      <c r="AH278" s="663"/>
      <c r="AI278" s="663"/>
      <c r="AJ278" s="663"/>
      <c r="AK278" s="663"/>
      <c r="AL278" s="663"/>
      <c r="AM278" s="663"/>
      <c r="AN278" s="663"/>
      <c r="AO278" s="663"/>
      <c r="AP278" s="663"/>
      <c r="AQ278" s="663"/>
      <c r="AR278" s="663"/>
      <c r="AS278" s="663"/>
      <c r="AT278" s="663"/>
      <c r="AU278" s="663"/>
      <c r="AV278" s="663"/>
      <c r="AW278" s="663"/>
      <c r="AX278" s="663"/>
      <c r="AY278" s="663"/>
      <c r="AZ278" s="663"/>
      <c r="BA278" s="663"/>
      <c r="BB278" s="663"/>
      <c r="BC278" s="663"/>
      <c r="BD278" s="663"/>
      <c r="BE278" s="663"/>
      <c r="BF278" s="663"/>
      <c r="BG278" s="663"/>
      <c r="BH278" s="663"/>
      <c r="BI278" s="663"/>
      <c r="BJ278" s="663"/>
      <c r="BK278" s="663"/>
      <c r="BL278" s="663"/>
      <c r="BM278" s="663"/>
      <c r="BN278" s="663"/>
      <c r="BO278" s="663"/>
      <c r="BP278" s="663"/>
      <c r="BQ278" s="663"/>
      <c r="BR278" s="663"/>
      <c r="BS278" s="663"/>
      <c r="BT278" s="663"/>
      <c r="BU278" s="663"/>
      <c r="BV278" s="663"/>
      <c r="BW278" s="663"/>
      <c r="BX278" s="663"/>
      <c r="BY278" s="663"/>
      <c r="BZ278" s="663"/>
      <c r="CA278" s="663"/>
      <c r="CB278" s="663"/>
      <c r="CC278" s="663"/>
      <c r="CD278" s="663"/>
      <c r="CE278" s="663">
        <v>1902.09434994</v>
      </c>
      <c r="CF278" s="663"/>
      <c r="CG278" s="663">
        <v>2459.3880335100002</v>
      </c>
      <c r="CH278" s="663"/>
      <c r="CI278" s="663">
        <v>2564.2425718200002</v>
      </c>
      <c r="CJ278" s="663"/>
      <c r="CK278" s="663">
        <v>2844.6673158799999</v>
      </c>
      <c r="CL278" s="663"/>
      <c r="CM278" s="663">
        <v>3082.2437319000001</v>
      </c>
      <c r="CN278" s="663"/>
      <c r="CO278" s="663">
        <v>3179.3274247499999</v>
      </c>
      <c r="CP278" s="663"/>
      <c r="CQ278" s="663">
        <v>4001.0159505400002</v>
      </c>
      <c r="CR278" s="663"/>
      <c r="CS278" s="663">
        <v>4726.7767294200003</v>
      </c>
      <c r="CT278" s="663">
        <v>0</v>
      </c>
      <c r="CU278" s="663">
        <v>5070.141858</v>
      </c>
      <c r="CV278" s="663">
        <v>0</v>
      </c>
      <c r="CW278" s="663">
        <v>5896.7428771599998</v>
      </c>
      <c r="CX278" s="663">
        <v>0</v>
      </c>
      <c r="CZ278" s="663" t="e">
        <v>#NAME?</v>
      </c>
      <c r="DB278" s="156" t="s">
        <v>250</v>
      </c>
    </row>
    <row r="279" spans="1:106" ht="12.75">
      <c r="A279" s="160" t="s">
        <v>249</v>
      </c>
      <c r="B279" s="663"/>
      <c r="C279" s="663"/>
      <c r="D279" s="663"/>
      <c r="E279" s="663"/>
      <c r="F279" s="663"/>
      <c r="G279" s="663"/>
      <c r="H279" s="663"/>
      <c r="I279" s="663"/>
      <c r="J279" s="663"/>
      <c r="K279" s="663"/>
      <c r="L279" s="663"/>
      <c r="M279" s="663"/>
      <c r="N279" s="663"/>
      <c r="O279" s="663"/>
      <c r="P279" s="663"/>
      <c r="Q279" s="663"/>
      <c r="R279" s="663"/>
      <c r="S279" s="663"/>
      <c r="T279" s="663"/>
      <c r="U279" s="663"/>
      <c r="V279" s="663">
        <v>280.79919999999998</v>
      </c>
      <c r="W279" s="663">
        <v>375.755</v>
      </c>
      <c r="X279" s="663">
        <v>491.14052253</v>
      </c>
      <c r="Y279" s="663">
        <v>648.57671020000009</v>
      </c>
      <c r="Z279" s="663">
        <v>843.54578074999995</v>
      </c>
      <c r="AA279" s="663">
        <v>1078.26040612</v>
      </c>
      <c r="AB279" s="663">
        <v>1394.09260505</v>
      </c>
      <c r="AC279" s="663"/>
      <c r="AD279" s="158"/>
      <c r="AE279" s="158"/>
      <c r="AF279" s="663"/>
      <c r="AG279" s="663"/>
      <c r="AH279" s="663"/>
      <c r="AI279" s="663"/>
      <c r="AJ279" s="663"/>
      <c r="AK279" s="663"/>
      <c r="AL279" s="663"/>
      <c r="AM279" s="663"/>
      <c r="AN279" s="663"/>
      <c r="AO279" s="663"/>
      <c r="AP279" s="663"/>
      <c r="AQ279" s="663"/>
      <c r="AR279" s="663"/>
      <c r="AS279" s="663"/>
      <c r="AT279" s="663"/>
      <c r="AU279" s="663"/>
      <c r="AV279" s="663"/>
      <c r="AW279" s="663"/>
      <c r="AX279" s="663"/>
      <c r="AY279" s="663"/>
      <c r="AZ279" s="663"/>
      <c r="BA279" s="663"/>
      <c r="BB279" s="663"/>
      <c r="BC279" s="663"/>
      <c r="BD279" s="663"/>
      <c r="BE279" s="663"/>
      <c r="BF279" s="663"/>
      <c r="BG279" s="663"/>
      <c r="BH279" s="663"/>
      <c r="BI279" s="663"/>
      <c r="BJ279" s="663"/>
      <c r="BK279" s="663"/>
      <c r="BL279" s="663"/>
      <c r="BM279" s="663"/>
      <c r="BN279" s="663"/>
      <c r="BO279" s="663"/>
      <c r="BP279" s="663"/>
      <c r="BQ279" s="663"/>
      <c r="BR279" s="663"/>
      <c r="BS279" s="663"/>
      <c r="BT279" s="663"/>
      <c r="BU279" s="663"/>
      <c r="BV279" s="663"/>
      <c r="BW279" s="663"/>
      <c r="BX279" s="663"/>
      <c r="BY279" s="663"/>
      <c r="BZ279" s="663"/>
      <c r="CA279" s="663"/>
      <c r="CB279" s="663"/>
      <c r="CC279" s="663"/>
      <c r="CD279" s="663"/>
      <c r="CE279" s="663">
        <v>491.14052253</v>
      </c>
      <c r="CF279" s="663"/>
      <c r="CG279" s="663">
        <v>566.40189134000002</v>
      </c>
      <c r="CH279" s="663"/>
      <c r="CI279" s="663">
        <v>648.57671020000009</v>
      </c>
      <c r="CJ279" s="663"/>
      <c r="CK279" s="663">
        <v>747.09341057000006</v>
      </c>
      <c r="CL279" s="663"/>
      <c r="CM279" s="663">
        <v>843.54578074999995</v>
      </c>
      <c r="CN279" s="663"/>
      <c r="CO279" s="663">
        <v>953.29686264999998</v>
      </c>
      <c r="CP279" s="663"/>
      <c r="CQ279" s="663">
        <v>1078.26040612</v>
      </c>
      <c r="CR279" s="663"/>
      <c r="CS279" s="663">
        <v>1224.5641901500001</v>
      </c>
      <c r="CT279" s="663">
        <v>0</v>
      </c>
      <c r="CU279" s="663">
        <v>1394.09260505</v>
      </c>
      <c r="CV279" s="663">
        <v>0</v>
      </c>
      <c r="CW279" s="663">
        <v>1586.5111051600002</v>
      </c>
      <c r="CX279" s="663">
        <v>0</v>
      </c>
      <c r="CZ279" s="663" t="e">
        <v>#NAME?</v>
      </c>
      <c r="DB279" s="156" t="s">
        <v>249</v>
      </c>
    </row>
    <row r="280" spans="1:106" ht="12.75">
      <c r="A280" s="160" t="s">
        <v>248</v>
      </c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3"/>
      <c r="P280" s="663"/>
      <c r="Q280" s="663"/>
      <c r="R280" s="663"/>
      <c r="S280" s="663"/>
      <c r="T280" s="663"/>
      <c r="U280" s="663"/>
      <c r="V280" s="663"/>
      <c r="W280" s="663"/>
      <c r="X280" s="663">
        <v>6.5768162500000003</v>
      </c>
      <c r="Y280" s="663">
        <v>6.53578847</v>
      </c>
      <c r="Z280" s="663">
        <v>6.5354124000000002</v>
      </c>
      <c r="AA280" s="663">
        <v>6.5354124000000002</v>
      </c>
      <c r="AB280" s="663">
        <v>6.3862491200000004</v>
      </c>
      <c r="AC280" s="663"/>
      <c r="AD280" s="158"/>
      <c r="AE280" s="158"/>
      <c r="AF280" s="663"/>
      <c r="AG280" s="663"/>
      <c r="AH280" s="663"/>
      <c r="AI280" s="663"/>
      <c r="AJ280" s="663"/>
      <c r="AK280" s="663"/>
      <c r="AL280" s="663"/>
      <c r="AM280" s="663"/>
      <c r="AN280" s="663"/>
      <c r="AO280" s="663"/>
      <c r="AP280" s="663"/>
      <c r="AQ280" s="663"/>
      <c r="AR280" s="663"/>
      <c r="AS280" s="663"/>
      <c r="AT280" s="663"/>
      <c r="AU280" s="663"/>
      <c r="AV280" s="663"/>
      <c r="AW280" s="663"/>
      <c r="AX280" s="663"/>
      <c r="AY280" s="663"/>
      <c r="AZ280" s="663"/>
      <c r="BA280" s="663"/>
      <c r="BB280" s="663"/>
      <c r="BC280" s="663"/>
      <c r="BD280" s="663"/>
      <c r="BE280" s="663"/>
      <c r="BF280" s="663"/>
      <c r="BG280" s="663"/>
      <c r="BH280" s="663"/>
      <c r="BI280" s="663"/>
      <c r="BJ280" s="663"/>
      <c r="BK280" s="663"/>
      <c r="BL280" s="663"/>
      <c r="BM280" s="663"/>
      <c r="BN280" s="663"/>
      <c r="BO280" s="663"/>
      <c r="BP280" s="663"/>
      <c r="BQ280" s="663"/>
      <c r="BR280" s="663"/>
      <c r="BS280" s="663"/>
      <c r="BT280" s="663"/>
      <c r="BU280" s="663"/>
      <c r="BV280" s="663"/>
      <c r="BW280" s="663"/>
      <c r="BX280" s="663"/>
      <c r="BY280" s="663"/>
      <c r="BZ280" s="663"/>
      <c r="CA280" s="663"/>
      <c r="CB280" s="663"/>
      <c r="CC280" s="663"/>
      <c r="CD280" s="663"/>
      <c r="CE280" s="663">
        <v>6.5768162500000003</v>
      </c>
      <c r="CF280" s="663"/>
      <c r="CG280" s="663">
        <v>6.53578847</v>
      </c>
      <c r="CH280" s="663"/>
      <c r="CI280" s="663">
        <v>6.53578847</v>
      </c>
      <c r="CJ280" s="663"/>
      <c r="CK280" s="663">
        <v>6.53578847</v>
      </c>
      <c r="CL280" s="663"/>
      <c r="CM280" s="663">
        <v>6.5354124000000002</v>
      </c>
      <c r="CN280" s="663"/>
      <c r="CO280" s="663">
        <v>6.5354124000000002</v>
      </c>
      <c r="CP280" s="663"/>
      <c r="CQ280" s="663">
        <v>6.5354124000000002</v>
      </c>
      <c r="CR280" s="663"/>
      <c r="CS280" s="663">
        <v>6.3862491200000004</v>
      </c>
      <c r="CT280" s="663">
        <v>0</v>
      </c>
      <c r="CU280" s="663">
        <v>6.3862491200000004</v>
      </c>
      <c r="CV280" s="663">
        <v>0</v>
      </c>
      <c r="CW280" s="663">
        <v>6.3785653600000005</v>
      </c>
      <c r="CX280" s="663">
        <v>0</v>
      </c>
      <c r="CZ280" s="663" t="e">
        <v>#NAME?</v>
      </c>
      <c r="DB280" s="156" t="s">
        <v>248</v>
      </c>
    </row>
    <row r="281" spans="1:106" ht="12.75">
      <c r="A281" s="160" t="s">
        <v>247</v>
      </c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3"/>
      <c r="P281" s="663"/>
      <c r="Q281" s="656"/>
      <c r="R281" s="663"/>
      <c r="S281" s="663"/>
      <c r="T281" s="663"/>
      <c r="U281" s="663"/>
      <c r="V281" s="663">
        <v>930.8528</v>
      </c>
      <c r="W281" s="663">
        <v>1048.9747</v>
      </c>
      <c r="X281" s="663">
        <v>1404.3770111600002</v>
      </c>
      <c r="Y281" s="663">
        <v>1909.13007315</v>
      </c>
      <c r="Z281" s="663">
        <v>2232.1625387499998</v>
      </c>
      <c r="AA281" s="663">
        <v>2916.2201320200002</v>
      </c>
      <c r="AB281" s="663">
        <v>3669.66300383</v>
      </c>
      <c r="AC281" s="663"/>
      <c r="AD281" s="158"/>
      <c r="AE281" s="158"/>
      <c r="AF281" s="663"/>
      <c r="AG281" s="663"/>
      <c r="AH281" s="663"/>
      <c r="AI281" s="663"/>
      <c r="AJ281" s="663"/>
      <c r="AK281" s="663"/>
      <c r="AL281" s="663"/>
      <c r="AM281" s="663"/>
      <c r="AN281" s="663"/>
      <c r="AO281" s="663"/>
      <c r="AP281" s="663"/>
      <c r="AQ281" s="663"/>
      <c r="AR281" s="663"/>
      <c r="AS281" s="663"/>
      <c r="AT281" s="663"/>
      <c r="AU281" s="663"/>
      <c r="AV281" s="663"/>
      <c r="AW281" s="663"/>
      <c r="AX281" s="663"/>
      <c r="AY281" s="663"/>
      <c r="AZ281" s="663"/>
      <c r="BA281" s="663"/>
      <c r="BB281" s="663"/>
      <c r="BC281" s="663"/>
      <c r="BD281" s="663"/>
      <c r="BE281" s="663"/>
      <c r="BF281" s="663"/>
      <c r="BG281" s="663"/>
      <c r="BH281" s="663"/>
      <c r="BI281" s="663"/>
      <c r="BJ281" s="663"/>
      <c r="BK281" s="663"/>
      <c r="BL281" s="663"/>
      <c r="BM281" s="663"/>
      <c r="BN281" s="663"/>
      <c r="BO281" s="663"/>
      <c r="BP281" s="663"/>
      <c r="BQ281" s="663"/>
      <c r="BR281" s="663"/>
      <c r="BS281" s="663"/>
      <c r="BT281" s="663"/>
      <c r="BU281" s="663"/>
      <c r="BV281" s="663"/>
      <c r="BW281" s="663"/>
      <c r="BX281" s="663"/>
      <c r="BY281" s="663"/>
      <c r="BZ281" s="663"/>
      <c r="CA281" s="663"/>
      <c r="CB281" s="663"/>
      <c r="CC281" s="663"/>
      <c r="CD281" s="663"/>
      <c r="CE281" s="663">
        <v>1404.3770111600002</v>
      </c>
      <c r="CF281" s="663"/>
      <c r="CG281" s="663">
        <v>1886.4503537000001</v>
      </c>
      <c r="CH281" s="663"/>
      <c r="CI281" s="663">
        <v>1909.13007315</v>
      </c>
      <c r="CJ281" s="663"/>
      <c r="CK281" s="663">
        <v>2091.0381168399999</v>
      </c>
      <c r="CL281" s="663"/>
      <c r="CM281" s="663">
        <v>2232.1625387499998</v>
      </c>
      <c r="CN281" s="663"/>
      <c r="CO281" s="663">
        <v>2219.4951496999997</v>
      </c>
      <c r="CP281" s="663"/>
      <c r="CQ281" s="663">
        <v>2916.2201320200002</v>
      </c>
      <c r="CR281" s="663"/>
      <c r="CS281" s="663">
        <v>3495.8262901500002</v>
      </c>
      <c r="CT281" s="663">
        <v>0</v>
      </c>
      <c r="CU281" s="663">
        <v>3669.66300383</v>
      </c>
      <c r="CV281" s="663">
        <v>0</v>
      </c>
      <c r="CW281" s="663">
        <v>4303.8532066400003</v>
      </c>
      <c r="CX281" s="663">
        <v>0</v>
      </c>
      <c r="CZ281" s="663" t="e">
        <v>#NAME?</v>
      </c>
      <c r="DB281" s="156" t="s">
        <v>247</v>
      </c>
    </row>
    <row r="282" spans="1:106" ht="12.75">
      <c r="A282" s="160" t="s">
        <v>246</v>
      </c>
      <c r="B282" s="663"/>
      <c r="C282" s="663"/>
      <c r="D282" s="663"/>
      <c r="E282" s="663"/>
      <c r="F282" s="663"/>
      <c r="G282" s="663"/>
      <c r="H282" s="663"/>
      <c r="I282" s="663"/>
      <c r="J282" s="663"/>
      <c r="K282" s="663"/>
      <c r="L282" s="663"/>
      <c r="M282" s="663"/>
      <c r="N282" s="663"/>
      <c r="O282" s="663"/>
      <c r="P282" s="663"/>
      <c r="Q282" s="663"/>
      <c r="R282" s="663"/>
      <c r="S282" s="663"/>
      <c r="T282" s="663"/>
      <c r="U282" s="663"/>
      <c r="V282" s="663"/>
      <c r="W282" s="663"/>
      <c r="X282" s="663"/>
      <c r="Y282" s="663">
        <v>0</v>
      </c>
      <c r="Z282" s="663"/>
      <c r="AA282" s="663"/>
      <c r="AB282" s="663">
        <v>0</v>
      </c>
      <c r="AC282" s="663"/>
      <c r="AD282" s="158"/>
      <c r="AE282" s="158"/>
      <c r="AF282" s="663"/>
      <c r="AG282" s="663"/>
      <c r="AH282" s="663"/>
      <c r="AI282" s="663"/>
      <c r="AJ282" s="663"/>
      <c r="AK282" s="663"/>
      <c r="AL282" s="663"/>
      <c r="AM282" s="663"/>
      <c r="AN282" s="663"/>
      <c r="AO282" s="663"/>
      <c r="AP282" s="663"/>
      <c r="AQ282" s="663"/>
      <c r="AR282" s="663"/>
      <c r="AS282" s="663"/>
      <c r="AT282" s="663"/>
      <c r="AU282" s="663"/>
      <c r="AV282" s="663"/>
      <c r="AW282" s="663"/>
      <c r="AX282" s="663"/>
      <c r="AY282" s="663"/>
      <c r="AZ282" s="663"/>
      <c r="BA282" s="663"/>
      <c r="BB282" s="663"/>
      <c r="BC282" s="663"/>
      <c r="BD282" s="663"/>
      <c r="BE282" s="663"/>
      <c r="BF282" s="663"/>
      <c r="BG282" s="663"/>
      <c r="BH282" s="663"/>
      <c r="BI282" s="663"/>
      <c r="BJ282" s="663"/>
      <c r="BK282" s="663"/>
      <c r="BL282" s="663"/>
      <c r="BM282" s="663"/>
      <c r="BN282" s="663"/>
      <c r="BO282" s="663"/>
      <c r="BP282" s="663"/>
      <c r="BQ282" s="663"/>
      <c r="BR282" s="663"/>
      <c r="BS282" s="663"/>
      <c r="BT282" s="663"/>
      <c r="BU282" s="663"/>
      <c r="BV282" s="663"/>
      <c r="BW282" s="663"/>
      <c r="BX282" s="663"/>
      <c r="BY282" s="663"/>
      <c r="BZ282" s="663"/>
      <c r="CA282" s="663"/>
      <c r="CB282" s="663"/>
      <c r="CC282" s="663"/>
      <c r="CD282" s="663"/>
      <c r="CE282" s="663"/>
      <c r="CF282" s="663"/>
      <c r="CG282" s="663"/>
      <c r="CH282" s="663"/>
      <c r="CI282" s="663"/>
      <c r="CJ282" s="663"/>
      <c r="CK282" s="663"/>
      <c r="CL282" s="663"/>
      <c r="CM282" s="663"/>
      <c r="CN282" s="663"/>
      <c r="CO282" s="663"/>
      <c r="CP282" s="663"/>
      <c r="CQ282" s="663"/>
      <c r="CR282" s="663"/>
      <c r="CS282" s="663">
        <v>0</v>
      </c>
      <c r="CT282" s="663">
        <v>0</v>
      </c>
      <c r="CU282" s="663">
        <v>0</v>
      </c>
      <c r="CV282" s="663">
        <v>0</v>
      </c>
      <c r="CW282" s="663">
        <v>0</v>
      </c>
      <c r="CX282" s="663">
        <v>0</v>
      </c>
      <c r="CZ282" s="663" t="e">
        <v>#NAME?</v>
      </c>
      <c r="DB282" s="156" t="s">
        <v>246</v>
      </c>
    </row>
    <row r="283" spans="1:106" ht="12.75">
      <c r="A283" s="160" t="s">
        <v>245</v>
      </c>
      <c r="B283" s="663"/>
      <c r="C283" s="663"/>
      <c r="D283" s="663"/>
      <c r="E283" s="663"/>
      <c r="F283" s="663"/>
      <c r="G283" s="663"/>
      <c r="H283" s="663"/>
      <c r="I283" s="663"/>
      <c r="J283" s="663"/>
      <c r="K283" s="663"/>
      <c r="L283" s="663"/>
      <c r="M283" s="663"/>
      <c r="N283" s="663"/>
      <c r="O283" s="663"/>
      <c r="P283" s="663"/>
      <c r="Q283" s="663"/>
      <c r="R283" s="663"/>
      <c r="S283" s="663"/>
      <c r="T283" s="663"/>
      <c r="U283" s="663"/>
      <c r="V283" s="663"/>
      <c r="W283" s="663"/>
      <c r="X283" s="663"/>
      <c r="Y283" s="663">
        <v>0</v>
      </c>
      <c r="Z283" s="663"/>
      <c r="AA283" s="663"/>
      <c r="AB283" s="663">
        <v>0</v>
      </c>
      <c r="AC283" s="663"/>
      <c r="AD283" s="158"/>
      <c r="AE283" s="158"/>
      <c r="AF283" s="663"/>
      <c r="AG283" s="663"/>
      <c r="AH283" s="663"/>
      <c r="AI283" s="663"/>
      <c r="AJ283" s="663"/>
      <c r="AK283" s="663"/>
      <c r="AL283" s="663"/>
      <c r="AM283" s="663"/>
      <c r="AN283" s="663"/>
      <c r="AO283" s="663"/>
      <c r="AP283" s="663"/>
      <c r="AQ283" s="663"/>
      <c r="AR283" s="663"/>
      <c r="AS283" s="663"/>
      <c r="AT283" s="663"/>
      <c r="AU283" s="663"/>
      <c r="AV283" s="663"/>
      <c r="AW283" s="663"/>
      <c r="AX283" s="663"/>
      <c r="AY283" s="663"/>
      <c r="AZ283" s="663"/>
      <c r="BA283" s="663"/>
      <c r="BB283" s="663"/>
      <c r="BC283" s="663"/>
      <c r="BD283" s="663"/>
      <c r="BE283" s="663"/>
      <c r="BF283" s="663"/>
      <c r="BG283" s="663"/>
      <c r="BH283" s="663"/>
      <c r="BI283" s="663"/>
      <c r="BJ283" s="663"/>
      <c r="BK283" s="663"/>
      <c r="BL283" s="663"/>
      <c r="BM283" s="663"/>
      <c r="BN283" s="663"/>
      <c r="BO283" s="663"/>
      <c r="BP283" s="663"/>
      <c r="BQ283" s="663"/>
      <c r="BR283" s="663"/>
      <c r="BS283" s="663"/>
      <c r="BT283" s="663"/>
      <c r="BU283" s="663"/>
      <c r="BV283" s="663"/>
      <c r="BW283" s="663"/>
      <c r="BX283" s="663"/>
      <c r="BY283" s="663"/>
      <c r="BZ283" s="663"/>
      <c r="CA283" s="663"/>
      <c r="CB283" s="663"/>
      <c r="CC283" s="663"/>
      <c r="CD283" s="663"/>
      <c r="CE283" s="663"/>
      <c r="CF283" s="663"/>
      <c r="CG283" s="663"/>
      <c r="CH283" s="663"/>
      <c r="CI283" s="663"/>
      <c r="CJ283" s="663"/>
      <c r="CK283" s="663"/>
      <c r="CL283" s="663"/>
      <c r="CM283" s="663"/>
      <c r="CN283" s="663"/>
      <c r="CO283" s="663"/>
      <c r="CP283" s="663"/>
      <c r="CQ283" s="663"/>
      <c r="CR283" s="663"/>
      <c r="CS283" s="663">
        <v>0</v>
      </c>
      <c r="CT283" s="663">
        <v>0</v>
      </c>
      <c r="CU283" s="663">
        <v>0</v>
      </c>
      <c r="CV283" s="663">
        <v>0</v>
      </c>
      <c r="CW283" s="663">
        <v>0</v>
      </c>
      <c r="CX283" s="663">
        <v>0</v>
      </c>
      <c r="CZ283" s="663" t="e">
        <v>#NAME?</v>
      </c>
      <c r="DB283" s="156" t="s">
        <v>245</v>
      </c>
    </row>
    <row r="284" spans="1:106" ht="12.75">
      <c r="A284" s="160" t="s">
        <v>244</v>
      </c>
      <c r="B284" s="663"/>
      <c r="C284" s="663"/>
      <c r="D284" s="663"/>
      <c r="E284" s="663"/>
      <c r="F284" s="663"/>
      <c r="G284" s="663"/>
      <c r="H284" s="663"/>
      <c r="I284" s="663"/>
      <c r="J284" s="663"/>
      <c r="K284" s="663"/>
      <c r="L284" s="663"/>
      <c r="M284" s="663"/>
      <c r="N284" s="663"/>
      <c r="O284" s="663"/>
      <c r="P284" s="663"/>
      <c r="Q284" s="663"/>
      <c r="R284" s="663"/>
      <c r="S284" s="663"/>
      <c r="T284" s="663"/>
      <c r="U284" s="663"/>
      <c r="V284" s="663"/>
      <c r="W284" s="663"/>
      <c r="X284" s="663"/>
      <c r="Y284" s="663">
        <v>0</v>
      </c>
      <c r="Z284" s="663"/>
      <c r="AA284" s="663"/>
      <c r="AB284" s="663">
        <v>0</v>
      </c>
      <c r="AC284" s="663"/>
      <c r="AD284" s="158"/>
      <c r="AE284" s="158"/>
      <c r="AF284" s="663"/>
      <c r="AG284" s="663"/>
      <c r="AH284" s="663"/>
      <c r="AI284" s="663"/>
      <c r="AJ284" s="663"/>
      <c r="AK284" s="663"/>
      <c r="AL284" s="663"/>
      <c r="AM284" s="663"/>
      <c r="AN284" s="663"/>
      <c r="AO284" s="663"/>
      <c r="AP284" s="663"/>
      <c r="AQ284" s="663"/>
      <c r="AR284" s="663"/>
      <c r="AS284" s="663"/>
      <c r="AT284" s="663"/>
      <c r="AU284" s="663"/>
      <c r="AV284" s="663"/>
      <c r="AW284" s="663"/>
      <c r="AX284" s="663"/>
      <c r="AY284" s="663"/>
      <c r="AZ284" s="663"/>
      <c r="BA284" s="663"/>
      <c r="BB284" s="663"/>
      <c r="BC284" s="663"/>
      <c r="BD284" s="663"/>
      <c r="BE284" s="663"/>
      <c r="BF284" s="663"/>
      <c r="BG284" s="663"/>
      <c r="BH284" s="663"/>
      <c r="BI284" s="663"/>
      <c r="BJ284" s="663"/>
      <c r="BK284" s="663"/>
      <c r="BL284" s="663"/>
      <c r="BM284" s="663"/>
      <c r="BN284" s="663"/>
      <c r="BO284" s="663"/>
      <c r="BP284" s="663"/>
      <c r="BQ284" s="663"/>
      <c r="BR284" s="663"/>
      <c r="BS284" s="663"/>
      <c r="BT284" s="663"/>
      <c r="BU284" s="663"/>
      <c r="BV284" s="663"/>
      <c r="BW284" s="663"/>
      <c r="BX284" s="663"/>
      <c r="BY284" s="663"/>
      <c r="BZ284" s="663"/>
      <c r="CA284" s="663"/>
      <c r="CB284" s="663"/>
      <c r="CC284" s="663"/>
      <c r="CD284" s="663"/>
      <c r="CE284" s="663"/>
      <c r="CF284" s="663"/>
      <c r="CG284" s="663"/>
      <c r="CH284" s="663"/>
      <c r="CI284" s="663"/>
      <c r="CJ284" s="663"/>
      <c r="CK284" s="663"/>
      <c r="CL284" s="663"/>
      <c r="CM284" s="663"/>
      <c r="CN284" s="663"/>
      <c r="CO284" s="663"/>
      <c r="CP284" s="663"/>
      <c r="CQ284" s="663"/>
      <c r="CR284" s="663"/>
      <c r="CS284" s="663">
        <v>0</v>
      </c>
      <c r="CT284" s="663">
        <v>0</v>
      </c>
      <c r="CU284" s="663">
        <v>0</v>
      </c>
      <c r="CV284" s="663">
        <v>0</v>
      </c>
      <c r="CW284" s="663">
        <v>0</v>
      </c>
      <c r="CX284" s="663">
        <v>0</v>
      </c>
      <c r="CZ284" s="663" t="e">
        <v>#NAME?</v>
      </c>
      <c r="DB284" s="156" t="s">
        <v>244</v>
      </c>
    </row>
    <row r="285" spans="1:106" ht="12.75">
      <c r="A285" s="160" t="s">
        <v>243</v>
      </c>
      <c r="B285" s="663"/>
      <c r="C285" s="663"/>
      <c r="D285" s="663"/>
      <c r="E285" s="663"/>
      <c r="F285" s="663"/>
      <c r="G285" s="663"/>
      <c r="H285" s="663"/>
      <c r="I285" s="663"/>
      <c r="J285" s="663"/>
      <c r="K285" s="663"/>
      <c r="L285" s="663"/>
      <c r="M285" s="663"/>
      <c r="N285" s="663"/>
      <c r="O285" s="663"/>
      <c r="P285" s="663"/>
      <c r="Q285" s="663"/>
      <c r="R285" s="663"/>
      <c r="S285" s="663"/>
      <c r="T285" s="663"/>
      <c r="U285" s="663"/>
      <c r="V285" s="663"/>
      <c r="W285" s="663"/>
      <c r="X285" s="663"/>
      <c r="Y285" s="663">
        <v>0</v>
      </c>
      <c r="Z285" s="663"/>
      <c r="AA285" s="663"/>
      <c r="AB285" s="663">
        <v>0</v>
      </c>
      <c r="AC285" s="663"/>
      <c r="AD285" s="158"/>
      <c r="AE285" s="158"/>
      <c r="AF285" s="663"/>
      <c r="AG285" s="663"/>
      <c r="AH285" s="663"/>
      <c r="AI285" s="663"/>
      <c r="AJ285" s="663"/>
      <c r="AK285" s="663"/>
      <c r="AL285" s="663"/>
      <c r="AM285" s="663"/>
      <c r="AN285" s="663"/>
      <c r="AO285" s="663"/>
      <c r="AP285" s="663"/>
      <c r="AQ285" s="663"/>
      <c r="AR285" s="663"/>
      <c r="AS285" s="663"/>
      <c r="AT285" s="663"/>
      <c r="AU285" s="663"/>
      <c r="AV285" s="663"/>
      <c r="AW285" s="663"/>
      <c r="AX285" s="663"/>
      <c r="AY285" s="663"/>
      <c r="AZ285" s="663"/>
      <c r="BA285" s="663"/>
      <c r="BB285" s="663"/>
      <c r="BC285" s="663"/>
      <c r="BD285" s="663"/>
      <c r="BE285" s="663"/>
      <c r="BF285" s="663"/>
      <c r="BG285" s="663"/>
      <c r="BH285" s="663"/>
      <c r="BI285" s="663"/>
      <c r="BJ285" s="663"/>
      <c r="BK285" s="663"/>
      <c r="BL285" s="663"/>
      <c r="BM285" s="663"/>
      <c r="BN285" s="663"/>
      <c r="BO285" s="663"/>
      <c r="BP285" s="663"/>
      <c r="BQ285" s="663"/>
      <c r="BR285" s="663"/>
      <c r="BS285" s="663"/>
      <c r="BT285" s="663"/>
      <c r="BU285" s="663"/>
      <c r="BV285" s="663"/>
      <c r="BW285" s="663"/>
      <c r="BX285" s="663"/>
      <c r="BY285" s="663"/>
      <c r="BZ285" s="663"/>
      <c r="CA285" s="663"/>
      <c r="CB285" s="663"/>
      <c r="CC285" s="663"/>
      <c r="CD285" s="663"/>
      <c r="CE285" s="663"/>
      <c r="CF285" s="663"/>
      <c r="CG285" s="663"/>
      <c r="CH285" s="663"/>
      <c r="CI285" s="663"/>
      <c r="CJ285" s="663"/>
      <c r="CK285" s="663"/>
      <c r="CL285" s="663"/>
      <c r="CM285" s="663"/>
      <c r="CN285" s="663"/>
      <c r="CO285" s="663"/>
      <c r="CP285" s="663"/>
      <c r="CQ285" s="663"/>
      <c r="CR285" s="663"/>
      <c r="CS285" s="663">
        <v>0</v>
      </c>
      <c r="CT285" s="663">
        <v>0</v>
      </c>
      <c r="CU285" s="663">
        <v>0</v>
      </c>
      <c r="CV285" s="663">
        <v>0</v>
      </c>
      <c r="CW285" s="663">
        <v>0</v>
      </c>
      <c r="CX285" s="663">
        <v>0</v>
      </c>
      <c r="CZ285" s="663" t="e">
        <v>#NAME?</v>
      </c>
      <c r="DB285" s="156" t="s">
        <v>243</v>
      </c>
    </row>
    <row r="286" spans="1:106" ht="12.75">
      <c r="A286" s="160" t="s">
        <v>242</v>
      </c>
      <c r="B286" s="663"/>
      <c r="C286" s="663"/>
      <c r="D286" s="663"/>
      <c r="E286" s="663"/>
      <c r="F286" s="663"/>
      <c r="G286" s="663"/>
      <c r="H286" s="663"/>
      <c r="I286" s="663"/>
      <c r="J286" s="663"/>
      <c r="K286" s="663"/>
      <c r="L286" s="663"/>
      <c r="M286" s="663"/>
      <c r="N286" s="663"/>
      <c r="O286" s="663"/>
      <c r="P286" s="663"/>
      <c r="Q286" s="663"/>
      <c r="R286" s="663"/>
      <c r="S286" s="663"/>
      <c r="T286" s="663"/>
      <c r="U286" s="663"/>
      <c r="V286" s="663"/>
      <c r="W286" s="663"/>
      <c r="X286" s="663">
        <v>265.46069978999998</v>
      </c>
      <c r="Y286" s="663">
        <v>360.35716041000001</v>
      </c>
      <c r="Z286" s="663">
        <v>406.38188983999999</v>
      </c>
      <c r="AA286" s="663">
        <v>543.90918796000005</v>
      </c>
      <c r="AB286" s="663">
        <v>819.81633613999998</v>
      </c>
      <c r="AC286" s="663"/>
      <c r="AD286" s="158"/>
      <c r="AE286" s="158"/>
      <c r="AF286" s="663"/>
      <c r="AG286" s="663"/>
      <c r="AH286" s="663"/>
      <c r="AI286" s="663"/>
      <c r="AJ286" s="663"/>
      <c r="AK286" s="663"/>
      <c r="AL286" s="663"/>
      <c r="AM286" s="663"/>
      <c r="AN286" s="663"/>
      <c r="AO286" s="663"/>
      <c r="AP286" s="663"/>
      <c r="AQ286" s="663"/>
      <c r="AR286" s="663"/>
      <c r="AS286" s="663"/>
      <c r="AT286" s="663"/>
      <c r="AU286" s="663"/>
      <c r="AV286" s="663"/>
      <c r="AW286" s="663"/>
      <c r="AX286" s="663"/>
      <c r="AY286" s="663"/>
      <c r="AZ286" s="663"/>
      <c r="BA286" s="663"/>
      <c r="BB286" s="663"/>
      <c r="BC286" s="663"/>
      <c r="BD286" s="663"/>
      <c r="BE286" s="663"/>
      <c r="BF286" s="663"/>
      <c r="BG286" s="663"/>
      <c r="BH286" s="663"/>
      <c r="BI286" s="663"/>
      <c r="BJ286" s="663"/>
      <c r="BK286" s="663"/>
      <c r="BL286" s="663"/>
      <c r="BM286" s="663"/>
      <c r="BN286" s="663"/>
      <c r="BO286" s="663"/>
      <c r="BP286" s="663"/>
      <c r="BQ286" s="663"/>
      <c r="BR286" s="663"/>
      <c r="BS286" s="663"/>
      <c r="BT286" s="663"/>
      <c r="BU286" s="663"/>
      <c r="BV286" s="663"/>
      <c r="BW286" s="663"/>
      <c r="BX286" s="663"/>
      <c r="BY286" s="663"/>
      <c r="BZ286" s="663"/>
      <c r="CA286" s="663"/>
      <c r="CB286" s="663"/>
      <c r="CC286" s="663"/>
      <c r="CD286" s="663"/>
      <c r="CE286" s="663">
        <v>265.46069978999998</v>
      </c>
      <c r="CF286" s="663"/>
      <c r="CG286" s="663">
        <v>265.59578619000001</v>
      </c>
      <c r="CH286" s="663"/>
      <c r="CI286" s="663">
        <v>360.35716041000001</v>
      </c>
      <c r="CJ286" s="663"/>
      <c r="CK286" s="663">
        <v>407.57625224000003</v>
      </c>
      <c r="CL286" s="663"/>
      <c r="CM286" s="663">
        <v>406.38188983999999</v>
      </c>
      <c r="CN286" s="663"/>
      <c r="CO286" s="663">
        <v>406.12857124999999</v>
      </c>
      <c r="CP286" s="663"/>
      <c r="CQ286" s="663">
        <v>543.90918796000005</v>
      </c>
      <c r="CR286" s="663"/>
      <c r="CS286" s="663">
        <v>546.22276838999994</v>
      </c>
      <c r="CT286" s="663">
        <v>0</v>
      </c>
      <c r="CU286" s="663">
        <v>819.81633613999998</v>
      </c>
      <c r="CV286" s="663">
        <v>0</v>
      </c>
      <c r="CW286" s="663">
        <v>1158.1532941800001</v>
      </c>
      <c r="CX286" s="663">
        <v>0</v>
      </c>
      <c r="CZ286" s="663" t="e">
        <v>#NAME?</v>
      </c>
      <c r="DB286" s="156" t="s">
        <v>242</v>
      </c>
    </row>
    <row r="287" spans="1:106" ht="12.75">
      <c r="A287" s="160" t="s">
        <v>241</v>
      </c>
      <c r="B287" s="663"/>
      <c r="C287" s="663"/>
      <c r="D287" s="663"/>
      <c r="E287" s="663"/>
      <c r="F287" s="663"/>
      <c r="G287" s="663"/>
      <c r="H287" s="663"/>
      <c r="I287" s="663"/>
      <c r="J287" s="663"/>
      <c r="K287" s="663"/>
      <c r="L287" s="663"/>
      <c r="M287" s="663"/>
      <c r="N287" s="663"/>
      <c r="O287" s="663"/>
      <c r="P287" s="663"/>
      <c r="Q287" s="663"/>
      <c r="R287" s="663"/>
      <c r="S287" s="663"/>
      <c r="T287" s="663"/>
      <c r="U287" s="663"/>
      <c r="V287" s="663"/>
      <c r="W287" s="663"/>
      <c r="X287" s="663">
        <v>28.881503389999999</v>
      </c>
      <c r="Y287" s="663">
        <v>37.789994210000003</v>
      </c>
      <c r="Z287" s="663">
        <v>49.035509299999994</v>
      </c>
      <c r="AA287" s="663">
        <v>59.069635270000006</v>
      </c>
      <c r="AB287" s="663">
        <v>73.696878420000004</v>
      </c>
      <c r="AC287" s="663"/>
      <c r="AD287" s="158"/>
      <c r="AE287" s="158"/>
      <c r="AF287" s="663"/>
      <c r="AG287" s="663"/>
      <c r="AH287" s="663"/>
      <c r="AI287" s="663"/>
      <c r="AJ287" s="663"/>
      <c r="AK287" s="663"/>
      <c r="AL287" s="663"/>
      <c r="AM287" s="663"/>
      <c r="AN287" s="663"/>
      <c r="AO287" s="663"/>
      <c r="AP287" s="663"/>
      <c r="AQ287" s="663"/>
      <c r="AR287" s="663"/>
      <c r="AS287" s="663"/>
      <c r="AT287" s="663"/>
      <c r="AU287" s="663"/>
      <c r="AV287" s="663"/>
      <c r="AW287" s="663"/>
      <c r="AX287" s="663"/>
      <c r="AY287" s="663"/>
      <c r="AZ287" s="663"/>
      <c r="BA287" s="663"/>
      <c r="BB287" s="663"/>
      <c r="BC287" s="663"/>
      <c r="BD287" s="663"/>
      <c r="BE287" s="663"/>
      <c r="BF287" s="663"/>
      <c r="BG287" s="663"/>
      <c r="BH287" s="663"/>
      <c r="BI287" s="663"/>
      <c r="BJ287" s="663"/>
      <c r="BK287" s="663"/>
      <c r="BL287" s="663"/>
      <c r="BM287" s="663"/>
      <c r="BN287" s="663"/>
      <c r="BO287" s="663"/>
      <c r="BP287" s="663"/>
      <c r="BQ287" s="663"/>
      <c r="BR287" s="663"/>
      <c r="BS287" s="663"/>
      <c r="BT287" s="663"/>
      <c r="BU287" s="663"/>
      <c r="BV287" s="663"/>
      <c r="BW287" s="663"/>
      <c r="BX287" s="663"/>
      <c r="BY287" s="663"/>
      <c r="BZ287" s="663"/>
      <c r="CA287" s="663"/>
      <c r="CB287" s="663"/>
      <c r="CC287" s="663"/>
      <c r="CD287" s="663"/>
      <c r="CE287" s="663">
        <v>28.881503389999999</v>
      </c>
      <c r="CF287" s="663"/>
      <c r="CG287" s="663">
        <v>33.091151269999997</v>
      </c>
      <c r="CH287" s="663"/>
      <c r="CI287" s="663">
        <v>37.789994210000003</v>
      </c>
      <c r="CJ287" s="663"/>
      <c r="CK287" s="663">
        <v>43.96666553</v>
      </c>
      <c r="CL287" s="663"/>
      <c r="CM287" s="663">
        <v>49.035509299999994</v>
      </c>
      <c r="CN287" s="663"/>
      <c r="CO287" s="663">
        <v>54.496884389999998</v>
      </c>
      <c r="CP287" s="663"/>
      <c r="CQ287" s="663">
        <v>59.069635270000006</v>
      </c>
      <c r="CR287" s="663"/>
      <c r="CS287" s="663">
        <v>65.723622079999998</v>
      </c>
      <c r="CT287" s="663">
        <v>0</v>
      </c>
      <c r="CU287" s="663">
        <v>73.696878420000004</v>
      </c>
      <c r="CV287" s="663">
        <v>0</v>
      </c>
      <c r="CW287" s="663">
        <v>88.292689949999996</v>
      </c>
      <c r="CX287" s="663">
        <v>0</v>
      </c>
      <c r="CZ287" s="663" t="e">
        <v>#NAME?</v>
      </c>
      <c r="DB287" s="156" t="s">
        <v>241</v>
      </c>
    </row>
    <row r="288" spans="1:106" ht="12.75">
      <c r="A288" s="160" t="s">
        <v>240</v>
      </c>
      <c r="B288" s="663"/>
      <c r="C288" s="663"/>
      <c r="D288" s="663"/>
      <c r="E288" s="663"/>
      <c r="F288" s="663"/>
      <c r="G288" s="663"/>
      <c r="H288" s="663"/>
      <c r="I288" s="663"/>
      <c r="J288" s="663"/>
      <c r="K288" s="663"/>
      <c r="L288" s="663"/>
      <c r="M288" s="663"/>
      <c r="N288" s="663"/>
      <c r="O288" s="663"/>
      <c r="P288" s="663"/>
      <c r="Q288" s="663"/>
      <c r="R288" s="663"/>
      <c r="S288" s="663"/>
      <c r="T288" s="663"/>
      <c r="U288" s="663"/>
      <c r="V288" s="663"/>
      <c r="W288" s="663"/>
      <c r="X288" s="663"/>
      <c r="Y288" s="663">
        <v>0</v>
      </c>
      <c r="Z288" s="663"/>
      <c r="AA288" s="663"/>
      <c r="AB288" s="663">
        <v>0</v>
      </c>
      <c r="AC288" s="663"/>
      <c r="AD288" s="158"/>
      <c r="AE288" s="158"/>
      <c r="AF288" s="663"/>
      <c r="AG288" s="663"/>
      <c r="AH288" s="663"/>
      <c r="AI288" s="663"/>
      <c r="AJ288" s="663"/>
      <c r="AK288" s="663"/>
      <c r="AL288" s="663"/>
      <c r="AM288" s="663"/>
      <c r="AN288" s="663"/>
      <c r="AO288" s="663"/>
      <c r="AP288" s="663"/>
      <c r="AQ288" s="663"/>
      <c r="AR288" s="663"/>
      <c r="AS288" s="663"/>
      <c r="AT288" s="663"/>
      <c r="AU288" s="663"/>
      <c r="AV288" s="663"/>
      <c r="AW288" s="663"/>
      <c r="AX288" s="663"/>
      <c r="AY288" s="663"/>
      <c r="AZ288" s="663"/>
      <c r="BA288" s="663"/>
      <c r="BB288" s="663"/>
      <c r="BC288" s="663"/>
      <c r="BD288" s="663"/>
      <c r="BE288" s="663"/>
      <c r="BF288" s="663"/>
      <c r="BG288" s="663"/>
      <c r="BH288" s="663"/>
      <c r="BI288" s="663"/>
      <c r="BJ288" s="663"/>
      <c r="BK288" s="663"/>
      <c r="BL288" s="663"/>
      <c r="BM288" s="663"/>
      <c r="BN288" s="663"/>
      <c r="BO288" s="663"/>
      <c r="BP288" s="663"/>
      <c r="BQ288" s="663"/>
      <c r="BR288" s="663"/>
      <c r="BS288" s="663"/>
      <c r="BT288" s="663"/>
      <c r="BU288" s="663"/>
      <c r="BV288" s="663"/>
      <c r="BW288" s="663"/>
      <c r="BX288" s="663"/>
      <c r="BY288" s="663"/>
      <c r="BZ288" s="663"/>
      <c r="CA288" s="663"/>
      <c r="CB288" s="663"/>
      <c r="CC288" s="663"/>
      <c r="CD288" s="663"/>
      <c r="CE288" s="663"/>
      <c r="CF288" s="663"/>
      <c r="CG288" s="663"/>
      <c r="CH288" s="663"/>
      <c r="CI288" s="663"/>
      <c r="CJ288" s="663"/>
      <c r="CK288" s="663"/>
      <c r="CL288" s="663"/>
      <c r="CM288" s="663"/>
      <c r="CN288" s="663"/>
      <c r="CO288" s="663"/>
      <c r="CP288" s="663"/>
      <c r="CQ288" s="663"/>
      <c r="CR288" s="663"/>
      <c r="CS288" s="663">
        <v>0</v>
      </c>
      <c r="CT288" s="663">
        <v>0</v>
      </c>
      <c r="CU288" s="663">
        <v>0</v>
      </c>
      <c r="CV288" s="663">
        <v>0</v>
      </c>
      <c r="CW288" s="663">
        <v>0</v>
      </c>
      <c r="CX288" s="663">
        <v>0</v>
      </c>
      <c r="CZ288" s="663" t="e">
        <v>#NAME?</v>
      </c>
      <c r="DB288" s="156" t="s">
        <v>240</v>
      </c>
    </row>
    <row r="289" spans="1:106" ht="12.75">
      <c r="A289" s="160" t="s">
        <v>239</v>
      </c>
      <c r="B289" s="663"/>
      <c r="C289" s="663"/>
      <c r="D289" s="663"/>
      <c r="E289" s="663"/>
      <c r="F289" s="663"/>
      <c r="G289" s="663"/>
      <c r="H289" s="663"/>
      <c r="I289" s="663"/>
      <c r="J289" s="663"/>
      <c r="K289" s="663"/>
      <c r="L289" s="663"/>
      <c r="M289" s="663"/>
      <c r="N289" s="663"/>
      <c r="O289" s="663"/>
      <c r="P289" s="663"/>
      <c r="Q289" s="663"/>
      <c r="R289" s="663"/>
      <c r="S289" s="663"/>
      <c r="T289" s="663"/>
      <c r="U289" s="663"/>
      <c r="V289" s="663"/>
      <c r="W289" s="663"/>
      <c r="X289" s="663">
        <v>236.5791964</v>
      </c>
      <c r="Y289" s="663">
        <v>322.56716619999997</v>
      </c>
      <c r="Z289" s="663">
        <v>357.34638054000004</v>
      </c>
      <c r="AA289" s="663">
        <v>484.83955269</v>
      </c>
      <c r="AB289" s="663">
        <v>746.11945772000001</v>
      </c>
      <c r="AC289" s="663"/>
      <c r="AD289" s="158"/>
      <c r="AE289" s="158"/>
      <c r="AF289" s="663"/>
      <c r="AG289" s="663"/>
      <c r="AH289" s="663"/>
      <c r="AI289" s="663"/>
      <c r="AJ289" s="663"/>
      <c r="AK289" s="663"/>
      <c r="AL289" s="663"/>
      <c r="AM289" s="663"/>
      <c r="AN289" s="663"/>
      <c r="AO289" s="663"/>
      <c r="AP289" s="663"/>
      <c r="AQ289" s="663"/>
      <c r="AR289" s="663"/>
      <c r="AS289" s="663"/>
      <c r="AT289" s="663"/>
      <c r="AU289" s="663"/>
      <c r="AV289" s="663"/>
      <c r="AW289" s="663"/>
      <c r="AX289" s="663"/>
      <c r="AY289" s="663"/>
      <c r="AZ289" s="663"/>
      <c r="BA289" s="663"/>
      <c r="BB289" s="663"/>
      <c r="BC289" s="663"/>
      <c r="BD289" s="663"/>
      <c r="BE289" s="663"/>
      <c r="BF289" s="663"/>
      <c r="BG289" s="663"/>
      <c r="BH289" s="663"/>
      <c r="BI289" s="663"/>
      <c r="BJ289" s="663"/>
      <c r="BK289" s="663"/>
      <c r="BL289" s="663"/>
      <c r="BM289" s="663"/>
      <c r="BN289" s="663"/>
      <c r="BO289" s="663"/>
      <c r="BP289" s="663"/>
      <c r="BQ289" s="663"/>
      <c r="BR289" s="663"/>
      <c r="BS289" s="663"/>
      <c r="BT289" s="663"/>
      <c r="BU289" s="663"/>
      <c r="BV289" s="663"/>
      <c r="BW289" s="663"/>
      <c r="BX289" s="663"/>
      <c r="BY289" s="663"/>
      <c r="BZ289" s="663"/>
      <c r="CA289" s="663"/>
      <c r="CB289" s="663"/>
      <c r="CC289" s="663"/>
      <c r="CD289" s="663"/>
      <c r="CE289" s="663">
        <v>236.5791964</v>
      </c>
      <c r="CF289" s="663"/>
      <c r="CG289" s="663">
        <v>232.50463492</v>
      </c>
      <c r="CH289" s="663"/>
      <c r="CI289" s="663">
        <v>322.56716619999997</v>
      </c>
      <c r="CJ289" s="663"/>
      <c r="CK289" s="663">
        <v>363.60958670999997</v>
      </c>
      <c r="CL289" s="663"/>
      <c r="CM289" s="663">
        <v>357.34638054000004</v>
      </c>
      <c r="CN289" s="663"/>
      <c r="CO289" s="663">
        <v>351.63168686</v>
      </c>
      <c r="CP289" s="663"/>
      <c r="CQ289" s="663">
        <v>484.83955269</v>
      </c>
      <c r="CR289" s="663"/>
      <c r="CS289" s="663">
        <v>480.49914631000001</v>
      </c>
      <c r="CT289" s="663">
        <v>0</v>
      </c>
      <c r="CU289" s="663">
        <v>746.11945772000001</v>
      </c>
      <c r="CV289" s="663">
        <v>0</v>
      </c>
      <c r="CW289" s="663">
        <v>1069.86060423</v>
      </c>
      <c r="CX289" s="663">
        <v>0</v>
      </c>
      <c r="CZ289" s="663" t="e">
        <v>#NAME?</v>
      </c>
      <c r="DB289" s="156" t="s">
        <v>239</v>
      </c>
    </row>
    <row r="290" spans="1:106" ht="12.75">
      <c r="A290" s="159"/>
      <c r="B290" s="659"/>
      <c r="C290" s="659"/>
      <c r="D290" s="659"/>
      <c r="E290" s="659"/>
      <c r="F290" s="659"/>
      <c r="G290" s="659"/>
      <c r="H290" s="659"/>
      <c r="I290" s="659"/>
      <c r="J290" s="659"/>
      <c r="K290" s="659"/>
      <c r="L290" s="659"/>
      <c r="M290" s="659"/>
      <c r="N290" s="659"/>
      <c r="O290" s="659"/>
      <c r="P290" s="659"/>
      <c r="Q290" s="659"/>
      <c r="R290" s="659"/>
      <c r="S290" s="659"/>
      <c r="T290" s="659"/>
      <c r="U290" s="659"/>
      <c r="V290" s="659"/>
      <c r="W290" s="659"/>
      <c r="X290" s="659"/>
      <c r="Y290" s="659"/>
      <c r="Z290" s="659"/>
      <c r="AA290" s="659"/>
      <c r="AB290" s="659"/>
      <c r="AC290" s="659"/>
      <c r="AD290" s="158"/>
      <c r="AE290" s="158"/>
      <c r="AF290" s="659"/>
      <c r="AG290" s="659"/>
      <c r="AH290" s="659"/>
      <c r="AI290" s="659"/>
      <c r="AJ290" s="659"/>
      <c r="AK290" s="659"/>
      <c r="AL290" s="659"/>
      <c r="AM290" s="659"/>
      <c r="AN290" s="659"/>
      <c r="AO290" s="659"/>
      <c r="AP290" s="659"/>
      <c r="AQ290" s="659"/>
      <c r="AR290" s="659"/>
      <c r="AS290" s="659"/>
      <c r="AT290" s="659"/>
      <c r="AU290" s="659"/>
      <c r="AV290" s="659"/>
      <c r="AW290" s="659"/>
      <c r="AX290" s="659"/>
      <c r="AY290" s="659"/>
      <c r="AZ290" s="659"/>
      <c r="BA290" s="659"/>
      <c r="BB290" s="659"/>
      <c r="BC290" s="659"/>
      <c r="BD290" s="659"/>
      <c r="BE290" s="659"/>
      <c r="BF290" s="659"/>
      <c r="BG290" s="659"/>
      <c r="BH290" s="659"/>
      <c r="BI290" s="659"/>
      <c r="BJ290" s="659"/>
      <c r="BK290" s="659"/>
      <c r="BL290" s="659"/>
      <c r="BM290" s="659"/>
      <c r="BN290" s="659"/>
      <c r="BO290" s="659"/>
      <c r="BP290" s="659"/>
      <c r="BQ290" s="659"/>
      <c r="BR290" s="659"/>
      <c r="BS290" s="659"/>
      <c r="BT290" s="659"/>
      <c r="BU290" s="659"/>
      <c r="BV290" s="659"/>
      <c r="BW290" s="659"/>
      <c r="BX290" s="659"/>
      <c r="BY290" s="659"/>
      <c r="BZ290" s="659"/>
      <c r="CA290" s="659"/>
      <c r="CB290" s="659"/>
      <c r="CC290" s="659"/>
      <c r="CD290" s="659"/>
      <c r="CE290" s="659"/>
      <c r="CF290" s="659"/>
      <c r="CG290" s="659"/>
      <c r="CH290" s="659"/>
      <c r="CI290" s="659"/>
      <c r="CJ290" s="659"/>
      <c r="CK290" s="659"/>
      <c r="CL290" s="659"/>
      <c r="CM290" s="659"/>
      <c r="CN290" s="659"/>
      <c r="CO290" s="659"/>
      <c r="CP290" s="659"/>
      <c r="CQ290" s="659"/>
      <c r="CR290" s="659"/>
      <c r="CS290" s="659"/>
      <c r="CT290" s="659"/>
      <c r="CU290" s="659"/>
      <c r="CV290" s="659"/>
      <c r="CW290" s="659"/>
      <c r="CX290" s="659"/>
      <c r="CZ290" s="659"/>
    </row>
    <row r="291" spans="1:106" ht="12.75">
      <c r="A291" s="160" t="s">
        <v>238</v>
      </c>
      <c r="B291" s="664"/>
      <c r="C291" s="664"/>
      <c r="D291" s="664"/>
      <c r="E291" s="664"/>
      <c r="F291" s="664"/>
      <c r="G291" s="664"/>
      <c r="H291" s="664"/>
      <c r="I291" s="664"/>
      <c r="J291" s="664"/>
      <c r="K291" s="664"/>
      <c r="L291" s="664"/>
      <c r="M291" s="664"/>
      <c r="N291" s="664"/>
      <c r="O291" s="664"/>
      <c r="P291" s="664"/>
      <c r="Q291" s="664"/>
      <c r="R291" s="664"/>
      <c r="S291" s="664"/>
      <c r="T291" s="664"/>
      <c r="U291" s="664" t="s">
        <v>1181</v>
      </c>
      <c r="V291" s="664">
        <v>0</v>
      </c>
      <c r="W291" s="664">
        <v>0</v>
      </c>
      <c r="X291" s="664">
        <v>0</v>
      </c>
      <c r="Y291" s="664">
        <v>1.5</v>
      </c>
      <c r="Z291" s="664">
        <v>2</v>
      </c>
      <c r="AA291" s="664">
        <v>2.5</v>
      </c>
      <c r="AB291" s="1983">
        <v>2.5</v>
      </c>
      <c r="AC291" s="664"/>
      <c r="AD291" s="158"/>
      <c r="AE291" s="158"/>
      <c r="AF291" s="664"/>
      <c r="AG291" s="664"/>
      <c r="AH291" s="664"/>
      <c r="AI291" s="664"/>
      <c r="AJ291" s="664"/>
      <c r="AK291" s="664"/>
      <c r="AL291" s="664"/>
      <c r="AM291" s="664"/>
      <c r="AN291" s="664"/>
      <c r="AO291" s="664"/>
      <c r="AP291" s="664"/>
      <c r="AQ291" s="664"/>
      <c r="AR291" s="664"/>
      <c r="AS291" s="664"/>
      <c r="AT291" s="664"/>
      <c r="AU291" s="664"/>
      <c r="AV291" s="664"/>
      <c r="AW291" s="664"/>
      <c r="AX291" s="664"/>
      <c r="AY291" s="664"/>
      <c r="AZ291" s="664"/>
      <c r="BA291" s="664"/>
      <c r="BB291" s="664"/>
      <c r="BC291" s="664"/>
      <c r="BD291" s="664"/>
      <c r="BE291" s="664"/>
      <c r="BF291" s="664"/>
      <c r="BG291" s="664"/>
      <c r="BH291" s="664"/>
      <c r="BI291" s="664"/>
      <c r="BJ291" s="664"/>
      <c r="BK291" s="664"/>
      <c r="BL291" s="664"/>
      <c r="BM291" s="664"/>
      <c r="BN291" s="664"/>
      <c r="BO291" s="664"/>
      <c r="BP291" s="664"/>
      <c r="BQ291" s="664"/>
      <c r="BR291" s="664"/>
      <c r="BS291" s="664"/>
      <c r="BT291" s="664"/>
      <c r="BU291" s="664"/>
      <c r="BV291" s="664"/>
      <c r="BW291" s="664"/>
      <c r="BX291" s="664"/>
      <c r="BY291" s="664"/>
      <c r="BZ291" s="664"/>
      <c r="CA291" s="664"/>
      <c r="CB291" s="664" t="s">
        <v>1181</v>
      </c>
      <c r="CC291" s="664" t="s">
        <v>1181</v>
      </c>
      <c r="CD291" s="664" t="s">
        <v>1181</v>
      </c>
      <c r="CE291" s="664" t="s">
        <v>1181</v>
      </c>
      <c r="CF291" s="664" t="s">
        <v>1181</v>
      </c>
      <c r="CG291" s="664">
        <v>1.5</v>
      </c>
      <c r="CH291" s="664" t="s">
        <v>1181</v>
      </c>
      <c r="CI291" s="664">
        <v>1.5</v>
      </c>
      <c r="CJ291" s="664" t="s">
        <v>1181</v>
      </c>
      <c r="CK291" s="664" t="s">
        <v>1181</v>
      </c>
      <c r="CL291" s="664" t="s">
        <v>1181</v>
      </c>
      <c r="CM291" s="664">
        <v>2</v>
      </c>
      <c r="CN291" s="664" t="s">
        <v>1181</v>
      </c>
      <c r="CO291" s="664" t="s">
        <v>1181</v>
      </c>
      <c r="CP291" s="664" t="s">
        <v>1181</v>
      </c>
      <c r="CQ291" s="664" t="s">
        <v>1181</v>
      </c>
      <c r="CR291" s="664" t="s">
        <v>1181</v>
      </c>
      <c r="CS291" s="664">
        <v>0</v>
      </c>
      <c r="CT291" s="664" t="s">
        <v>1181</v>
      </c>
      <c r="CU291" s="664">
        <v>0</v>
      </c>
      <c r="CV291" s="664" t="s">
        <v>1181</v>
      </c>
      <c r="CW291" s="664">
        <v>0</v>
      </c>
      <c r="CX291" s="664">
        <v>0</v>
      </c>
      <c r="CZ291" s="664" t="e">
        <v>#NAME?</v>
      </c>
      <c r="DB291" s="156" t="s">
        <v>238</v>
      </c>
    </row>
    <row r="292" spans="1:106" ht="12.75">
      <c r="A292" s="160" t="s">
        <v>237</v>
      </c>
      <c r="B292" s="664"/>
      <c r="C292" s="664"/>
      <c r="D292" s="664"/>
      <c r="E292" s="664"/>
      <c r="F292" s="664"/>
      <c r="G292" s="664"/>
      <c r="H292" s="664"/>
      <c r="I292" s="664"/>
      <c r="J292" s="664"/>
      <c r="K292" s="664"/>
      <c r="L292" s="664"/>
      <c r="M292" s="664"/>
      <c r="N292" s="664"/>
      <c r="O292" s="664"/>
      <c r="P292" s="664"/>
      <c r="Q292" s="664"/>
      <c r="R292" s="664"/>
      <c r="S292" s="664"/>
      <c r="T292" s="664"/>
      <c r="U292" s="664" t="s">
        <v>1181</v>
      </c>
      <c r="V292" s="664" t="s">
        <v>1181</v>
      </c>
      <c r="W292" s="664" t="s">
        <v>1181</v>
      </c>
      <c r="X292" s="664" t="s">
        <v>1181</v>
      </c>
      <c r="Y292" s="664">
        <v>1.5</v>
      </c>
      <c r="Z292" s="664">
        <v>2</v>
      </c>
      <c r="AA292" s="664" t="s">
        <v>1181</v>
      </c>
      <c r="AB292" s="664">
        <v>0</v>
      </c>
      <c r="AC292" s="664"/>
      <c r="AD292" s="158"/>
      <c r="AE292" s="158"/>
      <c r="AF292" s="664"/>
      <c r="AG292" s="664"/>
      <c r="AH292" s="664"/>
      <c r="AI292" s="664"/>
      <c r="AJ292" s="664"/>
      <c r="AK292" s="664"/>
      <c r="AL292" s="664"/>
      <c r="AM292" s="664"/>
      <c r="AN292" s="664"/>
      <c r="AO292" s="664"/>
      <c r="AP292" s="664"/>
      <c r="AQ292" s="664"/>
      <c r="AR292" s="664"/>
      <c r="AS292" s="664"/>
      <c r="AT292" s="664"/>
      <c r="AU292" s="664"/>
      <c r="AV292" s="664"/>
      <c r="AW292" s="664"/>
      <c r="AX292" s="664"/>
      <c r="AY292" s="664"/>
      <c r="AZ292" s="664"/>
      <c r="BA292" s="664"/>
      <c r="BB292" s="664"/>
      <c r="BC292" s="664"/>
      <c r="BD292" s="664"/>
      <c r="BE292" s="664"/>
      <c r="BF292" s="664"/>
      <c r="BG292" s="664"/>
      <c r="BH292" s="664"/>
      <c r="BI292" s="664"/>
      <c r="BJ292" s="664"/>
      <c r="BK292" s="664"/>
      <c r="BL292" s="664"/>
      <c r="BM292" s="664"/>
      <c r="BN292" s="664"/>
      <c r="BO292" s="664"/>
      <c r="BP292" s="664"/>
      <c r="BQ292" s="664"/>
      <c r="BR292" s="664"/>
      <c r="BS292" s="664"/>
      <c r="BT292" s="664"/>
      <c r="BU292" s="664"/>
      <c r="BV292" s="664"/>
      <c r="BW292" s="664"/>
      <c r="BX292" s="664"/>
      <c r="BY292" s="664"/>
      <c r="BZ292" s="664"/>
      <c r="CA292" s="664"/>
      <c r="CB292" s="664" t="s">
        <v>1181</v>
      </c>
      <c r="CC292" s="664" t="s">
        <v>1181</v>
      </c>
      <c r="CD292" s="664" t="s">
        <v>1181</v>
      </c>
      <c r="CE292" s="664" t="s">
        <v>1181</v>
      </c>
      <c r="CF292" s="664" t="s">
        <v>1181</v>
      </c>
      <c r="CG292" s="664">
        <v>1.5</v>
      </c>
      <c r="CH292" s="664" t="s">
        <v>1181</v>
      </c>
      <c r="CI292" s="664">
        <v>1.5</v>
      </c>
      <c r="CJ292" s="664" t="s">
        <v>1181</v>
      </c>
      <c r="CK292" s="664" t="s">
        <v>1181</v>
      </c>
      <c r="CL292" s="664" t="s">
        <v>1181</v>
      </c>
      <c r="CM292" s="664">
        <v>2</v>
      </c>
      <c r="CN292" s="664" t="s">
        <v>1181</v>
      </c>
      <c r="CO292" s="664" t="s">
        <v>1181</v>
      </c>
      <c r="CP292" s="664" t="s">
        <v>1181</v>
      </c>
      <c r="CQ292" s="664" t="s">
        <v>1181</v>
      </c>
      <c r="CR292" s="664" t="s">
        <v>1181</v>
      </c>
      <c r="CS292" s="664">
        <v>0</v>
      </c>
      <c r="CT292" s="664" t="s">
        <v>1181</v>
      </c>
      <c r="CU292" s="664">
        <v>0</v>
      </c>
      <c r="CV292" s="664" t="s">
        <v>1181</v>
      </c>
      <c r="CW292" s="664">
        <v>0</v>
      </c>
      <c r="CX292" s="664">
        <v>0</v>
      </c>
      <c r="CZ292" s="664" t="e">
        <v>#NAME?</v>
      </c>
      <c r="DB292" s="156" t="s">
        <v>237</v>
      </c>
    </row>
    <row r="293" spans="1:106" ht="12.75">
      <c r="A293" s="160" t="s">
        <v>236</v>
      </c>
      <c r="B293" s="664"/>
      <c r="C293" s="664"/>
      <c r="D293" s="664"/>
      <c r="E293" s="664"/>
      <c r="F293" s="664"/>
      <c r="G293" s="664"/>
      <c r="H293" s="664"/>
      <c r="I293" s="664"/>
      <c r="J293" s="664"/>
      <c r="K293" s="664"/>
      <c r="L293" s="664"/>
      <c r="M293" s="664"/>
      <c r="N293" s="664"/>
      <c r="O293" s="664"/>
      <c r="P293" s="664"/>
      <c r="Q293" s="664"/>
      <c r="R293" s="664"/>
      <c r="S293" s="664"/>
      <c r="T293" s="664"/>
      <c r="U293" s="664" t="s">
        <v>1181</v>
      </c>
      <c r="V293" s="664" t="s">
        <v>1181</v>
      </c>
      <c r="W293" s="664" t="s">
        <v>1181</v>
      </c>
      <c r="X293" s="664" t="s">
        <v>1181</v>
      </c>
      <c r="Y293" s="664">
        <v>0</v>
      </c>
      <c r="Z293" s="664">
        <v>0</v>
      </c>
      <c r="AA293" s="664" t="s">
        <v>1181</v>
      </c>
      <c r="AB293" s="664">
        <v>0</v>
      </c>
      <c r="AC293" s="664"/>
      <c r="AD293" s="158"/>
      <c r="AE293" s="158"/>
      <c r="AF293" s="664"/>
      <c r="AG293" s="664"/>
      <c r="AH293" s="664"/>
      <c r="AI293" s="664"/>
      <c r="AJ293" s="664"/>
      <c r="AK293" s="664"/>
      <c r="AL293" s="664"/>
      <c r="AM293" s="664"/>
      <c r="AN293" s="664"/>
      <c r="AO293" s="664"/>
      <c r="AP293" s="664"/>
      <c r="AQ293" s="664"/>
      <c r="AR293" s="664"/>
      <c r="AS293" s="664"/>
      <c r="AT293" s="664"/>
      <c r="AU293" s="664"/>
      <c r="AV293" s="664"/>
      <c r="AW293" s="664"/>
      <c r="AX293" s="664"/>
      <c r="AY293" s="664"/>
      <c r="AZ293" s="664"/>
      <c r="BA293" s="664"/>
      <c r="BB293" s="664"/>
      <c r="BC293" s="664"/>
      <c r="BD293" s="664"/>
      <c r="BE293" s="664"/>
      <c r="BF293" s="664"/>
      <c r="BG293" s="664"/>
      <c r="BH293" s="664"/>
      <c r="BI293" s="664"/>
      <c r="BJ293" s="664"/>
      <c r="BK293" s="664"/>
      <c r="BL293" s="664"/>
      <c r="BM293" s="664"/>
      <c r="BN293" s="664"/>
      <c r="BO293" s="664"/>
      <c r="BP293" s="664"/>
      <c r="BQ293" s="664"/>
      <c r="BR293" s="664"/>
      <c r="BS293" s="664"/>
      <c r="BT293" s="664"/>
      <c r="BU293" s="664"/>
      <c r="BV293" s="664"/>
      <c r="BW293" s="664"/>
      <c r="BX293" s="664"/>
      <c r="BY293" s="664"/>
      <c r="BZ293" s="664"/>
      <c r="CA293" s="664"/>
      <c r="CB293" s="664" t="s">
        <v>1181</v>
      </c>
      <c r="CC293" s="664" t="s">
        <v>1181</v>
      </c>
      <c r="CD293" s="664" t="s">
        <v>1181</v>
      </c>
      <c r="CE293" s="664" t="s">
        <v>1181</v>
      </c>
      <c r="CF293" s="664" t="s">
        <v>1181</v>
      </c>
      <c r="CG293" s="664">
        <v>0</v>
      </c>
      <c r="CH293" s="664" t="s">
        <v>1181</v>
      </c>
      <c r="CI293" s="664">
        <v>0</v>
      </c>
      <c r="CJ293" s="664" t="s">
        <v>1181</v>
      </c>
      <c r="CK293" s="664" t="s">
        <v>1181</v>
      </c>
      <c r="CL293" s="664" t="s">
        <v>1181</v>
      </c>
      <c r="CM293" s="664">
        <v>0</v>
      </c>
      <c r="CN293" s="664" t="s">
        <v>1181</v>
      </c>
      <c r="CO293" s="664" t="s">
        <v>1181</v>
      </c>
      <c r="CP293" s="664" t="s">
        <v>1181</v>
      </c>
      <c r="CQ293" s="664" t="s">
        <v>1181</v>
      </c>
      <c r="CR293" s="664" t="s">
        <v>1181</v>
      </c>
      <c r="CS293" s="664">
        <v>0</v>
      </c>
      <c r="CT293" s="664" t="s">
        <v>1181</v>
      </c>
      <c r="CU293" s="664">
        <v>0</v>
      </c>
      <c r="CV293" s="664" t="s">
        <v>1181</v>
      </c>
      <c r="CW293" s="664">
        <v>0</v>
      </c>
      <c r="CX293" s="664">
        <v>0</v>
      </c>
      <c r="CZ293" s="664" t="e">
        <v>#NAME?</v>
      </c>
      <c r="DB293" s="156" t="s">
        <v>236</v>
      </c>
    </row>
    <row r="294" spans="1:106" ht="12.75">
      <c r="A294" s="160" t="s">
        <v>235</v>
      </c>
      <c r="B294" s="664"/>
      <c r="C294" s="664"/>
      <c r="D294" s="664"/>
      <c r="E294" s="664"/>
      <c r="F294" s="664"/>
      <c r="G294" s="664"/>
      <c r="H294" s="664"/>
      <c r="I294" s="664"/>
      <c r="J294" s="664"/>
      <c r="K294" s="664"/>
      <c r="L294" s="664"/>
      <c r="M294" s="664"/>
      <c r="N294" s="664"/>
      <c r="O294" s="664"/>
      <c r="P294" s="664"/>
      <c r="Q294" s="664"/>
      <c r="R294" s="664"/>
      <c r="S294" s="664"/>
      <c r="T294" s="664"/>
      <c r="U294" s="1088" t="s">
        <v>1182</v>
      </c>
      <c r="V294" s="1088" t="s">
        <v>1182</v>
      </c>
      <c r="W294" s="1088" t="s">
        <v>1182</v>
      </c>
      <c r="X294" s="1088" t="s">
        <v>1182</v>
      </c>
      <c r="Y294" s="1088" t="s">
        <v>1182</v>
      </c>
      <c r="Z294" s="1088" t="s">
        <v>1182</v>
      </c>
      <c r="AA294" s="1088" t="s">
        <v>1182</v>
      </c>
      <c r="AB294" s="1088" t="s">
        <v>1731</v>
      </c>
      <c r="AC294" s="1088"/>
      <c r="AD294" s="158"/>
      <c r="AE294" s="158"/>
      <c r="AF294" s="664"/>
      <c r="AG294" s="664"/>
      <c r="AH294" s="664"/>
      <c r="AI294" s="664"/>
      <c r="AJ294" s="664"/>
      <c r="AK294" s="664"/>
      <c r="AL294" s="664"/>
      <c r="AM294" s="664"/>
      <c r="AN294" s="664"/>
      <c r="AO294" s="664"/>
      <c r="AP294" s="664"/>
      <c r="AQ294" s="664"/>
      <c r="AR294" s="664"/>
      <c r="AS294" s="664"/>
      <c r="AT294" s="664"/>
      <c r="AU294" s="664"/>
      <c r="AV294" s="664"/>
      <c r="AW294" s="664"/>
      <c r="AX294" s="664"/>
      <c r="AY294" s="664"/>
      <c r="AZ294" s="664"/>
      <c r="BA294" s="664"/>
      <c r="BB294" s="664"/>
      <c r="BC294" s="664"/>
      <c r="BD294" s="664"/>
      <c r="BE294" s="664"/>
      <c r="BF294" s="664"/>
      <c r="BG294" s="664"/>
      <c r="BH294" s="664"/>
      <c r="BI294" s="664"/>
      <c r="BJ294" s="664"/>
      <c r="BK294" s="664"/>
      <c r="BL294" s="664"/>
      <c r="BM294" s="664"/>
      <c r="BN294" s="664"/>
      <c r="BO294" s="664"/>
      <c r="BP294" s="664"/>
      <c r="BQ294" s="664"/>
      <c r="BR294" s="664"/>
      <c r="BS294" s="664"/>
      <c r="BT294" s="664"/>
      <c r="BU294" s="664"/>
      <c r="BV294" s="664"/>
      <c r="BW294" s="664"/>
      <c r="BX294" s="664"/>
      <c r="BY294" s="664"/>
      <c r="BZ294" s="664"/>
      <c r="CA294" s="664"/>
      <c r="CB294" s="1088" t="s">
        <v>1182</v>
      </c>
      <c r="CC294" s="1088" t="s">
        <v>1182</v>
      </c>
      <c r="CD294" s="1088" t="s">
        <v>1182</v>
      </c>
      <c r="CE294" s="1088" t="s">
        <v>1182</v>
      </c>
      <c r="CF294" s="1088" t="s">
        <v>1182</v>
      </c>
      <c r="CG294" s="1088" t="s">
        <v>1182</v>
      </c>
      <c r="CH294" s="1088" t="s">
        <v>1182</v>
      </c>
      <c r="CI294" s="1088" t="s">
        <v>1182</v>
      </c>
      <c r="CJ294" s="1088" t="s">
        <v>1182</v>
      </c>
      <c r="CK294" s="1088" t="s">
        <v>1182</v>
      </c>
      <c r="CL294" s="1088" t="s">
        <v>1182</v>
      </c>
      <c r="CM294" s="664" t="s">
        <v>1182</v>
      </c>
      <c r="CN294" s="664" t="s">
        <v>1182</v>
      </c>
      <c r="CO294" s="664" t="s">
        <v>1182</v>
      </c>
      <c r="CP294" s="664" t="s">
        <v>1182</v>
      </c>
      <c r="CQ294" s="664" t="s">
        <v>1182</v>
      </c>
      <c r="CR294" s="664" t="s">
        <v>1182</v>
      </c>
      <c r="CS294" s="664" t="s">
        <v>1182</v>
      </c>
      <c r="CT294" s="664" t="s">
        <v>1182</v>
      </c>
      <c r="CU294" s="664" t="s">
        <v>1731</v>
      </c>
      <c r="CV294" s="664" t="s">
        <v>1182</v>
      </c>
      <c r="CW294" s="664" t="s">
        <v>1182</v>
      </c>
      <c r="CX294" s="664" t="s">
        <v>1182</v>
      </c>
      <c r="CZ294" s="664" t="e">
        <v>#NAME?</v>
      </c>
      <c r="DB294" s="156" t="s">
        <v>235</v>
      </c>
    </row>
    <row r="295" spans="1:106" ht="12.75">
      <c r="A295" s="160" t="s">
        <v>234</v>
      </c>
      <c r="B295" s="664"/>
      <c r="C295" s="664"/>
      <c r="D295" s="664"/>
      <c r="E295" s="664"/>
      <c r="F295" s="664"/>
      <c r="G295" s="664"/>
      <c r="H295" s="664"/>
      <c r="I295" s="664"/>
      <c r="J295" s="664"/>
      <c r="K295" s="664"/>
      <c r="L295" s="664"/>
      <c r="M295" s="664"/>
      <c r="N295" s="664"/>
      <c r="O295" s="664"/>
      <c r="P295" s="664"/>
      <c r="Q295" s="664"/>
      <c r="R295" s="664"/>
      <c r="S295" s="664"/>
      <c r="T295" s="664"/>
      <c r="U295" s="664">
        <v>68.115898132324219</v>
      </c>
      <c r="V295" s="664">
        <v>68.115898132324219</v>
      </c>
      <c r="W295" s="664">
        <v>68.115898132324219</v>
      </c>
      <c r="X295" s="664">
        <v>55.268699645996094</v>
      </c>
      <c r="Y295" s="664">
        <v>49.740001678466797</v>
      </c>
      <c r="Z295" s="664">
        <v>49.740001678466797</v>
      </c>
      <c r="AA295" s="664">
        <v>49.7406005859375</v>
      </c>
      <c r="AB295" s="664">
        <v>49.740001678466797</v>
      </c>
      <c r="AC295" s="664"/>
      <c r="AD295" s="158"/>
      <c r="AE295" s="158"/>
      <c r="AF295" s="664"/>
      <c r="AG295" s="664"/>
      <c r="AH295" s="664"/>
      <c r="AI295" s="664"/>
      <c r="AJ295" s="664"/>
      <c r="AK295" s="664"/>
      <c r="AL295" s="664"/>
      <c r="AM295" s="664"/>
      <c r="AN295" s="664"/>
      <c r="AO295" s="664"/>
      <c r="AP295" s="664"/>
      <c r="AQ295" s="664"/>
      <c r="AR295" s="664"/>
      <c r="AS295" s="664"/>
      <c r="AT295" s="664"/>
      <c r="AU295" s="664"/>
      <c r="AV295" s="664"/>
      <c r="AW295" s="664"/>
      <c r="AX295" s="664"/>
      <c r="AY295" s="664"/>
      <c r="AZ295" s="664"/>
      <c r="BA295" s="664"/>
      <c r="BB295" s="664"/>
      <c r="BC295" s="664"/>
      <c r="BD295" s="664"/>
      <c r="BE295" s="664"/>
      <c r="BF295" s="664"/>
      <c r="BG295" s="664"/>
      <c r="BH295" s="664"/>
      <c r="BI295" s="664"/>
      <c r="BJ295" s="664"/>
      <c r="BK295" s="664"/>
      <c r="BL295" s="664"/>
      <c r="BM295" s="664"/>
      <c r="BN295" s="664"/>
      <c r="BO295" s="664"/>
      <c r="BP295" s="664"/>
      <c r="BQ295" s="664"/>
      <c r="BR295" s="664"/>
      <c r="BS295" s="664"/>
      <c r="BT295" s="664"/>
      <c r="BU295" s="664"/>
      <c r="BV295" s="664"/>
      <c r="BW295" s="664"/>
      <c r="BX295" s="664"/>
      <c r="BY295" s="664"/>
      <c r="BZ295" s="664"/>
      <c r="CA295" s="664"/>
      <c r="CB295" s="664">
        <v>68.115898132324219</v>
      </c>
      <c r="CC295" s="664">
        <v>68.115898132324219</v>
      </c>
      <c r="CD295" s="664">
        <v>68.115898132324219</v>
      </c>
      <c r="CE295" s="664">
        <v>55.268699645996094</v>
      </c>
      <c r="CF295" s="664">
        <v>55.268699645996094</v>
      </c>
      <c r="CG295" s="664">
        <v>49.740001678466797</v>
      </c>
      <c r="CH295" s="664">
        <v>49.740001678466797</v>
      </c>
      <c r="CI295" s="664">
        <v>49.740001678466797</v>
      </c>
      <c r="CJ295" s="664">
        <v>49.740001678466797</v>
      </c>
      <c r="CK295" s="664">
        <v>49.740001678466797</v>
      </c>
      <c r="CL295" s="664">
        <v>49.740001678466797</v>
      </c>
      <c r="CM295" s="664">
        <v>49.740001678466797</v>
      </c>
      <c r="CN295" s="664">
        <v>49.740001678466797</v>
      </c>
      <c r="CO295" s="664">
        <v>49.7406005859375</v>
      </c>
      <c r="CP295" s="664">
        <v>49.740001678466797</v>
      </c>
      <c r="CQ295" s="664">
        <v>49.7406005859375</v>
      </c>
      <c r="CR295" s="664">
        <v>49.7406005859375</v>
      </c>
      <c r="CS295" s="664">
        <v>49.740001678466797</v>
      </c>
      <c r="CT295" s="664">
        <v>49.7406005859375</v>
      </c>
      <c r="CU295" s="664">
        <v>49.740001678466797</v>
      </c>
      <c r="CV295" s="664">
        <v>49.740001678466797</v>
      </c>
      <c r="CW295" s="664">
        <v>49.740001678466797</v>
      </c>
      <c r="CX295" s="664">
        <v>49.740001678466797</v>
      </c>
      <c r="CZ295" s="664" t="e">
        <v>#NAME?</v>
      </c>
      <c r="DB295" s="156" t="s">
        <v>234</v>
      </c>
    </row>
    <row r="296" spans="1:106" ht="12.75">
      <c r="A296" s="159" t="s">
        <v>233</v>
      </c>
      <c r="AD296" s="158"/>
      <c r="AE296" s="158"/>
      <c r="AS296" s="156"/>
      <c r="AT296" s="156"/>
      <c r="AU296" s="156"/>
      <c r="AV296" s="156"/>
      <c r="AW296" s="156"/>
      <c r="AX296" s="156"/>
      <c r="AY296" s="156"/>
      <c r="AZ296" s="156"/>
      <c r="BA296" s="156"/>
      <c r="BB296" s="156"/>
      <c r="DB296" s="156" t="s">
        <v>233</v>
      </c>
    </row>
    <row r="297" spans="1:106" ht="12.75">
      <c r="A297" s="160" t="s">
        <v>232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>
        <v>0</v>
      </c>
      <c r="Z297" s="664" t="s">
        <v>1181</v>
      </c>
      <c r="AA297" s="664">
        <v>1.0200999975204468</v>
      </c>
      <c r="AB297" s="664">
        <v>0.63950002193450928</v>
      </c>
      <c r="AC297" s="664"/>
      <c r="AD297" s="158"/>
      <c r="AE297" s="158"/>
      <c r="AF297" s="664"/>
      <c r="AG297" s="664"/>
      <c r="AH297" s="664"/>
      <c r="AI297" s="664"/>
      <c r="AJ297" s="664"/>
      <c r="AK297" s="664"/>
      <c r="AL297" s="664"/>
      <c r="AM297" s="664"/>
      <c r="AN297" s="664"/>
      <c r="AO297" s="664"/>
      <c r="AP297" s="664"/>
      <c r="AQ297" s="664"/>
      <c r="AR297" s="664"/>
      <c r="AS297" s="664"/>
      <c r="AT297" s="664"/>
      <c r="AU297" s="664"/>
      <c r="AV297" s="664"/>
      <c r="AW297" s="664"/>
      <c r="AX297" s="664"/>
      <c r="AY297" s="664"/>
      <c r="AZ297" s="664"/>
      <c r="BA297" s="664"/>
      <c r="BB297" s="664"/>
      <c r="BC297" s="664"/>
      <c r="BD297" s="664"/>
      <c r="BE297" s="664"/>
      <c r="BF297" s="664"/>
      <c r="BG297" s="664"/>
      <c r="BH297" s="664"/>
      <c r="BI297" s="664"/>
      <c r="BJ297" s="664"/>
      <c r="BK297" s="664"/>
      <c r="BL297" s="664"/>
      <c r="BM297" s="664"/>
      <c r="BN297" s="664"/>
      <c r="BO297" s="664"/>
      <c r="BP297" s="664"/>
      <c r="BQ297" s="664"/>
      <c r="BR297" s="664"/>
      <c r="BS297" s="664"/>
      <c r="BT297" s="664"/>
      <c r="BU297" s="664"/>
      <c r="BV297" s="664"/>
      <c r="BW297" s="664"/>
      <c r="BX297" s="664"/>
      <c r="BY297" s="664"/>
      <c r="BZ297" s="664"/>
      <c r="CA297" s="664"/>
      <c r="CB297" s="664"/>
      <c r="CC297" s="664"/>
      <c r="CD297" s="664"/>
      <c r="CE297" s="664"/>
      <c r="CF297" s="664"/>
      <c r="CG297" s="664"/>
      <c r="CH297" s="664"/>
      <c r="CI297" s="664">
        <v>0</v>
      </c>
      <c r="CJ297" s="664" t="s">
        <v>1181</v>
      </c>
      <c r="CK297" s="664" t="s">
        <v>1181</v>
      </c>
      <c r="CL297" s="664" t="s">
        <v>1181</v>
      </c>
      <c r="CM297" s="664" t="s">
        <v>1181</v>
      </c>
      <c r="CN297" s="664" t="s">
        <v>1181</v>
      </c>
      <c r="CO297" s="664">
        <v>0.95770001411437988</v>
      </c>
      <c r="CP297" s="664">
        <v>0.93809998035430908</v>
      </c>
      <c r="CQ297" s="664">
        <v>1.0200999975204468</v>
      </c>
      <c r="CR297" s="664">
        <v>0.65770000219345093</v>
      </c>
      <c r="CS297" s="664">
        <v>0.55390000343322754</v>
      </c>
      <c r="CT297" s="664">
        <v>0.66689997911453247</v>
      </c>
      <c r="CU297" s="664">
        <v>0.63950002193450928</v>
      </c>
      <c r="CV297" s="664">
        <v>0.50449997186660767</v>
      </c>
      <c r="CW297" s="664">
        <v>0.44110000133514404</v>
      </c>
      <c r="CX297" s="664">
        <v>0.41260001063346863</v>
      </c>
      <c r="CZ297" s="664" t="e">
        <v>#NAME?</v>
      </c>
      <c r="DB297" s="156" t="s">
        <v>232</v>
      </c>
    </row>
    <row r="298" spans="1:106" ht="12.75">
      <c r="A298" s="160" t="s">
        <v>231</v>
      </c>
      <c r="B298" s="407"/>
      <c r="C298" s="407"/>
      <c r="D298" s="407"/>
      <c r="E298" s="407"/>
      <c r="F298" s="407"/>
      <c r="G298" s="407"/>
      <c r="H298" s="407"/>
      <c r="I298" s="407"/>
      <c r="J298" s="407"/>
      <c r="K298" s="407"/>
      <c r="L298" s="407"/>
      <c r="M298" s="407"/>
      <c r="N298" s="407"/>
      <c r="O298" s="407"/>
      <c r="P298" s="407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  <c r="AA298" s="158"/>
      <c r="AB298" s="158"/>
      <c r="AC298" s="158"/>
      <c r="AD298" s="158"/>
      <c r="AE298" s="158"/>
      <c r="AF298" s="408"/>
      <c r="AG298" s="408"/>
      <c r="AH298" s="408"/>
      <c r="AI298" s="408"/>
      <c r="AJ298" s="408"/>
      <c r="AK298" s="408"/>
      <c r="AL298" s="408"/>
      <c r="AM298" s="408"/>
      <c r="AN298" s="408"/>
      <c r="AO298" s="408"/>
      <c r="AP298" s="408"/>
      <c r="AQ298" s="408"/>
      <c r="AR298" s="408"/>
      <c r="AS298" s="408"/>
      <c r="AT298" s="408"/>
      <c r="AU298" s="408"/>
      <c r="AV298" s="408"/>
      <c r="AW298" s="408"/>
      <c r="AX298" s="408"/>
      <c r="AY298" s="408"/>
      <c r="AZ298" s="408"/>
      <c r="BA298" s="408"/>
      <c r="BB298" s="408"/>
      <c r="DB298" s="156" t="s">
        <v>231</v>
      </c>
    </row>
    <row r="299" spans="1:106">
      <c r="B299" s="158"/>
      <c r="C299" s="158"/>
      <c r="D299" s="158"/>
      <c r="E299" s="158"/>
      <c r="F299" s="158"/>
      <c r="G299" s="158"/>
      <c r="H299" s="158"/>
      <c r="I299" s="158"/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  <c r="Z299" s="158"/>
      <c r="AA299" s="158"/>
      <c r="AB299" s="158"/>
      <c r="AC299" s="158"/>
      <c r="AD299" s="158"/>
      <c r="AE299" s="158"/>
      <c r="AF299" s="158"/>
      <c r="AG299" s="158"/>
      <c r="AH299" s="158"/>
      <c r="AI299" s="158"/>
      <c r="AJ299" s="158"/>
      <c r="AK299" s="158"/>
      <c r="AL299" s="158"/>
      <c r="AM299" s="158"/>
      <c r="AN299" s="158"/>
      <c r="AO299" s="158"/>
      <c r="AP299" s="158"/>
      <c r="AQ299" s="158"/>
      <c r="AR299" s="158"/>
    </row>
    <row r="300" spans="1:106">
      <c r="B300" s="158"/>
      <c r="C300" s="158"/>
      <c r="D300" s="158"/>
      <c r="E300" s="158"/>
      <c r="F300" s="158"/>
      <c r="G300" s="158"/>
      <c r="H300" s="158"/>
      <c r="I300" s="158"/>
      <c r="J300" s="158"/>
      <c r="K300" s="158"/>
      <c r="L300" s="15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  <c r="Z300" s="158"/>
      <c r="AA300" s="158"/>
      <c r="AB300" s="158"/>
      <c r="AC300" s="158"/>
      <c r="AD300" s="158"/>
      <c r="AE300" s="158"/>
      <c r="AF300" s="158"/>
      <c r="AG300" s="158"/>
      <c r="AH300" s="158"/>
      <c r="AI300" s="158"/>
      <c r="AJ300" s="158"/>
      <c r="AK300" s="158"/>
      <c r="AL300" s="158"/>
      <c r="AM300" s="158"/>
      <c r="AN300" s="158"/>
      <c r="AO300" s="158"/>
      <c r="AP300" s="158"/>
      <c r="AQ300" s="158"/>
      <c r="AR300" s="158"/>
    </row>
    <row r="301" spans="1:106">
      <c r="B301" s="158"/>
      <c r="C301" s="158"/>
      <c r="D301" s="158"/>
      <c r="E301" s="158"/>
      <c r="F301" s="158"/>
      <c r="G301" s="158"/>
      <c r="H301" s="158"/>
      <c r="I301" s="158"/>
      <c r="J301" s="158"/>
      <c r="K301" s="158"/>
      <c r="L301" s="15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  <c r="Z301" s="158"/>
      <c r="AA301" s="158"/>
      <c r="AB301" s="158"/>
      <c r="AC301" s="158"/>
      <c r="AD301" s="158"/>
      <c r="AE301" s="158"/>
      <c r="AF301" s="158"/>
      <c r="AG301" s="158"/>
      <c r="AH301" s="158"/>
      <c r="AI301" s="158"/>
      <c r="AJ301" s="158"/>
      <c r="AK301" s="158"/>
      <c r="AL301" s="158"/>
      <c r="AM301" s="158"/>
      <c r="AN301" s="158"/>
      <c r="AO301" s="158"/>
      <c r="AP301" s="158"/>
      <c r="AQ301" s="158"/>
      <c r="AR301" s="158"/>
    </row>
    <row r="302" spans="1:106">
      <c r="B302" s="158"/>
      <c r="C302" s="158"/>
      <c r="D302" s="158"/>
      <c r="E302" s="158"/>
      <c r="F302" s="158"/>
      <c r="G302" s="158"/>
      <c r="H302" s="158"/>
      <c r="I302" s="158"/>
      <c r="J302" s="158"/>
      <c r="K302" s="158"/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  <c r="Z302" s="158"/>
      <c r="AA302" s="158"/>
      <c r="AB302" s="158"/>
      <c r="AC302" s="158"/>
      <c r="AD302" s="158"/>
      <c r="AE302" s="158"/>
      <c r="AF302" s="158"/>
      <c r="AG302" s="158"/>
      <c r="AH302" s="158"/>
      <c r="AI302" s="158"/>
      <c r="AJ302" s="158"/>
      <c r="AK302" s="158"/>
      <c r="AL302" s="158"/>
      <c r="AM302" s="158"/>
      <c r="AN302" s="158"/>
      <c r="AO302" s="158"/>
      <c r="AP302" s="158"/>
      <c r="AQ302" s="158"/>
      <c r="AR302" s="158"/>
    </row>
    <row r="303" spans="1:106">
      <c r="B303" s="158"/>
      <c r="C303" s="158"/>
      <c r="D303" s="158"/>
      <c r="E303" s="158"/>
      <c r="F303" s="158"/>
      <c r="G303" s="158"/>
      <c r="H303" s="158"/>
      <c r="I303" s="158"/>
      <c r="J303" s="158"/>
      <c r="K303" s="158"/>
      <c r="L303" s="15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  <c r="Z303" s="158"/>
      <c r="AA303" s="158"/>
      <c r="AB303" s="158"/>
      <c r="AC303" s="158"/>
      <c r="AD303" s="158"/>
      <c r="AE303" s="158"/>
      <c r="AF303" s="158"/>
      <c r="AG303" s="158"/>
      <c r="AH303" s="158"/>
      <c r="AI303" s="158"/>
      <c r="AJ303" s="158"/>
      <c r="AK303" s="158"/>
      <c r="AL303" s="158"/>
      <c r="AM303" s="158"/>
      <c r="AN303" s="158"/>
      <c r="AO303" s="158"/>
      <c r="AP303" s="158"/>
      <c r="AQ303" s="158"/>
      <c r="AR303" s="158"/>
    </row>
    <row r="304" spans="1:106">
      <c r="B304" s="158"/>
      <c r="C304" s="158"/>
      <c r="D304" s="158"/>
      <c r="E304" s="158"/>
      <c r="F304" s="158"/>
      <c r="G304" s="158"/>
      <c r="H304" s="158"/>
      <c r="I304" s="158"/>
      <c r="J304" s="158"/>
      <c r="K304" s="158"/>
      <c r="L304" s="15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  <c r="Z304" s="158"/>
      <c r="AA304" s="158"/>
      <c r="AB304" s="158"/>
      <c r="AC304" s="158"/>
      <c r="AD304" s="158"/>
      <c r="AE304" s="158"/>
      <c r="AF304" s="158"/>
      <c r="AG304" s="158"/>
      <c r="AH304" s="158"/>
      <c r="AI304" s="158"/>
      <c r="AJ304" s="158"/>
      <c r="AK304" s="158"/>
      <c r="AL304" s="158"/>
      <c r="AM304" s="158"/>
      <c r="AN304" s="158"/>
      <c r="AO304" s="158"/>
      <c r="AP304" s="158"/>
      <c r="AQ304" s="158"/>
      <c r="AR304" s="158"/>
    </row>
    <row r="305" spans="2:44">
      <c r="B305" s="158"/>
      <c r="C305" s="158"/>
      <c r="D305" s="158"/>
      <c r="E305" s="158"/>
      <c r="F305" s="158"/>
      <c r="G305" s="158"/>
      <c r="H305" s="158"/>
      <c r="I305" s="158"/>
      <c r="J305" s="158"/>
      <c r="K305" s="158"/>
      <c r="L305" s="15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  <c r="Z305" s="158"/>
      <c r="AA305" s="158"/>
      <c r="AB305" s="158"/>
      <c r="AC305" s="158"/>
      <c r="AD305" s="158"/>
      <c r="AE305" s="158"/>
      <c r="AF305" s="158"/>
      <c r="AG305" s="158"/>
      <c r="AH305" s="158"/>
      <c r="AI305" s="158"/>
      <c r="AJ305" s="158"/>
      <c r="AK305" s="158"/>
      <c r="AL305" s="158"/>
      <c r="AM305" s="158"/>
      <c r="AN305" s="158"/>
      <c r="AO305" s="158"/>
      <c r="AP305" s="158"/>
      <c r="AQ305" s="158"/>
      <c r="AR305" s="158"/>
    </row>
    <row r="306" spans="2:44">
      <c r="B306" s="158"/>
      <c r="C306" s="158"/>
      <c r="D306" s="158"/>
      <c r="E306" s="158"/>
      <c r="F306" s="158"/>
      <c r="G306" s="158"/>
      <c r="H306" s="158"/>
      <c r="I306" s="158"/>
      <c r="J306" s="158"/>
      <c r="K306" s="158"/>
      <c r="L306" s="15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  <c r="Z306" s="158"/>
      <c r="AA306" s="158"/>
      <c r="AB306" s="158"/>
      <c r="AC306" s="158"/>
      <c r="AD306" s="158"/>
      <c r="AE306" s="158"/>
      <c r="AF306" s="158"/>
      <c r="AG306" s="158"/>
      <c r="AH306" s="158"/>
      <c r="AI306" s="158"/>
      <c r="AJ306" s="158"/>
      <c r="AK306" s="158"/>
      <c r="AL306" s="158"/>
      <c r="AM306" s="158"/>
      <c r="AN306" s="158"/>
      <c r="AO306" s="158"/>
      <c r="AP306" s="158"/>
      <c r="AQ306" s="158"/>
      <c r="AR306" s="158"/>
    </row>
    <row r="307" spans="2:44">
      <c r="B307" s="158"/>
      <c r="C307" s="158"/>
      <c r="D307" s="158"/>
      <c r="E307" s="158"/>
      <c r="F307" s="158"/>
      <c r="G307" s="158"/>
      <c r="H307" s="158"/>
      <c r="I307" s="158"/>
      <c r="J307" s="158"/>
      <c r="K307" s="158"/>
      <c r="L307" s="15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  <c r="Z307" s="158"/>
      <c r="AA307" s="158"/>
      <c r="AB307" s="158"/>
      <c r="AC307" s="158"/>
      <c r="AD307" s="158"/>
      <c r="AE307" s="158"/>
      <c r="AF307" s="158"/>
      <c r="AG307" s="158"/>
      <c r="AH307" s="158"/>
      <c r="AI307" s="158"/>
      <c r="AJ307" s="158"/>
      <c r="AK307" s="158"/>
      <c r="AL307" s="158"/>
      <c r="AM307" s="158"/>
      <c r="AN307" s="158"/>
      <c r="AO307" s="158"/>
      <c r="AP307" s="158"/>
      <c r="AQ307" s="158"/>
      <c r="AR307" s="158"/>
    </row>
    <row r="308" spans="2:44">
      <c r="B308" s="158"/>
      <c r="C308" s="158"/>
      <c r="D308" s="158"/>
      <c r="E308" s="158"/>
      <c r="F308" s="158"/>
      <c r="G308" s="158"/>
      <c r="H308" s="158"/>
      <c r="I308" s="158"/>
      <c r="J308" s="158"/>
      <c r="K308" s="158"/>
      <c r="L308" s="15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  <c r="Z308" s="158"/>
      <c r="AA308" s="158"/>
      <c r="AB308" s="158"/>
      <c r="AC308" s="158"/>
      <c r="AD308" s="158"/>
      <c r="AE308" s="158"/>
      <c r="AF308" s="158"/>
      <c r="AG308" s="158"/>
      <c r="AH308" s="158"/>
      <c r="AI308" s="158"/>
      <c r="AJ308" s="158"/>
      <c r="AK308" s="158"/>
      <c r="AL308" s="158"/>
      <c r="AM308" s="158"/>
      <c r="AN308" s="158"/>
      <c r="AO308" s="158"/>
      <c r="AP308" s="158"/>
      <c r="AQ308" s="158"/>
      <c r="AR308" s="158"/>
    </row>
    <row r="309" spans="2:44">
      <c r="B309" s="158"/>
      <c r="C309" s="158"/>
      <c r="D309" s="158"/>
      <c r="E309" s="158"/>
      <c r="F309" s="158"/>
      <c r="G309" s="158"/>
      <c r="H309" s="158"/>
      <c r="I309" s="158"/>
      <c r="J309" s="158"/>
      <c r="K309" s="158"/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  <c r="Z309" s="158"/>
      <c r="AA309" s="158"/>
      <c r="AB309" s="158"/>
      <c r="AC309" s="158"/>
      <c r="AD309" s="158"/>
      <c r="AE309" s="158"/>
      <c r="AF309" s="158"/>
      <c r="AG309" s="158"/>
      <c r="AH309" s="158"/>
      <c r="AI309" s="158"/>
      <c r="AJ309" s="158"/>
      <c r="AK309" s="158"/>
      <c r="AL309" s="158"/>
      <c r="AM309" s="158"/>
      <c r="AN309" s="158"/>
      <c r="AO309" s="158"/>
      <c r="AP309" s="158"/>
      <c r="AQ309" s="158"/>
      <c r="AR309" s="158"/>
    </row>
    <row r="310" spans="2:44">
      <c r="B310" s="158"/>
      <c r="C310" s="158"/>
      <c r="D310" s="158"/>
      <c r="E310" s="158"/>
      <c r="F310" s="158"/>
      <c r="G310" s="158"/>
      <c r="H310" s="158"/>
      <c r="I310" s="158"/>
      <c r="J310" s="158"/>
      <c r="K310" s="158"/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  <c r="Z310" s="158"/>
      <c r="AA310" s="158"/>
      <c r="AB310" s="158"/>
      <c r="AC310" s="158"/>
      <c r="AD310" s="158"/>
      <c r="AE310" s="158"/>
      <c r="AF310" s="158"/>
      <c r="AG310" s="158"/>
      <c r="AH310" s="158"/>
      <c r="AI310" s="158"/>
      <c r="AJ310" s="158"/>
      <c r="AK310" s="158"/>
      <c r="AL310" s="158"/>
      <c r="AM310" s="158"/>
      <c r="AN310" s="158"/>
      <c r="AO310" s="158"/>
      <c r="AP310" s="158"/>
      <c r="AQ310" s="158"/>
      <c r="AR310" s="158"/>
    </row>
    <row r="311" spans="2:44">
      <c r="B311" s="158"/>
      <c r="C311" s="158"/>
      <c r="D311" s="158"/>
      <c r="E311" s="158"/>
      <c r="F311" s="158"/>
      <c r="G311" s="158"/>
      <c r="H311" s="158"/>
      <c r="I311" s="158"/>
      <c r="J311" s="158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  <c r="AA311" s="158"/>
      <c r="AB311" s="158"/>
      <c r="AC311" s="158"/>
      <c r="AD311" s="158"/>
      <c r="AE311" s="158"/>
      <c r="AF311" s="158"/>
      <c r="AG311" s="158"/>
      <c r="AH311" s="158"/>
      <c r="AI311" s="158"/>
      <c r="AJ311" s="158"/>
      <c r="AK311" s="158"/>
      <c r="AL311" s="158"/>
      <c r="AM311" s="158"/>
      <c r="AN311" s="158"/>
      <c r="AO311" s="158"/>
      <c r="AP311" s="158"/>
      <c r="AQ311" s="158"/>
      <c r="AR311" s="158"/>
    </row>
    <row r="312" spans="2:44">
      <c r="B312" s="158"/>
      <c r="C312" s="158"/>
      <c r="D312" s="158"/>
      <c r="E312" s="158"/>
      <c r="F312" s="158"/>
      <c r="G312" s="158"/>
      <c r="H312" s="158"/>
      <c r="I312" s="158"/>
      <c r="J312" s="158"/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  <c r="Z312" s="158"/>
      <c r="AA312" s="158"/>
      <c r="AB312" s="158"/>
      <c r="AC312" s="158"/>
      <c r="AD312" s="158"/>
      <c r="AE312" s="158"/>
      <c r="AF312" s="158"/>
      <c r="AG312" s="158"/>
      <c r="AH312" s="158"/>
      <c r="AI312" s="158"/>
      <c r="AJ312" s="158"/>
      <c r="AK312" s="158"/>
      <c r="AL312" s="158"/>
      <c r="AM312" s="158"/>
      <c r="AN312" s="158"/>
      <c r="AO312" s="158"/>
      <c r="AP312" s="158"/>
      <c r="AQ312" s="158"/>
      <c r="AR312" s="158"/>
    </row>
    <row r="313" spans="2:44">
      <c r="B313" s="158"/>
      <c r="C313" s="158"/>
      <c r="D313" s="158"/>
      <c r="E313" s="158"/>
      <c r="F313" s="158"/>
      <c r="G313" s="158"/>
      <c r="H313" s="158"/>
      <c r="I313" s="158"/>
      <c r="J313" s="158"/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  <c r="Z313" s="158"/>
      <c r="AA313" s="158"/>
      <c r="AB313" s="158"/>
      <c r="AC313" s="158"/>
      <c r="AD313" s="158"/>
      <c r="AE313" s="158"/>
      <c r="AF313" s="158"/>
      <c r="AG313" s="158"/>
      <c r="AH313" s="158"/>
      <c r="AI313" s="158"/>
      <c r="AJ313" s="158"/>
      <c r="AK313" s="158"/>
      <c r="AL313" s="158"/>
      <c r="AM313" s="158"/>
      <c r="AN313" s="158"/>
      <c r="AO313" s="158"/>
      <c r="AP313" s="158"/>
      <c r="AQ313" s="158"/>
      <c r="AR313" s="158"/>
    </row>
    <row r="314" spans="2:44">
      <c r="B314" s="158"/>
      <c r="C314" s="158"/>
      <c r="D314" s="158"/>
      <c r="E314" s="158"/>
      <c r="F314" s="158"/>
      <c r="G314" s="158"/>
      <c r="H314" s="158"/>
      <c r="I314" s="158"/>
      <c r="J314" s="158"/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  <c r="Z314" s="158"/>
      <c r="AA314" s="158"/>
      <c r="AB314" s="158"/>
      <c r="AC314" s="158"/>
      <c r="AD314" s="158"/>
      <c r="AE314" s="158"/>
      <c r="AF314" s="158"/>
      <c r="AG314" s="158"/>
      <c r="AH314" s="158"/>
      <c r="AI314" s="158"/>
      <c r="AJ314" s="158"/>
      <c r="AK314" s="158"/>
      <c r="AL314" s="158"/>
      <c r="AM314" s="158"/>
      <c r="AN314" s="158"/>
      <c r="AO314" s="158"/>
      <c r="AP314" s="158"/>
      <c r="AQ314" s="158"/>
      <c r="AR314" s="158"/>
    </row>
    <row r="315" spans="2:44">
      <c r="B315" s="158"/>
      <c r="C315" s="158"/>
      <c r="D315" s="158"/>
      <c r="E315" s="158"/>
      <c r="F315" s="158"/>
      <c r="G315" s="158"/>
      <c r="H315" s="158"/>
      <c r="I315" s="158"/>
      <c r="J315" s="158"/>
      <c r="K315" s="158"/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  <c r="Z315" s="158"/>
      <c r="AA315" s="158"/>
      <c r="AB315" s="158"/>
      <c r="AC315" s="158"/>
      <c r="AD315" s="158"/>
      <c r="AE315" s="158"/>
      <c r="AF315" s="158"/>
      <c r="AG315" s="158"/>
      <c r="AH315" s="158"/>
      <c r="AI315" s="158"/>
      <c r="AJ315" s="158"/>
      <c r="AK315" s="158"/>
      <c r="AL315" s="158"/>
      <c r="AM315" s="158"/>
      <c r="AN315" s="158"/>
      <c r="AO315" s="158"/>
      <c r="AP315" s="158"/>
      <c r="AQ315" s="158"/>
      <c r="AR315" s="158"/>
    </row>
    <row r="316" spans="2:44">
      <c r="B316" s="158"/>
      <c r="C316" s="158"/>
      <c r="D316" s="158"/>
      <c r="E316" s="158"/>
      <c r="F316" s="158"/>
      <c r="G316" s="158"/>
      <c r="H316" s="158"/>
      <c r="I316" s="158"/>
      <c r="J316" s="158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  <c r="AA316" s="158"/>
      <c r="AB316" s="158"/>
      <c r="AC316" s="158"/>
      <c r="AD316" s="158"/>
      <c r="AE316" s="158"/>
      <c r="AF316" s="158"/>
      <c r="AG316" s="158"/>
      <c r="AH316" s="158"/>
      <c r="AI316" s="158"/>
      <c r="AJ316" s="158"/>
      <c r="AK316" s="158"/>
      <c r="AL316" s="158"/>
      <c r="AM316" s="158"/>
      <c r="AN316" s="158"/>
      <c r="AO316" s="158"/>
      <c r="AP316" s="158"/>
      <c r="AQ316" s="158"/>
      <c r="AR316" s="158"/>
    </row>
    <row r="317" spans="2:44">
      <c r="B317" s="158"/>
      <c r="C317" s="158"/>
      <c r="D317" s="158"/>
      <c r="E317" s="158"/>
      <c r="F317" s="158"/>
      <c r="G317" s="158"/>
      <c r="H317" s="158"/>
      <c r="I317" s="158"/>
      <c r="J317" s="158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  <c r="AA317" s="158"/>
      <c r="AB317" s="158"/>
      <c r="AC317" s="158"/>
      <c r="AD317" s="158"/>
      <c r="AE317" s="158"/>
      <c r="AF317" s="158"/>
      <c r="AG317" s="158"/>
      <c r="AH317" s="158"/>
      <c r="AI317" s="158"/>
      <c r="AJ317" s="158"/>
      <c r="AK317" s="158"/>
      <c r="AL317" s="158"/>
      <c r="AM317" s="158"/>
      <c r="AN317" s="158"/>
      <c r="AO317" s="158"/>
      <c r="AP317" s="158"/>
      <c r="AQ317" s="158"/>
      <c r="AR317" s="158"/>
    </row>
    <row r="318" spans="2:44">
      <c r="B318" s="158"/>
      <c r="C318" s="158"/>
      <c r="D318" s="158"/>
      <c r="E318" s="158"/>
      <c r="F318" s="158"/>
      <c r="G318" s="158"/>
      <c r="H318" s="158"/>
      <c r="I318" s="158"/>
      <c r="J318" s="158"/>
      <c r="K318" s="158"/>
      <c r="L318" s="15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  <c r="AA318" s="158"/>
      <c r="AB318" s="158"/>
      <c r="AC318" s="158"/>
      <c r="AD318" s="158"/>
      <c r="AE318" s="158"/>
      <c r="AF318" s="158"/>
      <c r="AG318" s="158"/>
      <c r="AH318" s="158"/>
      <c r="AI318" s="158"/>
      <c r="AJ318" s="158"/>
      <c r="AK318" s="158"/>
      <c r="AL318" s="158"/>
      <c r="AM318" s="158"/>
      <c r="AN318" s="158"/>
      <c r="AO318" s="158"/>
      <c r="AP318" s="158"/>
      <c r="AQ318" s="158"/>
      <c r="AR318" s="158"/>
    </row>
    <row r="319" spans="2:44">
      <c r="B319" s="158"/>
      <c r="C319" s="158"/>
      <c r="D319" s="158"/>
      <c r="E319" s="158"/>
      <c r="F319" s="158"/>
      <c r="G319" s="158"/>
      <c r="H319" s="158"/>
      <c r="I319" s="158"/>
      <c r="J319" s="158"/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  <c r="AA319" s="158"/>
      <c r="AB319" s="158"/>
      <c r="AC319" s="158"/>
      <c r="AD319" s="158"/>
      <c r="AE319" s="158"/>
      <c r="AF319" s="158"/>
      <c r="AG319" s="158"/>
      <c r="AH319" s="158"/>
      <c r="AI319" s="158"/>
      <c r="AJ319" s="158"/>
      <c r="AK319" s="158"/>
      <c r="AL319" s="158"/>
      <c r="AM319" s="158"/>
      <c r="AN319" s="158"/>
      <c r="AO319" s="158"/>
      <c r="AP319" s="158"/>
      <c r="AQ319" s="158"/>
      <c r="AR319" s="158"/>
    </row>
    <row r="320" spans="2:44">
      <c r="B320" s="158"/>
      <c r="C320" s="158"/>
      <c r="D320" s="158"/>
      <c r="E320" s="158"/>
      <c r="F320" s="158"/>
      <c r="G320" s="158"/>
      <c r="H320" s="158"/>
      <c r="I320" s="158"/>
      <c r="J320" s="158"/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  <c r="AA320" s="158"/>
      <c r="AB320" s="158"/>
      <c r="AC320" s="158"/>
      <c r="AD320" s="158"/>
      <c r="AE320" s="158"/>
      <c r="AF320" s="158"/>
      <c r="AG320" s="158"/>
      <c r="AH320" s="158"/>
      <c r="AI320" s="158"/>
      <c r="AJ320" s="158"/>
      <c r="AK320" s="158"/>
      <c r="AL320" s="158"/>
      <c r="AM320" s="158"/>
      <c r="AN320" s="158"/>
      <c r="AO320" s="158"/>
      <c r="AP320" s="158"/>
      <c r="AQ320" s="158"/>
      <c r="AR320" s="158"/>
    </row>
    <row r="321" spans="2:44">
      <c r="B321" s="158"/>
      <c r="C321" s="158"/>
      <c r="D321" s="158"/>
      <c r="E321" s="158"/>
      <c r="F321" s="158"/>
      <c r="G321" s="158"/>
      <c r="H321" s="158"/>
      <c r="I321" s="158"/>
      <c r="J321" s="158"/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  <c r="AA321" s="158"/>
      <c r="AB321" s="158"/>
      <c r="AC321" s="158"/>
      <c r="AD321" s="158"/>
      <c r="AE321" s="158"/>
      <c r="AF321" s="158"/>
      <c r="AG321" s="158"/>
      <c r="AH321" s="158"/>
      <c r="AI321" s="158"/>
      <c r="AJ321" s="158"/>
      <c r="AK321" s="158"/>
      <c r="AL321" s="158"/>
      <c r="AM321" s="158"/>
      <c r="AN321" s="158"/>
      <c r="AO321" s="158"/>
      <c r="AP321" s="158"/>
      <c r="AQ321" s="158"/>
      <c r="AR321" s="158"/>
    </row>
    <row r="322" spans="2:44">
      <c r="B322" s="158"/>
      <c r="C322" s="158"/>
      <c r="D322" s="158"/>
      <c r="E322" s="158"/>
      <c r="F322" s="158"/>
      <c r="G322" s="158"/>
      <c r="H322" s="158"/>
      <c r="I322" s="158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  <c r="AB322" s="158"/>
      <c r="AC322" s="158"/>
      <c r="AD322" s="158"/>
      <c r="AE322" s="158"/>
      <c r="AF322" s="158"/>
      <c r="AG322" s="158"/>
      <c r="AH322" s="158"/>
      <c r="AI322" s="158"/>
      <c r="AJ322" s="158"/>
      <c r="AK322" s="158"/>
      <c r="AL322" s="158"/>
      <c r="AM322" s="158"/>
      <c r="AN322" s="158"/>
      <c r="AO322" s="158"/>
      <c r="AP322" s="158"/>
      <c r="AQ322" s="158"/>
      <c r="AR322" s="158"/>
    </row>
    <row r="323" spans="2:44">
      <c r="B323" s="158"/>
      <c r="C323" s="158"/>
      <c r="D323" s="158"/>
      <c r="E323" s="158"/>
      <c r="F323" s="158"/>
      <c r="G323" s="158"/>
      <c r="H323" s="158"/>
      <c r="I323" s="158"/>
      <c r="J323" s="158"/>
      <c r="K323" s="158"/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  <c r="AA323" s="158"/>
      <c r="AB323" s="158"/>
      <c r="AC323" s="158"/>
      <c r="AD323" s="158"/>
      <c r="AE323" s="158"/>
      <c r="AF323" s="158"/>
      <c r="AG323" s="158"/>
      <c r="AH323" s="158"/>
      <c r="AI323" s="158"/>
      <c r="AJ323" s="158"/>
      <c r="AK323" s="158"/>
      <c r="AL323" s="158"/>
      <c r="AM323" s="158"/>
      <c r="AN323" s="158"/>
      <c r="AO323" s="158"/>
      <c r="AP323" s="158"/>
      <c r="AQ323" s="158"/>
      <c r="AR323" s="158"/>
    </row>
    <row r="324" spans="2:44">
      <c r="B324" s="158"/>
      <c r="C324" s="158"/>
      <c r="D324" s="158"/>
      <c r="E324" s="158"/>
      <c r="F324" s="158"/>
      <c r="G324" s="158"/>
      <c r="H324" s="158"/>
      <c r="I324" s="158"/>
      <c r="J324" s="158"/>
      <c r="K324" s="158"/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  <c r="AA324" s="158"/>
      <c r="AB324" s="158"/>
      <c r="AC324" s="158"/>
      <c r="AD324" s="158"/>
      <c r="AE324" s="158"/>
      <c r="AF324" s="158"/>
      <c r="AG324" s="158"/>
      <c r="AH324" s="158"/>
      <c r="AI324" s="158"/>
      <c r="AJ324" s="158"/>
      <c r="AK324" s="158"/>
      <c r="AL324" s="158"/>
      <c r="AM324" s="158"/>
      <c r="AN324" s="158"/>
      <c r="AO324" s="158"/>
      <c r="AP324" s="158"/>
      <c r="AQ324" s="158"/>
      <c r="AR324" s="158"/>
    </row>
    <row r="325" spans="2:44">
      <c r="B325" s="158"/>
      <c r="C325" s="158"/>
      <c r="D325" s="158"/>
      <c r="E325" s="158"/>
      <c r="F325" s="158"/>
      <c r="G325" s="158"/>
      <c r="H325" s="158"/>
      <c r="I325" s="158"/>
      <c r="J325" s="158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  <c r="AA325" s="158"/>
      <c r="AB325" s="158"/>
      <c r="AC325" s="158"/>
      <c r="AD325" s="158"/>
      <c r="AE325" s="158"/>
      <c r="AF325" s="158"/>
      <c r="AG325" s="158"/>
      <c r="AH325" s="158"/>
      <c r="AI325" s="158"/>
      <c r="AJ325" s="158"/>
      <c r="AK325" s="158"/>
      <c r="AL325" s="158"/>
      <c r="AM325" s="158"/>
      <c r="AN325" s="158"/>
      <c r="AO325" s="158"/>
      <c r="AP325" s="158"/>
      <c r="AQ325" s="158"/>
      <c r="AR325" s="158"/>
    </row>
    <row r="326" spans="2:44">
      <c r="B326" s="158"/>
      <c r="C326" s="158"/>
      <c r="D326" s="158"/>
      <c r="E326" s="158"/>
      <c r="F326" s="158"/>
      <c r="G326" s="158"/>
      <c r="H326" s="158"/>
      <c r="I326" s="158"/>
      <c r="J326" s="158"/>
      <c r="K326" s="15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  <c r="AA326" s="158"/>
      <c r="AB326" s="158"/>
      <c r="AC326" s="158"/>
      <c r="AD326" s="158"/>
      <c r="AE326" s="158"/>
      <c r="AF326" s="158"/>
      <c r="AG326" s="158"/>
      <c r="AH326" s="158"/>
      <c r="AI326" s="158"/>
      <c r="AJ326" s="158"/>
      <c r="AK326" s="158"/>
      <c r="AL326" s="158"/>
      <c r="AM326" s="158"/>
      <c r="AN326" s="158"/>
      <c r="AO326" s="158"/>
      <c r="AP326" s="158"/>
      <c r="AQ326" s="158"/>
      <c r="AR326" s="158"/>
    </row>
    <row r="327" spans="2:44">
      <c r="B327" s="158"/>
      <c r="C327" s="158"/>
      <c r="D327" s="158"/>
      <c r="E327" s="158"/>
      <c r="F327" s="158"/>
      <c r="G327" s="158"/>
      <c r="H327" s="158"/>
      <c r="I327" s="158"/>
      <c r="J327" s="158"/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  <c r="AA327" s="158"/>
      <c r="AB327" s="158"/>
      <c r="AC327" s="158"/>
      <c r="AD327" s="158"/>
      <c r="AE327" s="158"/>
      <c r="AF327" s="158"/>
      <c r="AG327" s="158"/>
      <c r="AH327" s="158"/>
      <c r="AI327" s="158"/>
      <c r="AJ327" s="158"/>
      <c r="AK327" s="158"/>
      <c r="AL327" s="158"/>
      <c r="AM327" s="158"/>
      <c r="AN327" s="158"/>
      <c r="AO327" s="158"/>
      <c r="AP327" s="158"/>
      <c r="AQ327" s="158"/>
      <c r="AR327" s="158"/>
    </row>
    <row r="328" spans="2:44"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8"/>
      <c r="AF328" s="158"/>
      <c r="AG328" s="158"/>
      <c r="AH328" s="158"/>
      <c r="AI328" s="158"/>
      <c r="AJ328" s="158"/>
      <c r="AK328" s="158"/>
      <c r="AL328" s="158"/>
      <c r="AM328" s="158"/>
      <c r="AN328" s="158"/>
      <c r="AO328" s="158"/>
      <c r="AP328" s="158"/>
      <c r="AQ328" s="158"/>
      <c r="AR328" s="158"/>
    </row>
    <row r="329" spans="2:44">
      <c r="B329" s="158"/>
      <c r="C329" s="158"/>
      <c r="D329" s="158"/>
      <c r="E329" s="158"/>
      <c r="F329" s="158"/>
      <c r="G329" s="158"/>
      <c r="H329" s="158"/>
      <c r="I329" s="158"/>
      <c r="J329" s="158"/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  <c r="AA329" s="158"/>
      <c r="AB329" s="158"/>
      <c r="AC329" s="158"/>
      <c r="AD329" s="158"/>
      <c r="AE329" s="158"/>
      <c r="AF329" s="158"/>
      <c r="AG329" s="158"/>
      <c r="AH329" s="158"/>
      <c r="AI329" s="158"/>
      <c r="AJ329" s="158"/>
      <c r="AK329" s="158"/>
      <c r="AL329" s="158"/>
      <c r="AM329" s="158"/>
      <c r="AN329" s="158"/>
      <c r="AO329" s="158"/>
      <c r="AP329" s="158"/>
      <c r="AQ329" s="158"/>
      <c r="AR329" s="158"/>
    </row>
    <row r="330" spans="2:44">
      <c r="B330" s="158"/>
      <c r="C330" s="158"/>
      <c r="D330" s="158"/>
      <c r="E330" s="158"/>
      <c r="F330" s="158"/>
      <c r="G330" s="158"/>
      <c r="H330" s="158"/>
      <c r="I330" s="158"/>
      <c r="J330" s="158"/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  <c r="AA330" s="158"/>
      <c r="AB330" s="158"/>
      <c r="AC330" s="158"/>
      <c r="AD330" s="158"/>
      <c r="AE330" s="158"/>
      <c r="AF330" s="158"/>
      <c r="AG330" s="158"/>
      <c r="AH330" s="158"/>
      <c r="AI330" s="158"/>
      <c r="AJ330" s="158"/>
      <c r="AK330" s="158"/>
      <c r="AL330" s="158"/>
      <c r="AM330" s="158"/>
      <c r="AN330" s="158"/>
      <c r="AO330" s="158"/>
      <c r="AP330" s="158"/>
      <c r="AQ330" s="158"/>
      <c r="AR330" s="158"/>
    </row>
    <row r="331" spans="2:44">
      <c r="B331" s="158"/>
      <c r="C331" s="158"/>
      <c r="D331" s="158"/>
      <c r="E331" s="158"/>
      <c r="F331" s="158"/>
      <c r="G331" s="158"/>
      <c r="H331" s="158"/>
      <c r="I331" s="158"/>
      <c r="J331" s="158"/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  <c r="AA331" s="158"/>
      <c r="AB331" s="158"/>
      <c r="AC331" s="158"/>
      <c r="AD331" s="158"/>
      <c r="AE331" s="158"/>
      <c r="AF331" s="158"/>
      <c r="AG331" s="158"/>
      <c r="AH331" s="158"/>
      <c r="AI331" s="158"/>
      <c r="AJ331" s="158"/>
      <c r="AK331" s="158"/>
      <c r="AL331" s="158"/>
      <c r="AM331" s="158"/>
      <c r="AN331" s="158"/>
      <c r="AO331" s="158"/>
      <c r="AP331" s="158"/>
      <c r="AQ331" s="158"/>
      <c r="AR331" s="158"/>
    </row>
    <row r="332" spans="2:44">
      <c r="B332" s="158"/>
      <c r="C332" s="158"/>
      <c r="D332" s="158"/>
      <c r="E332" s="158"/>
      <c r="F332" s="158"/>
      <c r="G332" s="158"/>
      <c r="H332" s="158"/>
      <c r="I332" s="158"/>
      <c r="J332" s="158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  <c r="AA332" s="158"/>
      <c r="AB332" s="158"/>
      <c r="AC332" s="158"/>
      <c r="AD332" s="158"/>
      <c r="AE332" s="158"/>
      <c r="AF332" s="158"/>
      <c r="AG332" s="158"/>
      <c r="AH332" s="158"/>
      <c r="AI332" s="158"/>
      <c r="AJ332" s="158"/>
      <c r="AK332" s="158"/>
      <c r="AL332" s="158"/>
      <c r="AM332" s="158"/>
      <c r="AN332" s="158"/>
      <c r="AO332" s="158"/>
      <c r="AP332" s="158"/>
      <c r="AQ332" s="158"/>
      <c r="AR332" s="158"/>
    </row>
    <row r="333" spans="2:44">
      <c r="B333" s="158"/>
      <c r="C333" s="158"/>
      <c r="D333" s="158"/>
      <c r="E333" s="158"/>
      <c r="F333" s="158"/>
      <c r="G333" s="158"/>
      <c r="H333" s="158"/>
      <c r="I333" s="158"/>
      <c r="J333" s="158"/>
      <c r="K333" s="158"/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  <c r="AA333" s="158"/>
      <c r="AB333" s="158"/>
      <c r="AC333" s="158"/>
      <c r="AD333" s="158"/>
      <c r="AE333" s="158"/>
      <c r="AF333" s="158"/>
      <c r="AG333" s="158"/>
      <c r="AH333" s="158"/>
      <c r="AI333" s="158"/>
      <c r="AJ333" s="158"/>
      <c r="AK333" s="158"/>
      <c r="AL333" s="158"/>
      <c r="AM333" s="158"/>
      <c r="AN333" s="158"/>
      <c r="AO333" s="158"/>
      <c r="AP333" s="158"/>
      <c r="AQ333" s="158"/>
      <c r="AR333" s="158"/>
    </row>
    <row r="334" spans="2:44">
      <c r="B334" s="158"/>
      <c r="C334" s="158"/>
      <c r="D334" s="158"/>
      <c r="E334" s="158"/>
      <c r="F334" s="158"/>
      <c r="G334" s="158"/>
      <c r="H334" s="158"/>
      <c r="I334" s="158"/>
      <c r="J334" s="158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  <c r="AA334" s="158"/>
      <c r="AB334" s="158"/>
      <c r="AC334" s="158"/>
      <c r="AD334" s="158"/>
      <c r="AE334" s="158"/>
      <c r="AF334" s="158"/>
      <c r="AG334" s="158"/>
      <c r="AH334" s="158"/>
      <c r="AI334" s="158"/>
      <c r="AJ334" s="158"/>
      <c r="AK334" s="158"/>
      <c r="AL334" s="158"/>
      <c r="AM334" s="158"/>
      <c r="AN334" s="158"/>
      <c r="AO334" s="158"/>
      <c r="AP334" s="158"/>
      <c r="AQ334" s="158"/>
      <c r="AR334" s="158"/>
    </row>
    <row r="335" spans="2:44">
      <c r="B335" s="158"/>
      <c r="C335" s="158"/>
      <c r="D335" s="158"/>
      <c r="E335" s="158"/>
      <c r="F335" s="158"/>
      <c r="G335" s="158"/>
      <c r="H335" s="158"/>
      <c r="I335" s="158"/>
      <c r="J335" s="158"/>
      <c r="K335" s="158"/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  <c r="AA335" s="158"/>
      <c r="AB335" s="158"/>
      <c r="AC335" s="158"/>
      <c r="AD335" s="158"/>
      <c r="AE335" s="158"/>
      <c r="AF335" s="158"/>
      <c r="AG335" s="158"/>
      <c r="AH335" s="158"/>
      <c r="AI335" s="158"/>
      <c r="AJ335" s="158"/>
      <c r="AK335" s="158"/>
      <c r="AL335" s="158"/>
      <c r="AM335" s="158"/>
      <c r="AN335" s="158"/>
      <c r="AO335" s="158"/>
      <c r="AP335" s="158"/>
      <c r="AQ335" s="158"/>
      <c r="AR335" s="158"/>
    </row>
    <row r="336" spans="2:44">
      <c r="B336" s="158"/>
      <c r="C336" s="158"/>
      <c r="D336" s="158"/>
      <c r="E336" s="158"/>
      <c r="F336" s="158"/>
      <c r="G336" s="158"/>
      <c r="H336" s="158"/>
      <c r="I336" s="158"/>
      <c r="J336" s="158"/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  <c r="AA336" s="158"/>
      <c r="AB336" s="158"/>
      <c r="AC336" s="158"/>
      <c r="AD336" s="158"/>
      <c r="AE336" s="158"/>
      <c r="AF336" s="158"/>
      <c r="AG336" s="158"/>
      <c r="AH336" s="158"/>
      <c r="AI336" s="158"/>
      <c r="AJ336" s="158"/>
      <c r="AK336" s="158"/>
      <c r="AL336" s="158"/>
      <c r="AM336" s="158"/>
      <c r="AN336" s="158"/>
      <c r="AO336" s="158"/>
      <c r="AP336" s="158"/>
      <c r="AQ336" s="158"/>
      <c r="AR336" s="158"/>
    </row>
    <row r="337" spans="2:44">
      <c r="B337" s="158"/>
      <c r="C337" s="158"/>
      <c r="D337" s="158"/>
      <c r="E337" s="158"/>
      <c r="F337" s="158"/>
      <c r="G337" s="158"/>
      <c r="H337" s="158"/>
      <c r="I337" s="158"/>
      <c r="J337" s="158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  <c r="AA337" s="158"/>
      <c r="AB337" s="158"/>
      <c r="AC337" s="158"/>
      <c r="AD337" s="158"/>
      <c r="AE337" s="158"/>
      <c r="AF337" s="158"/>
      <c r="AG337" s="158"/>
      <c r="AH337" s="158"/>
      <c r="AI337" s="158"/>
      <c r="AJ337" s="158"/>
      <c r="AK337" s="158"/>
      <c r="AL337" s="158"/>
      <c r="AM337" s="158"/>
      <c r="AN337" s="158"/>
      <c r="AO337" s="158"/>
      <c r="AP337" s="158"/>
      <c r="AQ337" s="158"/>
      <c r="AR337" s="158"/>
    </row>
    <row r="338" spans="2:44">
      <c r="B338" s="158"/>
      <c r="C338" s="158"/>
      <c r="D338" s="158"/>
      <c r="E338" s="158"/>
      <c r="F338" s="158"/>
      <c r="G338" s="158"/>
      <c r="H338" s="158"/>
      <c r="I338" s="158"/>
      <c r="J338" s="158"/>
      <c r="K338" s="158"/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  <c r="AA338" s="158"/>
      <c r="AB338" s="158"/>
      <c r="AC338" s="158"/>
      <c r="AD338" s="158"/>
      <c r="AE338" s="158"/>
      <c r="AF338" s="158"/>
      <c r="AG338" s="158"/>
      <c r="AH338" s="158"/>
      <c r="AI338" s="158"/>
      <c r="AJ338" s="158"/>
      <c r="AK338" s="158"/>
      <c r="AL338" s="158"/>
      <c r="AM338" s="158"/>
      <c r="AN338" s="158"/>
      <c r="AO338" s="158"/>
      <c r="AP338" s="158"/>
      <c r="AQ338" s="158"/>
      <c r="AR338" s="158"/>
    </row>
    <row r="339" spans="2:44">
      <c r="B339" s="158"/>
      <c r="C339" s="158"/>
      <c r="D339" s="158"/>
      <c r="E339" s="158"/>
      <c r="F339" s="158"/>
      <c r="G339" s="158"/>
      <c r="H339" s="158"/>
      <c r="I339" s="158"/>
      <c r="J339" s="158"/>
      <c r="K339" s="158"/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  <c r="AA339" s="158"/>
      <c r="AB339" s="158"/>
      <c r="AC339" s="158"/>
      <c r="AD339" s="158"/>
      <c r="AE339" s="158"/>
      <c r="AF339" s="158"/>
      <c r="AG339" s="158"/>
      <c r="AH339" s="158"/>
      <c r="AI339" s="158"/>
      <c r="AJ339" s="158"/>
      <c r="AK339" s="158"/>
      <c r="AL339" s="158"/>
      <c r="AM339" s="158"/>
      <c r="AN339" s="158"/>
      <c r="AO339" s="158"/>
      <c r="AP339" s="158"/>
      <c r="AQ339" s="158"/>
      <c r="AR339" s="158"/>
    </row>
    <row r="340" spans="2:44">
      <c r="B340" s="158"/>
      <c r="C340" s="158"/>
      <c r="D340" s="158"/>
      <c r="E340" s="158"/>
      <c r="F340" s="158"/>
      <c r="G340" s="158"/>
      <c r="H340" s="158"/>
      <c r="I340" s="158"/>
      <c r="J340" s="158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  <c r="AA340" s="158"/>
      <c r="AB340" s="158"/>
      <c r="AC340" s="158"/>
      <c r="AD340" s="158"/>
      <c r="AE340" s="158"/>
      <c r="AF340" s="158"/>
      <c r="AG340" s="158"/>
      <c r="AH340" s="158"/>
      <c r="AI340" s="158"/>
      <c r="AJ340" s="158"/>
      <c r="AK340" s="158"/>
      <c r="AL340" s="158"/>
      <c r="AM340" s="158"/>
      <c r="AN340" s="158"/>
      <c r="AO340" s="158"/>
      <c r="AP340" s="158"/>
      <c r="AQ340" s="158"/>
      <c r="AR340" s="158"/>
    </row>
    <row r="341" spans="2:44">
      <c r="B341" s="158"/>
      <c r="C341" s="158"/>
      <c r="D341" s="158"/>
      <c r="E341" s="158"/>
      <c r="F341" s="158"/>
      <c r="G341" s="158"/>
      <c r="H341" s="158"/>
      <c r="I341" s="158"/>
      <c r="J341" s="158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  <c r="AA341" s="158"/>
      <c r="AB341" s="158"/>
      <c r="AC341" s="158"/>
      <c r="AD341" s="158"/>
      <c r="AE341" s="158"/>
      <c r="AF341" s="158"/>
      <c r="AG341" s="158"/>
      <c r="AH341" s="158"/>
      <c r="AI341" s="158"/>
      <c r="AJ341" s="158"/>
      <c r="AK341" s="158"/>
      <c r="AL341" s="158"/>
      <c r="AM341" s="158"/>
      <c r="AN341" s="158"/>
      <c r="AO341" s="158"/>
      <c r="AP341" s="158"/>
      <c r="AQ341" s="158"/>
      <c r="AR341" s="158"/>
    </row>
    <row r="342" spans="2:44">
      <c r="B342" s="158"/>
      <c r="C342" s="158"/>
      <c r="D342" s="158"/>
      <c r="E342" s="158"/>
      <c r="F342" s="158"/>
      <c r="G342" s="158"/>
      <c r="H342" s="158"/>
      <c r="I342" s="158"/>
      <c r="J342" s="158"/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  <c r="AA342" s="158"/>
      <c r="AB342" s="158"/>
      <c r="AC342" s="158"/>
      <c r="AD342" s="158"/>
      <c r="AE342" s="158"/>
      <c r="AF342" s="158"/>
      <c r="AG342" s="158"/>
      <c r="AH342" s="158"/>
      <c r="AI342" s="158"/>
      <c r="AJ342" s="158"/>
      <c r="AK342" s="158"/>
      <c r="AL342" s="158"/>
      <c r="AM342" s="158"/>
      <c r="AN342" s="158"/>
      <c r="AO342" s="158"/>
      <c r="AP342" s="158"/>
      <c r="AQ342" s="158"/>
      <c r="AR342" s="158"/>
    </row>
    <row r="343" spans="2:44">
      <c r="B343" s="158"/>
      <c r="C343" s="158"/>
      <c r="D343" s="158"/>
      <c r="E343" s="158"/>
      <c r="F343" s="158"/>
      <c r="G343" s="158"/>
      <c r="H343" s="158"/>
      <c r="I343" s="158"/>
      <c r="J343" s="158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  <c r="AA343" s="158"/>
      <c r="AB343" s="158"/>
      <c r="AC343" s="158"/>
      <c r="AD343" s="158"/>
      <c r="AE343" s="158"/>
      <c r="AF343" s="158"/>
      <c r="AG343" s="158"/>
      <c r="AH343" s="158"/>
      <c r="AI343" s="158"/>
      <c r="AJ343" s="158"/>
      <c r="AK343" s="158"/>
      <c r="AL343" s="158"/>
      <c r="AM343" s="158"/>
      <c r="AN343" s="158"/>
      <c r="AO343" s="158"/>
      <c r="AP343" s="158"/>
      <c r="AQ343" s="158"/>
      <c r="AR343" s="158"/>
    </row>
    <row r="344" spans="2:44">
      <c r="B344" s="158"/>
      <c r="C344" s="158"/>
      <c r="D344" s="158"/>
      <c r="E344" s="158"/>
      <c r="F344" s="158"/>
      <c r="G344" s="158"/>
      <c r="H344" s="158"/>
      <c r="I344" s="158"/>
      <c r="J344" s="158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  <c r="AA344" s="158"/>
      <c r="AB344" s="158"/>
      <c r="AC344" s="158"/>
      <c r="AD344" s="158"/>
      <c r="AE344" s="158"/>
      <c r="AF344" s="158"/>
      <c r="AG344" s="158"/>
      <c r="AH344" s="158"/>
      <c r="AI344" s="158"/>
      <c r="AJ344" s="158"/>
      <c r="AK344" s="158"/>
      <c r="AL344" s="158"/>
      <c r="AM344" s="158"/>
      <c r="AN344" s="158"/>
      <c r="AO344" s="158"/>
      <c r="AP344" s="158"/>
      <c r="AQ344" s="158"/>
      <c r="AR344" s="158"/>
    </row>
    <row r="345" spans="2:44">
      <c r="B345" s="158"/>
      <c r="C345" s="158"/>
      <c r="D345" s="158"/>
      <c r="E345" s="158"/>
      <c r="F345" s="158"/>
      <c r="G345" s="158"/>
      <c r="H345" s="158"/>
      <c r="I345" s="158"/>
      <c r="J345" s="158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  <c r="AA345" s="158"/>
      <c r="AB345" s="158"/>
      <c r="AC345" s="158"/>
      <c r="AD345" s="158"/>
      <c r="AE345" s="158"/>
      <c r="AF345" s="158"/>
      <c r="AG345" s="158"/>
      <c r="AH345" s="158"/>
      <c r="AI345" s="158"/>
      <c r="AJ345" s="158"/>
      <c r="AK345" s="158"/>
      <c r="AL345" s="158"/>
      <c r="AM345" s="158"/>
      <c r="AN345" s="158"/>
      <c r="AO345" s="158"/>
      <c r="AP345" s="158"/>
      <c r="AQ345" s="158"/>
      <c r="AR345" s="158"/>
    </row>
    <row r="346" spans="2:44">
      <c r="B346" s="158"/>
      <c r="C346" s="158"/>
      <c r="D346" s="158"/>
      <c r="E346" s="158"/>
      <c r="F346" s="158"/>
      <c r="G346" s="158"/>
      <c r="H346" s="158"/>
      <c r="I346" s="158"/>
      <c r="J346" s="158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  <c r="AA346" s="158"/>
      <c r="AB346" s="158"/>
      <c r="AC346" s="158"/>
      <c r="AD346" s="158"/>
      <c r="AE346" s="158"/>
      <c r="AF346" s="158"/>
      <c r="AG346" s="158"/>
      <c r="AH346" s="158"/>
      <c r="AI346" s="158"/>
      <c r="AJ346" s="158"/>
      <c r="AK346" s="158"/>
      <c r="AL346" s="158"/>
      <c r="AM346" s="158"/>
      <c r="AN346" s="158"/>
      <c r="AO346" s="158"/>
      <c r="AP346" s="158"/>
      <c r="AQ346" s="158"/>
      <c r="AR346" s="158"/>
    </row>
    <row r="347" spans="2:44">
      <c r="B347" s="158"/>
      <c r="C347" s="158"/>
      <c r="D347" s="158"/>
      <c r="E347" s="158"/>
      <c r="F347" s="158"/>
      <c r="G347" s="158"/>
      <c r="H347" s="158"/>
      <c r="I347" s="158"/>
      <c r="J347" s="158"/>
      <c r="K347" s="158"/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  <c r="AA347" s="158"/>
      <c r="AB347" s="158"/>
      <c r="AC347" s="158"/>
      <c r="AD347" s="158"/>
      <c r="AE347" s="158"/>
      <c r="AF347" s="158"/>
      <c r="AG347" s="158"/>
      <c r="AH347" s="158"/>
      <c r="AI347" s="158"/>
      <c r="AJ347" s="158"/>
      <c r="AK347" s="158"/>
      <c r="AL347" s="158"/>
      <c r="AM347" s="158"/>
      <c r="AN347" s="158"/>
      <c r="AO347" s="158"/>
      <c r="AP347" s="158"/>
      <c r="AQ347" s="158"/>
      <c r="AR347" s="158"/>
    </row>
    <row r="348" spans="2:44">
      <c r="B348" s="158"/>
      <c r="C348" s="158"/>
      <c r="D348" s="158"/>
      <c r="E348" s="158"/>
      <c r="F348" s="158"/>
      <c r="G348" s="158"/>
      <c r="H348" s="158"/>
      <c r="I348" s="158"/>
      <c r="J348" s="158"/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  <c r="AA348" s="158"/>
      <c r="AB348" s="158"/>
      <c r="AC348" s="158"/>
      <c r="AD348" s="158"/>
      <c r="AE348" s="158"/>
      <c r="AF348" s="158"/>
      <c r="AG348" s="158"/>
      <c r="AH348" s="158"/>
      <c r="AI348" s="158"/>
      <c r="AJ348" s="158"/>
      <c r="AK348" s="158"/>
      <c r="AL348" s="158"/>
      <c r="AM348" s="158"/>
      <c r="AN348" s="158"/>
      <c r="AO348" s="158"/>
      <c r="AP348" s="158"/>
      <c r="AQ348" s="158"/>
      <c r="AR348" s="158"/>
    </row>
    <row r="349" spans="2:44">
      <c r="B349" s="158"/>
      <c r="C349" s="158"/>
      <c r="D349" s="158"/>
      <c r="E349" s="158"/>
      <c r="F349" s="158"/>
      <c r="G349" s="158"/>
      <c r="H349" s="158"/>
      <c r="I349" s="158"/>
      <c r="J349" s="158"/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  <c r="AA349" s="158"/>
      <c r="AB349" s="158"/>
      <c r="AC349" s="158"/>
      <c r="AD349" s="158"/>
      <c r="AE349" s="158"/>
      <c r="AF349" s="158"/>
      <c r="AG349" s="158"/>
      <c r="AH349" s="158"/>
      <c r="AI349" s="158"/>
      <c r="AJ349" s="158"/>
      <c r="AK349" s="158"/>
      <c r="AL349" s="158"/>
      <c r="AM349" s="158"/>
      <c r="AN349" s="158"/>
      <c r="AO349" s="158"/>
      <c r="AP349" s="158"/>
      <c r="AQ349" s="158"/>
      <c r="AR349" s="158"/>
    </row>
    <row r="350" spans="2:44">
      <c r="B350" s="158"/>
      <c r="C350" s="158"/>
      <c r="D350" s="158"/>
      <c r="E350" s="158"/>
      <c r="F350" s="158"/>
      <c r="G350" s="158"/>
      <c r="H350" s="158"/>
      <c r="I350" s="158"/>
      <c r="J350" s="158"/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  <c r="AA350" s="158"/>
      <c r="AB350" s="158"/>
      <c r="AC350" s="158"/>
      <c r="AD350" s="158"/>
      <c r="AE350" s="158"/>
      <c r="AF350" s="158"/>
      <c r="AG350" s="158"/>
      <c r="AH350" s="158"/>
      <c r="AI350" s="158"/>
      <c r="AJ350" s="158"/>
      <c r="AK350" s="158"/>
      <c r="AL350" s="158"/>
      <c r="AM350" s="158"/>
      <c r="AN350" s="158"/>
      <c r="AO350" s="158"/>
      <c r="AP350" s="158"/>
      <c r="AQ350" s="158"/>
      <c r="AR350" s="158"/>
    </row>
    <row r="351" spans="2:44">
      <c r="B351" s="158"/>
      <c r="C351" s="158"/>
      <c r="D351" s="158"/>
      <c r="E351" s="158"/>
      <c r="F351" s="158"/>
      <c r="G351" s="158"/>
      <c r="H351" s="158"/>
      <c r="I351" s="158"/>
      <c r="J351" s="158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  <c r="AA351" s="158"/>
      <c r="AB351" s="158"/>
      <c r="AC351" s="158"/>
      <c r="AD351" s="158"/>
      <c r="AE351" s="158"/>
      <c r="AF351" s="158"/>
      <c r="AG351" s="158"/>
      <c r="AH351" s="158"/>
      <c r="AI351" s="158"/>
      <c r="AJ351" s="158"/>
      <c r="AK351" s="158"/>
      <c r="AL351" s="158"/>
      <c r="AM351" s="158"/>
      <c r="AN351" s="158"/>
      <c r="AO351" s="158"/>
      <c r="AP351" s="158"/>
      <c r="AQ351" s="158"/>
      <c r="AR351" s="158"/>
    </row>
    <row r="352" spans="2:44">
      <c r="B352" s="158"/>
      <c r="C352" s="158"/>
      <c r="D352" s="158"/>
      <c r="E352" s="158"/>
      <c r="F352" s="158"/>
      <c r="G352" s="158"/>
      <c r="H352" s="158"/>
      <c r="I352" s="158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  <c r="AA352" s="158"/>
      <c r="AB352" s="158"/>
      <c r="AC352" s="158"/>
      <c r="AD352" s="158"/>
      <c r="AE352" s="158"/>
      <c r="AF352" s="158"/>
      <c r="AG352" s="158"/>
      <c r="AH352" s="158"/>
      <c r="AI352" s="158"/>
      <c r="AJ352" s="158"/>
      <c r="AK352" s="158"/>
      <c r="AL352" s="158"/>
      <c r="AM352" s="158"/>
      <c r="AN352" s="158"/>
      <c r="AO352" s="158"/>
      <c r="AP352" s="158"/>
      <c r="AQ352" s="158"/>
      <c r="AR352" s="158"/>
    </row>
    <row r="353" spans="2:44">
      <c r="B353" s="158"/>
      <c r="C353" s="158"/>
      <c r="D353" s="158"/>
      <c r="E353" s="158"/>
      <c r="F353" s="158"/>
      <c r="G353" s="158"/>
      <c r="H353" s="158"/>
      <c r="I353" s="158"/>
      <c r="J353" s="158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  <c r="AA353" s="158"/>
      <c r="AB353" s="158"/>
      <c r="AC353" s="158"/>
      <c r="AD353" s="158"/>
      <c r="AE353" s="158"/>
      <c r="AF353" s="158"/>
      <c r="AG353" s="158"/>
      <c r="AH353" s="158"/>
      <c r="AI353" s="158"/>
      <c r="AJ353" s="158"/>
      <c r="AK353" s="158"/>
      <c r="AL353" s="158"/>
      <c r="AM353" s="158"/>
      <c r="AN353" s="158"/>
      <c r="AO353" s="158"/>
      <c r="AP353" s="158"/>
      <c r="AQ353" s="158"/>
      <c r="AR353" s="158"/>
    </row>
    <row r="354" spans="2:44">
      <c r="B354" s="158"/>
      <c r="C354" s="158"/>
      <c r="D354" s="158"/>
      <c r="E354" s="158"/>
      <c r="F354" s="158"/>
      <c r="G354" s="158"/>
      <c r="H354" s="158"/>
      <c r="I354" s="158"/>
      <c r="J354" s="158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  <c r="AA354" s="158"/>
      <c r="AB354" s="158"/>
      <c r="AC354" s="158"/>
      <c r="AD354" s="158"/>
      <c r="AE354" s="158"/>
      <c r="AF354" s="158"/>
      <c r="AG354" s="158"/>
      <c r="AH354" s="158"/>
      <c r="AI354" s="158"/>
      <c r="AJ354" s="158"/>
      <c r="AK354" s="158"/>
      <c r="AL354" s="158"/>
      <c r="AM354" s="158"/>
      <c r="AN354" s="158"/>
      <c r="AO354" s="158"/>
      <c r="AP354" s="158"/>
      <c r="AQ354" s="158"/>
      <c r="AR354" s="158"/>
    </row>
    <row r="355" spans="2:44">
      <c r="B355" s="158"/>
      <c r="C355" s="158"/>
      <c r="D355" s="158"/>
      <c r="E355" s="158"/>
      <c r="F355" s="158"/>
      <c r="G355" s="158"/>
      <c r="H355" s="158"/>
      <c r="I355" s="158"/>
      <c r="J355" s="158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  <c r="Z355" s="158"/>
      <c r="AA355" s="158"/>
      <c r="AB355" s="158"/>
      <c r="AC355" s="158"/>
      <c r="AD355" s="158"/>
      <c r="AE355" s="158"/>
      <c r="AF355" s="158"/>
      <c r="AG355" s="158"/>
      <c r="AH355" s="158"/>
      <c r="AI355" s="158"/>
      <c r="AJ355" s="158"/>
      <c r="AK355" s="158"/>
      <c r="AL355" s="158"/>
      <c r="AM355" s="158"/>
      <c r="AN355" s="158"/>
      <c r="AO355" s="158"/>
      <c r="AP355" s="158"/>
      <c r="AQ355" s="158"/>
      <c r="AR355" s="158"/>
    </row>
    <row r="356" spans="2:44">
      <c r="B356" s="158"/>
      <c r="C356" s="158"/>
      <c r="D356" s="158"/>
      <c r="E356" s="158"/>
      <c r="F356" s="158"/>
      <c r="G356" s="158"/>
      <c r="H356" s="158"/>
      <c r="I356" s="158"/>
      <c r="J356" s="158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  <c r="Z356" s="158"/>
      <c r="AA356" s="158"/>
      <c r="AB356" s="158"/>
      <c r="AC356" s="158"/>
      <c r="AD356" s="158"/>
      <c r="AE356" s="158"/>
      <c r="AF356" s="158"/>
      <c r="AG356" s="158"/>
      <c r="AH356" s="158"/>
      <c r="AI356" s="158"/>
      <c r="AJ356" s="158"/>
      <c r="AK356" s="158"/>
      <c r="AL356" s="158"/>
      <c r="AM356" s="158"/>
      <c r="AN356" s="158"/>
      <c r="AO356" s="158"/>
      <c r="AP356" s="158"/>
      <c r="AQ356" s="158"/>
      <c r="AR356" s="158"/>
    </row>
    <row r="357" spans="2:44">
      <c r="B357" s="158"/>
      <c r="C357" s="158"/>
      <c r="D357" s="158"/>
      <c r="E357" s="158"/>
      <c r="F357" s="158"/>
      <c r="G357" s="158"/>
      <c r="H357" s="158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  <c r="AA357" s="158"/>
      <c r="AB357" s="158"/>
      <c r="AC357" s="158"/>
      <c r="AD357" s="158"/>
      <c r="AE357" s="158"/>
      <c r="AF357" s="158"/>
      <c r="AG357" s="158"/>
      <c r="AH357" s="158"/>
      <c r="AI357" s="158"/>
      <c r="AJ357" s="158"/>
      <c r="AK357" s="158"/>
      <c r="AL357" s="158"/>
      <c r="AM357" s="158"/>
      <c r="AN357" s="158"/>
      <c r="AO357" s="158"/>
      <c r="AP357" s="158"/>
      <c r="AQ357" s="158"/>
      <c r="AR357" s="158"/>
    </row>
    <row r="358" spans="2:44">
      <c r="B358" s="158"/>
      <c r="C358" s="158"/>
      <c r="D358" s="158"/>
      <c r="E358" s="158"/>
      <c r="F358" s="158"/>
      <c r="G358" s="158"/>
      <c r="H358" s="158"/>
      <c r="I358" s="158"/>
      <c r="J358" s="158"/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  <c r="Z358" s="158"/>
      <c r="AA358" s="158"/>
      <c r="AB358" s="158"/>
      <c r="AC358" s="158"/>
      <c r="AD358" s="158"/>
      <c r="AE358" s="158"/>
      <c r="AF358" s="158"/>
      <c r="AG358" s="158"/>
      <c r="AH358" s="158"/>
      <c r="AI358" s="158"/>
      <c r="AJ358" s="158"/>
      <c r="AK358" s="158"/>
      <c r="AL358" s="158"/>
      <c r="AM358" s="158"/>
      <c r="AN358" s="158"/>
      <c r="AO358" s="158"/>
      <c r="AP358" s="158"/>
      <c r="AQ358" s="158"/>
      <c r="AR358" s="158"/>
    </row>
    <row r="359" spans="2:44">
      <c r="B359" s="158"/>
      <c r="C359" s="158"/>
      <c r="D359" s="158"/>
      <c r="E359" s="158"/>
      <c r="F359" s="158"/>
      <c r="G359" s="158"/>
      <c r="H359" s="158"/>
      <c r="I359" s="158"/>
      <c r="J359" s="158"/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  <c r="Z359" s="158"/>
      <c r="AA359" s="158"/>
      <c r="AB359" s="158"/>
      <c r="AC359" s="158"/>
      <c r="AD359" s="158"/>
      <c r="AE359" s="158"/>
      <c r="AF359" s="158"/>
      <c r="AG359" s="158"/>
      <c r="AH359" s="158"/>
      <c r="AI359" s="158"/>
      <c r="AJ359" s="158"/>
      <c r="AK359" s="158"/>
      <c r="AL359" s="158"/>
      <c r="AM359" s="158"/>
      <c r="AN359" s="158"/>
      <c r="AO359" s="158"/>
      <c r="AP359" s="158"/>
      <c r="AQ359" s="158"/>
      <c r="AR359" s="158"/>
    </row>
    <row r="360" spans="2:44">
      <c r="B360" s="158"/>
      <c r="C360" s="158"/>
      <c r="D360" s="158"/>
      <c r="E360" s="158"/>
      <c r="F360" s="158"/>
      <c r="G360" s="158"/>
      <c r="H360" s="158"/>
      <c r="I360" s="158"/>
      <c r="J360" s="158"/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  <c r="Z360" s="158"/>
      <c r="AA360" s="158"/>
      <c r="AB360" s="158"/>
      <c r="AC360" s="158"/>
      <c r="AD360" s="158"/>
      <c r="AE360" s="158"/>
      <c r="AF360" s="158"/>
      <c r="AG360" s="158"/>
      <c r="AH360" s="158"/>
      <c r="AI360" s="158"/>
      <c r="AJ360" s="158"/>
      <c r="AK360" s="158"/>
      <c r="AL360" s="158"/>
      <c r="AM360" s="158"/>
      <c r="AN360" s="158"/>
      <c r="AO360" s="158"/>
      <c r="AP360" s="158"/>
      <c r="AQ360" s="158"/>
      <c r="AR360" s="158"/>
    </row>
    <row r="361" spans="2:44">
      <c r="B361" s="158"/>
      <c r="C361" s="158"/>
      <c r="D361" s="158"/>
      <c r="E361" s="158"/>
      <c r="F361" s="158"/>
      <c r="G361" s="158"/>
      <c r="H361" s="158"/>
      <c r="I361" s="158"/>
      <c r="J361" s="158"/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  <c r="Z361" s="158"/>
      <c r="AA361" s="158"/>
      <c r="AB361" s="158"/>
      <c r="AC361" s="158"/>
      <c r="AD361" s="158"/>
      <c r="AE361" s="158"/>
      <c r="AF361" s="158"/>
      <c r="AG361" s="158"/>
      <c r="AH361" s="158"/>
      <c r="AI361" s="158"/>
      <c r="AJ361" s="158"/>
      <c r="AK361" s="158"/>
      <c r="AL361" s="158"/>
      <c r="AM361" s="158"/>
      <c r="AN361" s="158"/>
      <c r="AO361" s="158"/>
      <c r="AP361" s="158"/>
      <c r="AQ361" s="158"/>
      <c r="AR361" s="158"/>
    </row>
    <row r="362" spans="2:44">
      <c r="B362" s="158"/>
      <c r="C362" s="158"/>
      <c r="D362" s="158"/>
      <c r="E362" s="158"/>
      <c r="F362" s="158"/>
      <c r="G362" s="158"/>
      <c r="H362" s="158"/>
      <c r="I362" s="158"/>
      <c r="J362" s="158"/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  <c r="Z362" s="158"/>
      <c r="AA362" s="158"/>
      <c r="AB362" s="158"/>
      <c r="AC362" s="158"/>
      <c r="AD362" s="158"/>
      <c r="AE362" s="158"/>
      <c r="AF362" s="158"/>
      <c r="AG362" s="158"/>
      <c r="AH362" s="158"/>
      <c r="AI362" s="158"/>
      <c r="AJ362" s="158"/>
      <c r="AK362" s="158"/>
      <c r="AL362" s="158"/>
      <c r="AM362" s="158"/>
      <c r="AN362" s="158"/>
      <c r="AO362" s="158"/>
      <c r="AP362" s="158"/>
      <c r="AQ362" s="158"/>
      <c r="AR362" s="158"/>
    </row>
    <row r="363" spans="2:44">
      <c r="B363" s="158"/>
      <c r="C363" s="158"/>
      <c r="D363" s="158"/>
      <c r="E363" s="158"/>
      <c r="F363" s="158"/>
      <c r="G363" s="158"/>
      <c r="H363" s="158"/>
      <c r="I363" s="158"/>
      <c r="J363" s="158"/>
      <c r="K363" s="158"/>
      <c r="L363" s="15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  <c r="Z363" s="158"/>
      <c r="AA363" s="158"/>
      <c r="AB363" s="158"/>
      <c r="AC363" s="158"/>
      <c r="AD363" s="158"/>
      <c r="AE363" s="158"/>
      <c r="AF363" s="158"/>
      <c r="AG363" s="158"/>
      <c r="AH363" s="158"/>
      <c r="AI363" s="158"/>
      <c r="AJ363" s="158"/>
      <c r="AK363" s="158"/>
      <c r="AL363" s="158"/>
      <c r="AM363" s="158"/>
      <c r="AN363" s="158"/>
      <c r="AO363" s="158"/>
      <c r="AP363" s="158"/>
      <c r="AQ363" s="158"/>
      <c r="AR363" s="158"/>
    </row>
    <row r="364" spans="2:44">
      <c r="B364" s="158"/>
      <c r="C364" s="158"/>
      <c r="D364" s="158"/>
      <c r="E364" s="158"/>
      <c r="F364" s="158"/>
      <c r="G364" s="158"/>
      <c r="H364" s="158"/>
      <c r="I364" s="158"/>
      <c r="J364" s="158"/>
      <c r="K364" s="158"/>
      <c r="L364" s="15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  <c r="Z364" s="158"/>
      <c r="AA364" s="158"/>
      <c r="AB364" s="158"/>
      <c r="AC364" s="158"/>
      <c r="AD364" s="158"/>
      <c r="AE364" s="158"/>
      <c r="AF364" s="158"/>
      <c r="AG364" s="158"/>
      <c r="AH364" s="158"/>
      <c r="AI364" s="158"/>
      <c r="AJ364" s="158"/>
      <c r="AK364" s="158"/>
      <c r="AL364" s="158"/>
      <c r="AM364" s="158"/>
      <c r="AN364" s="158"/>
      <c r="AO364" s="158"/>
      <c r="AP364" s="158"/>
      <c r="AQ364" s="158"/>
      <c r="AR364" s="158"/>
    </row>
    <row r="365" spans="2:44">
      <c r="B365" s="158"/>
      <c r="C365" s="158"/>
      <c r="D365" s="158"/>
      <c r="E365" s="158"/>
      <c r="F365" s="158"/>
      <c r="G365" s="158"/>
      <c r="H365" s="158"/>
      <c r="I365" s="158"/>
      <c r="J365" s="158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  <c r="Z365" s="158"/>
      <c r="AA365" s="158"/>
      <c r="AB365" s="158"/>
      <c r="AC365" s="158"/>
      <c r="AD365" s="158"/>
      <c r="AE365" s="158"/>
      <c r="AF365" s="158"/>
      <c r="AG365" s="158"/>
      <c r="AH365" s="158"/>
      <c r="AI365" s="158"/>
      <c r="AJ365" s="158"/>
      <c r="AK365" s="158"/>
      <c r="AL365" s="158"/>
      <c r="AM365" s="158"/>
      <c r="AN365" s="158"/>
      <c r="AO365" s="158"/>
      <c r="AP365" s="158"/>
      <c r="AQ365" s="158"/>
      <c r="AR365" s="158"/>
    </row>
    <row r="366" spans="2:44">
      <c r="B366" s="158"/>
      <c r="C366" s="158"/>
      <c r="D366" s="158"/>
      <c r="E366" s="158"/>
      <c r="F366" s="158"/>
      <c r="G366" s="158"/>
      <c r="H366" s="158"/>
      <c r="I366" s="158"/>
      <c r="J366" s="158"/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  <c r="Z366" s="158"/>
      <c r="AA366" s="158"/>
      <c r="AB366" s="158"/>
      <c r="AC366" s="158"/>
      <c r="AD366" s="158"/>
      <c r="AE366" s="158"/>
      <c r="AF366" s="158"/>
      <c r="AG366" s="158"/>
      <c r="AH366" s="158"/>
      <c r="AI366" s="158"/>
      <c r="AJ366" s="158"/>
      <c r="AK366" s="158"/>
      <c r="AL366" s="158"/>
      <c r="AM366" s="158"/>
      <c r="AN366" s="158"/>
      <c r="AO366" s="158"/>
      <c r="AP366" s="158"/>
      <c r="AQ366" s="158"/>
      <c r="AR366" s="158"/>
    </row>
    <row r="367" spans="2:44">
      <c r="B367" s="158"/>
      <c r="C367" s="158"/>
      <c r="D367" s="158"/>
      <c r="E367" s="158"/>
      <c r="F367" s="158"/>
      <c r="G367" s="158"/>
      <c r="H367" s="158"/>
      <c r="I367" s="158"/>
      <c r="J367" s="158"/>
      <c r="K367" s="158"/>
      <c r="L367" s="15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  <c r="Z367" s="158"/>
      <c r="AA367" s="158"/>
      <c r="AB367" s="158"/>
      <c r="AC367" s="158"/>
      <c r="AD367" s="158"/>
      <c r="AE367" s="158"/>
      <c r="AF367" s="158"/>
      <c r="AG367" s="158"/>
      <c r="AH367" s="158"/>
      <c r="AI367" s="158"/>
      <c r="AJ367" s="158"/>
      <c r="AK367" s="158"/>
      <c r="AL367" s="158"/>
      <c r="AM367" s="158"/>
      <c r="AN367" s="158"/>
      <c r="AO367" s="158"/>
      <c r="AP367" s="158"/>
      <c r="AQ367" s="158"/>
      <c r="AR367" s="158"/>
    </row>
    <row r="368" spans="2:44">
      <c r="B368" s="158"/>
      <c r="C368" s="158"/>
      <c r="D368" s="158"/>
      <c r="E368" s="158"/>
      <c r="F368" s="158"/>
      <c r="G368" s="158"/>
      <c r="H368" s="158"/>
      <c r="I368" s="158"/>
      <c r="J368" s="158"/>
      <c r="K368" s="158"/>
      <c r="L368" s="15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  <c r="Z368" s="158"/>
      <c r="AA368" s="158"/>
      <c r="AB368" s="158"/>
      <c r="AC368" s="158"/>
      <c r="AD368" s="158"/>
      <c r="AE368" s="158"/>
      <c r="AF368" s="158"/>
      <c r="AG368" s="158"/>
      <c r="AH368" s="158"/>
      <c r="AI368" s="158"/>
      <c r="AJ368" s="158"/>
      <c r="AK368" s="158"/>
      <c r="AL368" s="158"/>
      <c r="AM368" s="158"/>
      <c r="AN368" s="158"/>
      <c r="AO368" s="158"/>
      <c r="AP368" s="158"/>
      <c r="AQ368" s="158"/>
      <c r="AR368" s="158"/>
    </row>
    <row r="369" spans="2:44">
      <c r="B369" s="158"/>
      <c r="C369" s="158"/>
      <c r="D369" s="158"/>
      <c r="E369" s="158"/>
      <c r="F369" s="158"/>
      <c r="G369" s="158"/>
      <c r="H369" s="158"/>
      <c r="I369" s="158"/>
      <c r="J369" s="158"/>
      <c r="K369" s="158"/>
      <c r="L369" s="15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  <c r="Z369" s="158"/>
      <c r="AA369" s="158"/>
      <c r="AB369" s="158"/>
      <c r="AC369" s="158"/>
      <c r="AD369" s="158"/>
      <c r="AE369" s="158"/>
      <c r="AF369" s="158"/>
      <c r="AG369" s="158"/>
      <c r="AH369" s="158"/>
      <c r="AI369" s="158"/>
      <c r="AJ369" s="158"/>
      <c r="AK369" s="158"/>
      <c r="AL369" s="158"/>
      <c r="AM369" s="158"/>
      <c r="AN369" s="158"/>
      <c r="AO369" s="158"/>
      <c r="AP369" s="158"/>
      <c r="AQ369" s="158"/>
      <c r="AR369" s="158"/>
    </row>
    <row r="370" spans="2:44">
      <c r="B370" s="158"/>
      <c r="C370" s="158"/>
      <c r="D370" s="158"/>
      <c r="E370" s="158"/>
      <c r="F370" s="158"/>
      <c r="G370" s="158"/>
      <c r="H370" s="158"/>
      <c r="I370" s="158"/>
      <c r="J370" s="158"/>
      <c r="K370" s="158"/>
      <c r="L370" s="15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  <c r="Z370" s="158"/>
      <c r="AA370" s="158"/>
      <c r="AB370" s="158"/>
      <c r="AC370" s="158"/>
      <c r="AD370" s="158"/>
      <c r="AE370" s="158"/>
      <c r="AF370" s="158"/>
      <c r="AG370" s="158"/>
      <c r="AH370" s="158"/>
      <c r="AI370" s="158"/>
      <c r="AJ370" s="158"/>
      <c r="AK370" s="158"/>
      <c r="AL370" s="158"/>
      <c r="AM370" s="158"/>
      <c r="AN370" s="158"/>
      <c r="AO370" s="158"/>
      <c r="AP370" s="158"/>
      <c r="AQ370" s="158"/>
      <c r="AR370" s="158"/>
    </row>
    <row r="371" spans="2:44">
      <c r="B371" s="158"/>
      <c r="C371" s="158"/>
      <c r="D371" s="158"/>
      <c r="E371" s="158"/>
      <c r="F371" s="158"/>
      <c r="G371" s="158"/>
      <c r="H371" s="158"/>
      <c r="I371" s="158"/>
      <c r="J371" s="158"/>
      <c r="K371" s="158"/>
      <c r="L371" s="15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  <c r="Z371" s="158"/>
      <c r="AA371" s="158"/>
      <c r="AB371" s="158"/>
      <c r="AC371" s="158"/>
      <c r="AD371" s="158"/>
      <c r="AE371" s="158"/>
      <c r="AF371" s="158"/>
      <c r="AG371" s="158"/>
      <c r="AH371" s="158"/>
      <c r="AI371" s="158"/>
      <c r="AJ371" s="158"/>
      <c r="AK371" s="158"/>
      <c r="AL371" s="158"/>
      <c r="AM371" s="158"/>
      <c r="AN371" s="158"/>
      <c r="AO371" s="158"/>
      <c r="AP371" s="158"/>
      <c r="AQ371" s="158"/>
      <c r="AR371" s="158"/>
    </row>
    <row r="372" spans="2:44">
      <c r="B372" s="158"/>
      <c r="C372" s="158"/>
      <c r="D372" s="158"/>
      <c r="E372" s="158"/>
      <c r="F372" s="158"/>
      <c r="G372" s="158"/>
      <c r="H372" s="158"/>
      <c r="I372" s="158"/>
      <c r="J372" s="158"/>
      <c r="K372" s="158"/>
      <c r="L372" s="15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  <c r="Z372" s="158"/>
      <c r="AA372" s="158"/>
      <c r="AB372" s="158"/>
      <c r="AC372" s="158"/>
      <c r="AD372" s="158"/>
      <c r="AE372" s="158"/>
      <c r="AF372" s="158"/>
      <c r="AG372" s="158"/>
      <c r="AH372" s="158"/>
      <c r="AI372" s="158"/>
      <c r="AJ372" s="158"/>
      <c r="AK372" s="158"/>
      <c r="AL372" s="158"/>
      <c r="AM372" s="158"/>
      <c r="AN372" s="158"/>
      <c r="AO372" s="158"/>
      <c r="AP372" s="158"/>
      <c r="AQ372" s="158"/>
      <c r="AR372" s="158"/>
    </row>
    <row r="373" spans="2:44">
      <c r="B373" s="158"/>
      <c r="C373" s="158"/>
      <c r="D373" s="158"/>
      <c r="E373" s="158"/>
      <c r="F373" s="158"/>
      <c r="G373" s="158"/>
      <c r="H373" s="158"/>
      <c r="I373" s="158"/>
      <c r="J373" s="158"/>
      <c r="K373" s="158"/>
      <c r="L373" s="15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  <c r="Z373" s="158"/>
      <c r="AA373" s="158"/>
      <c r="AB373" s="158"/>
      <c r="AC373" s="158"/>
      <c r="AD373" s="158"/>
      <c r="AE373" s="158"/>
      <c r="AF373" s="158"/>
      <c r="AG373" s="158"/>
      <c r="AH373" s="158"/>
      <c r="AI373" s="158"/>
      <c r="AJ373" s="158"/>
      <c r="AK373" s="158"/>
      <c r="AL373" s="158"/>
      <c r="AM373" s="158"/>
      <c r="AN373" s="158"/>
      <c r="AO373" s="158"/>
      <c r="AP373" s="158"/>
      <c r="AQ373" s="158"/>
      <c r="AR373" s="158"/>
    </row>
    <row r="374" spans="2:44">
      <c r="B374" s="158"/>
      <c r="C374" s="158"/>
      <c r="D374" s="158"/>
      <c r="E374" s="158"/>
      <c r="F374" s="158"/>
      <c r="G374" s="158"/>
      <c r="H374" s="158"/>
      <c r="I374" s="158"/>
      <c r="J374" s="158"/>
      <c r="K374" s="158"/>
      <c r="L374" s="15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  <c r="Z374" s="158"/>
      <c r="AA374" s="158"/>
      <c r="AB374" s="158"/>
      <c r="AC374" s="158"/>
      <c r="AD374" s="158"/>
      <c r="AE374" s="158"/>
      <c r="AF374" s="158"/>
      <c r="AG374" s="158"/>
      <c r="AH374" s="158"/>
      <c r="AI374" s="158"/>
      <c r="AJ374" s="158"/>
      <c r="AK374" s="158"/>
      <c r="AL374" s="158"/>
      <c r="AM374" s="158"/>
      <c r="AN374" s="158"/>
      <c r="AO374" s="158"/>
      <c r="AP374" s="158"/>
      <c r="AQ374" s="158"/>
      <c r="AR374" s="158"/>
    </row>
    <row r="375" spans="2:44">
      <c r="B375" s="158"/>
      <c r="C375" s="158"/>
      <c r="D375" s="158"/>
      <c r="E375" s="158"/>
      <c r="F375" s="158"/>
      <c r="G375" s="158"/>
      <c r="H375" s="158"/>
      <c r="I375" s="158"/>
      <c r="J375" s="158"/>
      <c r="K375" s="158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  <c r="Z375" s="158"/>
      <c r="AA375" s="158"/>
      <c r="AB375" s="158"/>
      <c r="AC375" s="158"/>
      <c r="AD375" s="158"/>
      <c r="AE375" s="158"/>
      <c r="AF375" s="158"/>
      <c r="AG375" s="158"/>
      <c r="AH375" s="158"/>
      <c r="AI375" s="158"/>
      <c r="AJ375" s="158"/>
      <c r="AK375" s="158"/>
      <c r="AL375" s="158"/>
      <c r="AM375" s="158"/>
      <c r="AN375" s="158"/>
      <c r="AO375" s="158"/>
      <c r="AP375" s="158"/>
      <c r="AQ375" s="158"/>
      <c r="AR375" s="158"/>
    </row>
    <row r="376" spans="2:44">
      <c r="B376" s="158"/>
      <c r="C376" s="158"/>
      <c r="D376" s="158"/>
      <c r="E376" s="158"/>
      <c r="F376" s="158"/>
      <c r="G376" s="158"/>
      <c r="H376" s="158"/>
      <c r="I376" s="158"/>
      <c r="J376" s="158"/>
      <c r="K376" s="158"/>
      <c r="L376" s="15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  <c r="Z376" s="158"/>
      <c r="AA376" s="158"/>
      <c r="AB376" s="158"/>
      <c r="AC376" s="158"/>
      <c r="AD376" s="158"/>
      <c r="AE376" s="158"/>
      <c r="AF376" s="158"/>
      <c r="AG376" s="158"/>
      <c r="AH376" s="158"/>
      <c r="AI376" s="158"/>
      <c r="AJ376" s="158"/>
      <c r="AK376" s="158"/>
      <c r="AL376" s="158"/>
      <c r="AM376" s="158"/>
      <c r="AN376" s="158"/>
      <c r="AO376" s="158"/>
      <c r="AP376" s="158"/>
      <c r="AQ376" s="158"/>
      <c r="AR376" s="158"/>
    </row>
    <row r="377" spans="2:44">
      <c r="B377" s="158"/>
      <c r="C377" s="158"/>
      <c r="D377" s="158"/>
      <c r="E377" s="158"/>
      <c r="F377" s="158"/>
      <c r="G377" s="158"/>
      <c r="H377" s="158"/>
      <c r="I377" s="158"/>
      <c r="J377" s="158"/>
      <c r="K377" s="158"/>
      <c r="L377" s="15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  <c r="Z377" s="158"/>
      <c r="AA377" s="158"/>
      <c r="AB377" s="158"/>
      <c r="AC377" s="158"/>
      <c r="AD377" s="158"/>
      <c r="AE377" s="158"/>
      <c r="AF377" s="158"/>
      <c r="AG377" s="158"/>
      <c r="AH377" s="158"/>
      <c r="AI377" s="158"/>
      <c r="AJ377" s="158"/>
      <c r="AK377" s="158"/>
      <c r="AL377" s="158"/>
      <c r="AM377" s="158"/>
      <c r="AN377" s="158"/>
      <c r="AO377" s="158"/>
      <c r="AP377" s="158"/>
      <c r="AQ377" s="158"/>
      <c r="AR377" s="158"/>
    </row>
    <row r="378" spans="2:44">
      <c r="B378" s="158"/>
      <c r="C378" s="158"/>
      <c r="D378" s="158"/>
      <c r="E378" s="158"/>
      <c r="F378" s="158"/>
      <c r="G378" s="158"/>
      <c r="H378" s="158"/>
      <c r="I378" s="158"/>
      <c r="J378" s="158"/>
      <c r="K378" s="158"/>
      <c r="L378" s="15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  <c r="Z378" s="158"/>
      <c r="AA378" s="158"/>
      <c r="AB378" s="158"/>
      <c r="AC378" s="158"/>
      <c r="AD378" s="158"/>
      <c r="AE378" s="158"/>
      <c r="AF378" s="158"/>
      <c r="AG378" s="158"/>
      <c r="AH378" s="158"/>
      <c r="AI378" s="158"/>
      <c r="AJ378" s="158"/>
      <c r="AK378" s="158"/>
      <c r="AL378" s="158"/>
      <c r="AM378" s="158"/>
      <c r="AN378" s="158"/>
      <c r="AO378" s="158"/>
      <c r="AP378" s="158"/>
      <c r="AQ378" s="158"/>
      <c r="AR378" s="158"/>
    </row>
    <row r="379" spans="2:44">
      <c r="B379" s="158"/>
      <c r="C379" s="158"/>
      <c r="D379" s="158"/>
      <c r="E379" s="158"/>
      <c r="F379" s="158"/>
      <c r="G379" s="158"/>
      <c r="H379" s="158"/>
      <c r="I379" s="158"/>
      <c r="J379" s="158"/>
      <c r="K379" s="158"/>
      <c r="L379" s="15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  <c r="Z379" s="158"/>
      <c r="AA379" s="158"/>
      <c r="AB379" s="158"/>
      <c r="AC379" s="158"/>
      <c r="AD379" s="158"/>
      <c r="AE379" s="158"/>
      <c r="AF379" s="158"/>
      <c r="AG379" s="158"/>
      <c r="AH379" s="158"/>
      <c r="AI379" s="158"/>
      <c r="AJ379" s="158"/>
      <c r="AK379" s="158"/>
      <c r="AL379" s="158"/>
      <c r="AM379" s="158"/>
      <c r="AN379" s="158"/>
      <c r="AO379" s="158"/>
      <c r="AP379" s="158"/>
      <c r="AQ379" s="158"/>
      <c r="AR379" s="158"/>
    </row>
    <row r="380" spans="2:44">
      <c r="B380" s="158"/>
      <c r="C380" s="158"/>
      <c r="D380" s="158"/>
      <c r="E380" s="158"/>
      <c r="F380" s="158"/>
      <c r="G380" s="158"/>
      <c r="H380" s="158"/>
      <c r="I380" s="158"/>
      <c r="J380" s="158"/>
      <c r="K380" s="158"/>
      <c r="L380" s="15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  <c r="Z380" s="158"/>
      <c r="AA380" s="158"/>
      <c r="AB380" s="158"/>
      <c r="AC380" s="158"/>
      <c r="AD380" s="158"/>
      <c r="AE380" s="158"/>
      <c r="AF380" s="158"/>
      <c r="AG380" s="158"/>
      <c r="AH380" s="158"/>
      <c r="AI380" s="158"/>
      <c r="AJ380" s="158"/>
      <c r="AK380" s="158"/>
      <c r="AL380" s="158"/>
      <c r="AM380" s="158"/>
      <c r="AN380" s="158"/>
      <c r="AO380" s="158"/>
      <c r="AP380" s="158"/>
      <c r="AQ380" s="158"/>
      <c r="AR380" s="158"/>
    </row>
    <row r="381" spans="2:44"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8"/>
      <c r="AF381" s="158"/>
      <c r="AG381" s="158"/>
      <c r="AH381" s="158"/>
      <c r="AI381" s="158"/>
      <c r="AJ381" s="158"/>
      <c r="AK381" s="158"/>
      <c r="AL381" s="158"/>
      <c r="AM381" s="158"/>
      <c r="AN381" s="158"/>
      <c r="AO381" s="158"/>
      <c r="AP381" s="158"/>
      <c r="AQ381" s="158"/>
      <c r="AR381" s="158"/>
    </row>
    <row r="382" spans="2:44">
      <c r="B382" s="158"/>
      <c r="C382" s="158"/>
      <c r="D382" s="158"/>
      <c r="E382" s="158"/>
      <c r="F382" s="158"/>
      <c r="G382" s="158"/>
      <c r="H382" s="158"/>
      <c r="I382" s="158"/>
      <c r="J382" s="158"/>
      <c r="K382" s="158"/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  <c r="Z382" s="158"/>
      <c r="AA382" s="158"/>
      <c r="AB382" s="158"/>
      <c r="AC382" s="158"/>
      <c r="AD382" s="158"/>
      <c r="AE382" s="158"/>
      <c r="AF382" s="158"/>
      <c r="AG382" s="158"/>
      <c r="AH382" s="158"/>
      <c r="AI382" s="158"/>
      <c r="AJ382" s="158"/>
      <c r="AK382" s="158"/>
      <c r="AL382" s="158"/>
      <c r="AM382" s="158"/>
      <c r="AN382" s="158"/>
      <c r="AO382" s="158"/>
      <c r="AP382" s="158"/>
      <c r="AQ382" s="158"/>
      <c r="AR382" s="158"/>
    </row>
    <row r="383" spans="2:44">
      <c r="B383" s="158"/>
      <c r="C383" s="158"/>
      <c r="D383" s="158"/>
      <c r="E383" s="158"/>
      <c r="F383" s="158"/>
      <c r="G383" s="158"/>
      <c r="H383" s="158"/>
      <c r="I383" s="158"/>
      <c r="J383" s="158"/>
      <c r="K383" s="158"/>
      <c r="L383" s="15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  <c r="Z383" s="158"/>
      <c r="AA383" s="158"/>
      <c r="AB383" s="158"/>
      <c r="AC383" s="158"/>
      <c r="AD383" s="158"/>
      <c r="AE383" s="158"/>
      <c r="AF383" s="158"/>
      <c r="AG383" s="158"/>
      <c r="AH383" s="158"/>
      <c r="AI383" s="158"/>
      <c r="AJ383" s="158"/>
      <c r="AK383" s="158"/>
      <c r="AL383" s="158"/>
      <c r="AM383" s="158"/>
      <c r="AN383" s="158"/>
      <c r="AO383" s="158"/>
      <c r="AP383" s="158"/>
      <c r="AQ383" s="158"/>
      <c r="AR383" s="158"/>
    </row>
    <row r="384" spans="2:44">
      <c r="B384" s="158"/>
      <c r="C384" s="158"/>
      <c r="D384" s="158"/>
      <c r="E384" s="158"/>
      <c r="F384" s="158"/>
      <c r="G384" s="158"/>
      <c r="H384" s="158"/>
      <c r="I384" s="158"/>
      <c r="J384" s="158"/>
      <c r="K384" s="158"/>
      <c r="L384" s="15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  <c r="Z384" s="158"/>
      <c r="AA384" s="158"/>
      <c r="AB384" s="158"/>
      <c r="AC384" s="158"/>
      <c r="AD384" s="158"/>
      <c r="AE384" s="158"/>
      <c r="AF384" s="158"/>
      <c r="AG384" s="158"/>
      <c r="AH384" s="158"/>
      <c r="AI384" s="158"/>
      <c r="AJ384" s="158"/>
      <c r="AK384" s="158"/>
      <c r="AL384" s="158"/>
      <c r="AM384" s="158"/>
      <c r="AN384" s="158"/>
      <c r="AO384" s="158"/>
      <c r="AP384" s="158"/>
      <c r="AQ384" s="158"/>
      <c r="AR384" s="158"/>
    </row>
    <row r="385" spans="2:44">
      <c r="B385" s="158"/>
      <c r="C385" s="158"/>
      <c r="D385" s="158"/>
      <c r="E385" s="158"/>
      <c r="F385" s="158"/>
      <c r="G385" s="158"/>
      <c r="H385" s="158"/>
      <c r="I385" s="158"/>
      <c r="J385" s="158"/>
      <c r="K385" s="158"/>
      <c r="L385" s="15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  <c r="Z385" s="158"/>
      <c r="AA385" s="158"/>
      <c r="AB385" s="158"/>
      <c r="AC385" s="158"/>
      <c r="AD385" s="158"/>
      <c r="AE385" s="158"/>
      <c r="AF385" s="158"/>
      <c r="AG385" s="158"/>
      <c r="AH385" s="158"/>
      <c r="AI385" s="158"/>
      <c r="AJ385" s="158"/>
      <c r="AK385" s="158"/>
      <c r="AL385" s="158"/>
      <c r="AM385" s="158"/>
      <c r="AN385" s="158"/>
      <c r="AO385" s="158"/>
      <c r="AP385" s="158"/>
      <c r="AQ385" s="158"/>
      <c r="AR385" s="158"/>
    </row>
    <row r="386" spans="2:44">
      <c r="B386" s="158"/>
      <c r="C386" s="158"/>
      <c r="D386" s="158"/>
      <c r="E386" s="158"/>
      <c r="F386" s="158"/>
      <c r="G386" s="158"/>
      <c r="H386" s="158"/>
      <c r="I386" s="158"/>
      <c r="J386" s="158"/>
      <c r="K386" s="158"/>
      <c r="L386" s="15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  <c r="Z386" s="158"/>
      <c r="AA386" s="158"/>
      <c r="AB386" s="158"/>
      <c r="AC386" s="158"/>
      <c r="AD386" s="158"/>
      <c r="AE386" s="158"/>
      <c r="AF386" s="158"/>
      <c r="AG386" s="158"/>
      <c r="AH386" s="158"/>
      <c r="AI386" s="158"/>
      <c r="AJ386" s="158"/>
      <c r="AK386" s="158"/>
      <c r="AL386" s="158"/>
      <c r="AM386" s="158"/>
      <c r="AN386" s="158"/>
      <c r="AO386" s="158"/>
      <c r="AP386" s="158"/>
      <c r="AQ386" s="158"/>
      <c r="AR386" s="158"/>
    </row>
    <row r="387" spans="2:44">
      <c r="B387" s="158"/>
      <c r="C387" s="158"/>
      <c r="D387" s="158"/>
      <c r="E387" s="158"/>
      <c r="F387" s="158"/>
      <c r="G387" s="158"/>
      <c r="H387" s="158"/>
      <c r="I387" s="158"/>
      <c r="J387" s="158"/>
      <c r="K387" s="158"/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  <c r="Z387" s="158"/>
      <c r="AA387" s="158"/>
      <c r="AB387" s="158"/>
      <c r="AC387" s="158"/>
      <c r="AD387" s="158"/>
      <c r="AE387" s="158"/>
      <c r="AF387" s="158"/>
      <c r="AG387" s="158"/>
      <c r="AH387" s="158"/>
      <c r="AI387" s="158"/>
      <c r="AJ387" s="158"/>
      <c r="AK387" s="158"/>
      <c r="AL387" s="158"/>
      <c r="AM387" s="158"/>
      <c r="AN387" s="158"/>
      <c r="AO387" s="158"/>
      <c r="AP387" s="158"/>
      <c r="AQ387" s="158"/>
      <c r="AR387" s="158"/>
    </row>
    <row r="388" spans="2:44">
      <c r="B388" s="158"/>
      <c r="C388" s="158"/>
      <c r="D388" s="158"/>
      <c r="E388" s="158"/>
      <c r="F388" s="158"/>
      <c r="G388" s="158"/>
      <c r="H388" s="158"/>
      <c r="I388" s="158"/>
      <c r="J388" s="158"/>
      <c r="K388" s="158"/>
      <c r="L388" s="15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  <c r="Z388" s="158"/>
      <c r="AA388" s="158"/>
      <c r="AB388" s="158"/>
      <c r="AC388" s="158"/>
      <c r="AD388" s="158"/>
      <c r="AE388" s="158"/>
      <c r="AF388" s="158"/>
      <c r="AG388" s="158"/>
      <c r="AH388" s="158"/>
      <c r="AI388" s="158"/>
      <c r="AJ388" s="158"/>
      <c r="AK388" s="158"/>
      <c r="AL388" s="158"/>
      <c r="AM388" s="158"/>
      <c r="AN388" s="158"/>
      <c r="AO388" s="158"/>
      <c r="AP388" s="158"/>
      <c r="AQ388" s="158"/>
      <c r="AR388" s="158"/>
    </row>
    <row r="389" spans="2:44">
      <c r="B389" s="158"/>
      <c r="C389" s="158"/>
      <c r="D389" s="158"/>
      <c r="E389" s="158"/>
      <c r="F389" s="158"/>
      <c r="G389" s="158"/>
      <c r="H389" s="158"/>
      <c r="I389" s="158"/>
      <c r="J389" s="158"/>
      <c r="K389" s="158"/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  <c r="Z389" s="158"/>
      <c r="AA389" s="158"/>
      <c r="AB389" s="158"/>
      <c r="AC389" s="158"/>
      <c r="AD389" s="158"/>
      <c r="AE389" s="158"/>
      <c r="AF389" s="158"/>
      <c r="AG389" s="158"/>
      <c r="AH389" s="158"/>
      <c r="AI389" s="158"/>
      <c r="AJ389" s="158"/>
      <c r="AK389" s="158"/>
      <c r="AL389" s="158"/>
      <c r="AM389" s="158"/>
      <c r="AN389" s="158"/>
      <c r="AO389" s="158"/>
      <c r="AP389" s="158"/>
      <c r="AQ389" s="158"/>
      <c r="AR389" s="158"/>
    </row>
    <row r="390" spans="2:44">
      <c r="B390" s="158"/>
      <c r="C390" s="158"/>
      <c r="D390" s="158"/>
      <c r="E390" s="158"/>
      <c r="F390" s="158"/>
      <c r="G390" s="158"/>
      <c r="H390" s="158"/>
      <c r="I390" s="158"/>
      <c r="J390" s="158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  <c r="Z390" s="158"/>
      <c r="AA390" s="158"/>
      <c r="AB390" s="158"/>
      <c r="AC390" s="158"/>
      <c r="AD390" s="158"/>
      <c r="AE390" s="158"/>
      <c r="AF390" s="158"/>
      <c r="AG390" s="158"/>
      <c r="AH390" s="158"/>
      <c r="AI390" s="158"/>
      <c r="AJ390" s="158"/>
      <c r="AK390" s="158"/>
      <c r="AL390" s="158"/>
      <c r="AM390" s="158"/>
      <c r="AN390" s="158"/>
      <c r="AO390" s="158"/>
      <c r="AP390" s="158"/>
      <c r="AQ390" s="158"/>
      <c r="AR390" s="158"/>
    </row>
    <row r="391" spans="2:44">
      <c r="B391" s="158"/>
      <c r="C391" s="158"/>
      <c r="D391" s="158"/>
      <c r="E391" s="158"/>
      <c r="F391" s="158"/>
      <c r="G391" s="158"/>
      <c r="H391" s="158"/>
      <c r="I391" s="158"/>
      <c r="J391" s="158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  <c r="AA391" s="158"/>
      <c r="AB391" s="158"/>
      <c r="AC391" s="158"/>
      <c r="AD391" s="158"/>
      <c r="AE391" s="158"/>
      <c r="AF391" s="158"/>
      <c r="AG391" s="158"/>
      <c r="AH391" s="158"/>
      <c r="AI391" s="158"/>
      <c r="AJ391" s="158"/>
      <c r="AK391" s="158"/>
      <c r="AL391" s="158"/>
      <c r="AM391" s="158"/>
      <c r="AN391" s="158"/>
      <c r="AO391" s="158"/>
      <c r="AP391" s="158"/>
      <c r="AQ391" s="158"/>
      <c r="AR391" s="158"/>
    </row>
    <row r="392" spans="2:44">
      <c r="B392" s="158"/>
      <c r="C392" s="158"/>
      <c r="D392" s="158"/>
      <c r="E392" s="158"/>
      <c r="F392" s="158"/>
      <c r="G392" s="158"/>
      <c r="H392" s="158"/>
      <c r="I392" s="158"/>
      <c r="J392" s="158"/>
      <c r="K392" s="158"/>
      <c r="L392" s="15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  <c r="Z392" s="158"/>
      <c r="AA392" s="158"/>
      <c r="AB392" s="158"/>
      <c r="AC392" s="158"/>
      <c r="AD392" s="158"/>
      <c r="AE392" s="158"/>
      <c r="AF392" s="158"/>
      <c r="AG392" s="158"/>
      <c r="AH392" s="158"/>
      <c r="AI392" s="158"/>
      <c r="AJ392" s="158"/>
      <c r="AK392" s="158"/>
      <c r="AL392" s="158"/>
      <c r="AM392" s="158"/>
      <c r="AN392" s="158"/>
      <c r="AO392" s="158"/>
      <c r="AP392" s="158"/>
      <c r="AQ392" s="158"/>
      <c r="AR392" s="158"/>
    </row>
    <row r="393" spans="2:44">
      <c r="B393" s="158"/>
      <c r="C393" s="158"/>
      <c r="D393" s="158"/>
      <c r="E393" s="158"/>
      <c r="F393" s="158"/>
      <c r="G393" s="158"/>
      <c r="H393" s="158"/>
      <c r="I393" s="158"/>
      <c r="J393" s="158"/>
      <c r="K393" s="158"/>
      <c r="L393" s="15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  <c r="AA393" s="158"/>
      <c r="AB393" s="158"/>
      <c r="AC393" s="158"/>
      <c r="AD393" s="158"/>
      <c r="AE393" s="158"/>
      <c r="AF393" s="158"/>
      <c r="AG393" s="158"/>
      <c r="AH393" s="158"/>
      <c r="AI393" s="158"/>
      <c r="AJ393" s="158"/>
      <c r="AK393" s="158"/>
      <c r="AL393" s="158"/>
      <c r="AM393" s="158"/>
      <c r="AN393" s="158"/>
      <c r="AO393" s="158"/>
      <c r="AP393" s="158"/>
      <c r="AQ393" s="158"/>
      <c r="AR393" s="158"/>
    </row>
    <row r="394" spans="2:44">
      <c r="B394" s="158"/>
      <c r="C394" s="158"/>
      <c r="D394" s="158"/>
      <c r="E394" s="158"/>
      <c r="F394" s="158"/>
      <c r="G394" s="158"/>
      <c r="H394" s="158"/>
      <c r="I394" s="158"/>
      <c r="J394" s="158"/>
      <c r="K394" s="158"/>
      <c r="L394" s="15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  <c r="Z394" s="158"/>
      <c r="AA394" s="158"/>
      <c r="AB394" s="158"/>
      <c r="AC394" s="158"/>
      <c r="AD394" s="158"/>
      <c r="AE394" s="158"/>
      <c r="AF394" s="158"/>
      <c r="AG394" s="158"/>
      <c r="AH394" s="158"/>
      <c r="AI394" s="158"/>
      <c r="AJ394" s="158"/>
      <c r="AK394" s="158"/>
      <c r="AL394" s="158"/>
      <c r="AM394" s="158"/>
      <c r="AN394" s="158"/>
      <c r="AO394" s="158"/>
      <c r="AP394" s="158"/>
      <c r="AQ394" s="158"/>
      <c r="AR394" s="158"/>
    </row>
    <row r="395" spans="2:44">
      <c r="B395" s="158"/>
      <c r="C395" s="158"/>
      <c r="D395" s="158"/>
      <c r="E395" s="158"/>
      <c r="F395" s="158"/>
      <c r="G395" s="158"/>
      <c r="H395" s="158"/>
      <c r="I395" s="158"/>
      <c r="J395" s="158"/>
      <c r="K395" s="158"/>
      <c r="L395" s="15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  <c r="Z395" s="158"/>
      <c r="AA395" s="158"/>
      <c r="AB395" s="158"/>
      <c r="AC395" s="158"/>
      <c r="AD395" s="158"/>
      <c r="AE395" s="158"/>
      <c r="AF395" s="158"/>
      <c r="AG395" s="158"/>
      <c r="AH395" s="158"/>
      <c r="AI395" s="158"/>
      <c r="AJ395" s="158"/>
      <c r="AK395" s="158"/>
      <c r="AL395" s="158"/>
      <c r="AM395" s="158"/>
      <c r="AN395" s="158"/>
      <c r="AO395" s="158"/>
      <c r="AP395" s="158"/>
      <c r="AQ395" s="158"/>
      <c r="AR395" s="158"/>
    </row>
    <row r="396" spans="2:44">
      <c r="B396" s="158"/>
      <c r="C396" s="158"/>
      <c r="D396" s="158"/>
      <c r="E396" s="158"/>
      <c r="F396" s="158"/>
      <c r="G396" s="158"/>
      <c r="H396" s="158"/>
      <c r="I396" s="158"/>
      <c r="J396" s="158"/>
      <c r="K396" s="158"/>
      <c r="L396" s="15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  <c r="Z396" s="158"/>
      <c r="AA396" s="158"/>
      <c r="AB396" s="158"/>
      <c r="AC396" s="158"/>
      <c r="AD396" s="158"/>
      <c r="AE396" s="158"/>
      <c r="AF396" s="158"/>
      <c r="AG396" s="158"/>
      <c r="AH396" s="158"/>
      <c r="AI396" s="158"/>
      <c r="AJ396" s="158"/>
      <c r="AK396" s="158"/>
      <c r="AL396" s="158"/>
      <c r="AM396" s="158"/>
      <c r="AN396" s="158"/>
      <c r="AO396" s="158"/>
      <c r="AP396" s="158"/>
      <c r="AQ396" s="158"/>
      <c r="AR396" s="158"/>
    </row>
    <row r="397" spans="2:44">
      <c r="B397" s="158"/>
      <c r="C397" s="158"/>
      <c r="D397" s="158"/>
      <c r="E397" s="158"/>
      <c r="F397" s="158"/>
      <c r="G397" s="158"/>
      <c r="H397" s="158"/>
      <c r="I397" s="158"/>
      <c r="J397" s="158"/>
      <c r="K397" s="158"/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  <c r="Z397" s="158"/>
      <c r="AA397" s="158"/>
      <c r="AB397" s="158"/>
      <c r="AC397" s="158"/>
      <c r="AD397" s="158"/>
      <c r="AE397" s="158"/>
      <c r="AF397" s="158"/>
      <c r="AG397" s="158"/>
      <c r="AH397" s="158"/>
      <c r="AI397" s="158"/>
      <c r="AJ397" s="158"/>
      <c r="AK397" s="158"/>
      <c r="AL397" s="158"/>
      <c r="AM397" s="158"/>
      <c r="AN397" s="158"/>
      <c r="AO397" s="158"/>
      <c r="AP397" s="158"/>
      <c r="AQ397" s="158"/>
      <c r="AR397" s="158"/>
    </row>
    <row r="398" spans="2:44">
      <c r="B398" s="158"/>
      <c r="C398" s="158"/>
      <c r="D398" s="158"/>
      <c r="E398" s="158"/>
      <c r="F398" s="158"/>
      <c r="G398" s="158"/>
      <c r="H398" s="158"/>
      <c r="I398" s="158"/>
      <c r="J398" s="158"/>
      <c r="K398" s="158"/>
      <c r="L398" s="15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58"/>
      <c r="Z398" s="158"/>
      <c r="AA398" s="158"/>
      <c r="AB398" s="158"/>
      <c r="AC398" s="158"/>
      <c r="AD398" s="158"/>
      <c r="AE398" s="158"/>
      <c r="AF398" s="158"/>
      <c r="AG398" s="158"/>
      <c r="AH398" s="158"/>
      <c r="AI398" s="158"/>
      <c r="AJ398" s="158"/>
      <c r="AK398" s="158"/>
      <c r="AL398" s="158"/>
      <c r="AM398" s="158"/>
      <c r="AN398" s="158"/>
      <c r="AO398" s="158"/>
      <c r="AP398" s="158"/>
      <c r="AQ398" s="158"/>
      <c r="AR398" s="158"/>
    </row>
    <row r="399" spans="2:44">
      <c r="B399" s="158"/>
      <c r="C399" s="158"/>
      <c r="D399" s="158"/>
      <c r="E399" s="158"/>
      <c r="F399" s="158"/>
      <c r="G399" s="158"/>
      <c r="H399" s="158"/>
      <c r="I399" s="158"/>
      <c r="J399" s="158"/>
      <c r="K399" s="158"/>
      <c r="L399" s="15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58"/>
      <c r="Z399" s="158"/>
      <c r="AA399" s="158"/>
      <c r="AB399" s="158"/>
      <c r="AC399" s="158"/>
      <c r="AD399" s="158"/>
      <c r="AE399" s="158"/>
      <c r="AF399" s="158"/>
      <c r="AG399" s="158"/>
      <c r="AH399" s="158"/>
      <c r="AI399" s="158"/>
      <c r="AJ399" s="158"/>
      <c r="AK399" s="158"/>
      <c r="AL399" s="158"/>
      <c r="AM399" s="158"/>
      <c r="AN399" s="158"/>
      <c r="AO399" s="158"/>
      <c r="AP399" s="158"/>
      <c r="AQ399" s="158"/>
      <c r="AR399" s="158"/>
    </row>
    <row r="400" spans="2:44">
      <c r="B400" s="158"/>
      <c r="C400" s="158"/>
      <c r="D400" s="158"/>
      <c r="E400" s="158"/>
      <c r="F400" s="158"/>
      <c r="G400" s="158"/>
      <c r="H400" s="158"/>
      <c r="I400" s="158"/>
      <c r="J400" s="158"/>
      <c r="K400" s="158"/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58"/>
      <c r="Z400" s="158"/>
      <c r="AA400" s="158"/>
      <c r="AB400" s="158"/>
      <c r="AC400" s="158"/>
      <c r="AD400" s="158"/>
      <c r="AE400" s="158"/>
      <c r="AF400" s="158"/>
      <c r="AG400" s="158"/>
      <c r="AH400" s="158"/>
      <c r="AI400" s="158"/>
      <c r="AJ400" s="158"/>
      <c r="AK400" s="158"/>
      <c r="AL400" s="158"/>
      <c r="AM400" s="158"/>
      <c r="AN400" s="158"/>
      <c r="AO400" s="158"/>
      <c r="AP400" s="158"/>
      <c r="AQ400" s="158"/>
      <c r="AR400" s="158"/>
    </row>
    <row r="401" spans="2:44">
      <c r="B401" s="158"/>
      <c r="C401" s="158"/>
      <c r="D401" s="158"/>
      <c r="E401" s="158"/>
      <c r="F401" s="158"/>
      <c r="G401" s="158"/>
      <c r="H401" s="158"/>
      <c r="I401" s="158"/>
      <c r="J401" s="158"/>
      <c r="K401" s="158"/>
      <c r="L401" s="15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  <c r="Y401" s="158"/>
      <c r="Z401" s="158"/>
      <c r="AA401" s="158"/>
      <c r="AB401" s="158"/>
      <c r="AC401" s="158"/>
      <c r="AD401" s="158"/>
      <c r="AE401" s="158"/>
      <c r="AF401" s="158"/>
      <c r="AG401" s="158"/>
      <c r="AH401" s="158"/>
      <c r="AI401" s="158"/>
      <c r="AJ401" s="158"/>
      <c r="AK401" s="158"/>
      <c r="AL401" s="158"/>
      <c r="AM401" s="158"/>
      <c r="AN401" s="158"/>
      <c r="AO401" s="158"/>
      <c r="AP401" s="158"/>
      <c r="AQ401" s="158"/>
      <c r="AR401" s="158"/>
    </row>
    <row r="402" spans="2:44">
      <c r="B402" s="158"/>
      <c r="C402" s="158"/>
      <c r="D402" s="158"/>
      <c r="E402" s="158"/>
      <c r="F402" s="158"/>
      <c r="G402" s="158"/>
      <c r="H402" s="158"/>
      <c r="I402" s="158"/>
      <c r="J402" s="158"/>
      <c r="K402" s="158"/>
      <c r="L402" s="15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58"/>
      <c r="Z402" s="158"/>
      <c r="AA402" s="158"/>
      <c r="AB402" s="158"/>
      <c r="AC402" s="158"/>
      <c r="AD402" s="158"/>
      <c r="AE402" s="158"/>
      <c r="AF402" s="158"/>
      <c r="AG402" s="158"/>
      <c r="AH402" s="158"/>
      <c r="AI402" s="158"/>
      <c r="AJ402" s="158"/>
      <c r="AK402" s="158"/>
      <c r="AL402" s="158"/>
      <c r="AM402" s="158"/>
      <c r="AN402" s="158"/>
      <c r="AO402" s="158"/>
      <c r="AP402" s="158"/>
      <c r="AQ402" s="158"/>
      <c r="AR402" s="158"/>
    </row>
    <row r="403" spans="2:44">
      <c r="B403" s="158"/>
      <c r="C403" s="158"/>
      <c r="D403" s="158"/>
      <c r="E403" s="158"/>
      <c r="F403" s="158"/>
      <c r="G403" s="158"/>
      <c r="H403" s="158"/>
      <c r="I403" s="158"/>
      <c r="J403" s="158"/>
      <c r="K403" s="158"/>
      <c r="L403" s="15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  <c r="Y403" s="158"/>
      <c r="Z403" s="158"/>
      <c r="AA403" s="158"/>
      <c r="AB403" s="158"/>
      <c r="AC403" s="158"/>
      <c r="AD403" s="158"/>
      <c r="AE403" s="158"/>
      <c r="AF403" s="158"/>
      <c r="AG403" s="158"/>
      <c r="AH403" s="158"/>
      <c r="AI403" s="158"/>
      <c r="AJ403" s="158"/>
      <c r="AK403" s="158"/>
      <c r="AL403" s="158"/>
      <c r="AM403" s="158"/>
      <c r="AN403" s="158"/>
      <c r="AO403" s="158"/>
      <c r="AP403" s="158"/>
      <c r="AQ403" s="158"/>
      <c r="AR403" s="158"/>
    </row>
    <row r="404" spans="2:44">
      <c r="B404" s="158"/>
      <c r="C404" s="158"/>
      <c r="D404" s="158"/>
      <c r="E404" s="158"/>
      <c r="F404" s="158"/>
      <c r="G404" s="158"/>
      <c r="H404" s="158"/>
      <c r="I404" s="158"/>
      <c r="J404" s="158"/>
      <c r="K404" s="158"/>
      <c r="L404" s="15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  <c r="Y404" s="158"/>
      <c r="Z404" s="158"/>
      <c r="AA404" s="158"/>
      <c r="AB404" s="158"/>
      <c r="AC404" s="158"/>
      <c r="AD404" s="158"/>
      <c r="AE404" s="158"/>
      <c r="AF404" s="158"/>
      <c r="AG404" s="158"/>
      <c r="AH404" s="158"/>
      <c r="AI404" s="158"/>
      <c r="AJ404" s="158"/>
      <c r="AK404" s="158"/>
      <c r="AL404" s="158"/>
      <c r="AM404" s="158"/>
      <c r="AN404" s="158"/>
      <c r="AO404" s="158"/>
      <c r="AP404" s="158"/>
      <c r="AQ404" s="158"/>
      <c r="AR404" s="158"/>
    </row>
    <row r="405" spans="2:44">
      <c r="B405" s="158"/>
      <c r="C405" s="158"/>
      <c r="D405" s="158"/>
      <c r="E405" s="158"/>
      <c r="F405" s="158"/>
      <c r="G405" s="158"/>
      <c r="H405" s="158"/>
      <c r="I405" s="158"/>
      <c r="J405" s="158"/>
      <c r="K405" s="158"/>
      <c r="L405" s="15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58"/>
      <c r="Z405" s="158"/>
      <c r="AA405" s="158"/>
      <c r="AB405" s="158"/>
      <c r="AC405" s="158"/>
      <c r="AD405" s="158"/>
      <c r="AE405" s="158"/>
      <c r="AF405" s="158"/>
      <c r="AG405" s="158"/>
      <c r="AH405" s="158"/>
      <c r="AI405" s="158"/>
      <c r="AJ405" s="158"/>
      <c r="AK405" s="158"/>
      <c r="AL405" s="158"/>
      <c r="AM405" s="158"/>
      <c r="AN405" s="158"/>
      <c r="AO405" s="158"/>
      <c r="AP405" s="158"/>
      <c r="AQ405" s="158"/>
      <c r="AR405" s="158"/>
    </row>
    <row r="406" spans="2:44">
      <c r="B406" s="158"/>
      <c r="C406" s="158"/>
      <c r="D406" s="158"/>
      <c r="E406" s="158"/>
      <c r="F406" s="158"/>
      <c r="G406" s="158"/>
      <c r="H406" s="158"/>
      <c r="I406" s="158"/>
      <c r="J406" s="158"/>
      <c r="K406" s="158"/>
      <c r="L406" s="15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58"/>
      <c r="Z406" s="158"/>
      <c r="AA406" s="158"/>
      <c r="AB406" s="158"/>
      <c r="AC406" s="158"/>
      <c r="AD406" s="158"/>
      <c r="AE406" s="158"/>
      <c r="AF406" s="158"/>
      <c r="AG406" s="158"/>
      <c r="AH406" s="158"/>
      <c r="AI406" s="158"/>
      <c r="AJ406" s="158"/>
      <c r="AK406" s="158"/>
      <c r="AL406" s="158"/>
      <c r="AM406" s="158"/>
      <c r="AN406" s="158"/>
      <c r="AO406" s="158"/>
      <c r="AP406" s="158"/>
      <c r="AQ406" s="158"/>
      <c r="AR406" s="158"/>
    </row>
    <row r="407" spans="2:44">
      <c r="B407" s="158"/>
      <c r="C407" s="158"/>
      <c r="D407" s="158"/>
      <c r="E407" s="158"/>
      <c r="F407" s="158"/>
      <c r="G407" s="158"/>
      <c r="H407" s="158"/>
      <c r="I407" s="158"/>
      <c r="J407" s="158"/>
      <c r="K407" s="158"/>
      <c r="L407" s="15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  <c r="Y407" s="158"/>
      <c r="Z407" s="158"/>
      <c r="AA407" s="158"/>
      <c r="AB407" s="158"/>
      <c r="AC407" s="158"/>
      <c r="AD407" s="158"/>
      <c r="AE407" s="158"/>
      <c r="AF407" s="158"/>
      <c r="AG407" s="158"/>
      <c r="AH407" s="158"/>
      <c r="AI407" s="158"/>
      <c r="AJ407" s="158"/>
      <c r="AK407" s="158"/>
      <c r="AL407" s="158"/>
      <c r="AM407" s="158"/>
      <c r="AN407" s="158"/>
      <c r="AO407" s="158"/>
      <c r="AP407" s="158"/>
      <c r="AQ407" s="158"/>
      <c r="AR407" s="158"/>
    </row>
    <row r="408" spans="2:44">
      <c r="B408" s="158"/>
      <c r="C408" s="158"/>
      <c r="D408" s="158"/>
      <c r="E408" s="158"/>
      <c r="F408" s="158"/>
      <c r="G408" s="158"/>
      <c r="H408" s="158"/>
      <c r="I408" s="158"/>
      <c r="J408" s="158"/>
      <c r="K408" s="158"/>
      <c r="L408" s="158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8"/>
      <c r="Y408" s="158"/>
      <c r="Z408" s="158"/>
      <c r="AA408" s="158"/>
      <c r="AB408" s="158"/>
      <c r="AC408" s="158"/>
      <c r="AD408" s="158"/>
      <c r="AE408" s="158"/>
      <c r="AF408" s="158"/>
      <c r="AG408" s="158"/>
      <c r="AH408" s="158"/>
      <c r="AI408" s="158"/>
      <c r="AJ408" s="158"/>
      <c r="AK408" s="158"/>
      <c r="AL408" s="158"/>
      <c r="AM408" s="158"/>
      <c r="AN408" s="158"/>
      <c r="AO408" s="158"/>
      <c r="AP408" s="158"/>
      <c r="AQ408" s="158"/>
      <c r="AR408" s="158"/>
    </row>
    <row r="409" spans="2:44">
      <c r="B409" s="158"/>
      <c r="C409" s="158"/>
      <c r="D409" s="158"/>
      <c r="E409" s="158"/>
      <c r="F409" s="158"/>
      <c r="G409" s="158"/>
      <c r="H409" s="158"/>
      <c r="I409" s="158"/>
      <c r="J409" s="158"/>
      <c r="K409" s="158"/>
      <c r="L409" s="158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8"/>
      <c r="Y409" s="158"/>
      <c r="Z409" s="158"/>
      <c r="AA409" s="158"/>
      <c r="AB409" s="158"/>
      <c r="AC409" s="158"/>
      <c r="AD409" s="158"/>
      <c r="AE409" s="158"/>
      <c r="AF409" s="158"/>
      <c r="AG409" s="158"/>
      <c r="AH409" s="158"/>
      <c r="AI409" s="158"/>
      <c r="AJ409" s="158"/>
      <c r="AK409" s="158"/>
      <c r="AL409" s="158"/>
      <c r="AM409" s="158"/>
      <c r="AN409" s="158"/>
      <c r="AO409" s="158"/>
      <c r="AP409" s="158"/>
      <c r="AQ409" s="158"/>
      <c r="AR409" s="158"/>
    </row>
    <row r="410" spans="2:44">
      <c r="B410" s="158"/>
      <c r="C410" s="158"/>
      <c r="D410" s="158"/>
      <c r="E410" s="158"/>
      <c r="F410" s="158"/>
      <c r="G410" s="158"/>
      <c r="H410" s="158"/>
      <c r="I410" s="158"/>
      <c r="J410" s="158"/>
      <c r="K410" s="158"/>
      <c r="L410" s="158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8"/>
      <c r="Y410" s="158"/>
      <c r="Z410" s="158"/>
      <c r="AA410" s="158"/>
      <c r="AB410" s="158"/>
      <c r="AC410" s="158"/>
      <c r="AD410" s="158"/>
      <c r="AE410" s="158"/>
      <c r="AF410" s="158"/>
      <c r="AG410" s="158"/>
      <c r="AH410" s="158"/>
      <c r="AI410" s="158"/>
      <c r="AJ410" s="158"/>
      <c r="AK410" s="158"/>
      <c r="AL410" s="158"/>
      <c r="AM410" s="158"/>
      <c r="AN410" s="158"/>
      <c r="AO410" s="158"/>
      <c r="AP410" s="158"/>
      <c r="AQ410" s="158"/>
      <c r="AR410" s="158"/>
    </row>
    <row r="411" spans="2:44">
      <c r="B411" s="158"/>
      <c r="C411" s="158"/>
      <c r="D411" s="158"/>
      <c r="E411" s="158"/>
      <c r="F411" s="158"/>
      <c r="G411" s="158"/>
      <c r="H411" s="158"/>
      <c r="I411" s="158"/>
      <c r="J411" s="158"/>
      <c r="K411" s="158"/>
      <c r="L411" s="158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  <c r="X411" s="158"/>
      <c r="Y411" s="158"/>
      <c r="Z411" s="158"/>
      <c r="AA411" s="158"/>
      <c r="AB411" s="158"/>
      <c r="AC411" s="158"/>
      <c r="AD411" s="158"/>
      <c r="AE411" s="158"/>
      <c r="AF411" s="158"/>
      <c r="AG411" s="158"/>
      <c r="AH411" s="158"/>
      <c r="AI411" s="158"/>
      <c r="AJ411" s="158"/>
      <c r="AK411" s="158"/>
      <c r="AL411" s="158"/>
      <c r="AM411" s="158"/>
      <c r="AN411" s="158"/>
      <c r="AO411" s="158"/>
      <c r="AP411" s="158"/>
      <c r="AQ411" s="158"/>
      <c r="AR411" s="158"/>
    </row>
    <row r="412" spans="2:44">
      <c r="B412" s="158"/>
      <c r="C412" s="158"/>
      <c r="D412" s="158"/>
      <c r="E412" s="158"/>
      <c r="F412" s="158"/>
      <c r="G412" s="158"/>
      <c r="H412" s="158"/>
      <c r="I412" s="158"/>
      <c r="J412" s="158"/>
      <c r="K412" s="158"/>
      <c r="L412" s="158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  <c r="AA412" s="158"/>
      <c r="AB412" s="158"/>
      <c r="AC412" s="158"/>
      <c r="AD412" s="158"/>
      <c r="AE412" s="158"/>
      <c r="AF412" s="158"/>
      <c r="AG412" s="158"/>
      <c r="AH412" s="158"/>
      <c r="AI412" s="158"/>
      <c r="AJ412" s="158"/>
      <c r="AK412" s="158"/>
      <c r="AL412" s="158"/>
      <c r="AM412" s="158"/>
      <c r="AN412" s="158"/>
      <c r="AO412" s="158"/>
      <c r="AP412" s="158"/>
      <c r="AQ412" s="158"/>
      <c r="AR412" s="158"/>
    </row>
    <row r="413" spans="2:44">
      <c r="B413" s="158"/>
      <c r="C413" s="158"/>
      <c r="D413" s="158"/>
      <c r="E413" s="158"/>
      <c r="F413" s="158"/>
      <c r="G413" s="158"/>
      <c r="H413" s="158"/>
      <c r="I413" s="158"/>
      <c r="J413" s="158"/>
      <c r="K413" s="158"/>
      <c r="L413" s="158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158"/>
      <c r="X413" s="158"/>
      <c r="Y413" s="158"/>
      <c r="Z413" s="158"/>
      <c r="AA413" s="158"/>
      <c r="AB413" s="158"/>
      <c r="AC413" s="158"/>
      <c r="AD413" s="158"/>
      <c r="AE413" s="158"/>
      <c r="AF413" s="158"/>
      <c r="AG413" s="158"/>
      <c r="AH413" s="158"/>
      <c r="AI413" s="158"/>
      <c r="AJ413" s="158"/>
      <c r="AK413" s="158"/>
      <c r="AL413" s="158"/>
      <c r="AM413" s="158"/>
      <c r="AN413" s="158"/>
      <c r="AO413" s="158"/>
      <c r="AP413" s="158"/>
      <c r="AQ413" s="158"/>
      <c r="AR413" s="158"/>
    </row>
    <row r="414" spans="2:44">
      <c r="B414" s="158"/>
      <c r="C414" s="158"/>
      <c r="D414" s="158"/>
      <c r="E414" s="158"/>
      <c r="F414" s="158"/>
      <c r="G414" s="158"/>
      <c r="H414" s="158"/>
      <c r="I414" s="158"/>
      <c r="J414" s="158"/>
      <c r="K414" s="158"/>
      <c r="L414" s="158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  <c r="X414" s="158"/>
      <c r="Y414" s="158"/>
      <c r="Z414" s="158"/>
      <c r="AA414" s="158"/>
      <c r="AB414" s="158"/>
      <c r="AC414" s="158"/>
      <c r="AD414" s="158"/>
      <c r="AE414" s="158"/>
      <c r="AF414" s="158"/>
      <c r="AG414" s="158"/>
      <c r="AH414" s="158"/>
      <c r="AI414" s="158"/>
      <c r="AJ414" s="158"/>
      <c r="AK414" s="158"/>
      <c r="AL414" s="158"/>
      <c r="AM414" s="158"/>
      <c r="AN414" s="158"/>
      <c r="AO414" s="158"/>
      <c r="AP414" s="158"/>
      <c r="AQ414" s="158"/>
      <c r="AR414" s="158"/>
    </row>
    <row r="415" spans="2:44">
      <c r="B415" s="158"/>
      <c r="C415" s="158"/>
      <c r="D415" s="158"/>
      <c r="E415" s="158"/>
      <c r="F415" s="158"/>
      <c r="G415" s="158"/>
      <c r="H415" s="158"/>
      <c r="I415" s="158"/>
      <c r="J415" s="158"/>
      <c r="K415" s="158"/>
      <c r="L415" s="158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  <c r="X415" s="158"/>
      <c r="Y415" s="158"/>
      <c r="Z415" s="158"/>
      <c r="AA415" s="158"/>
      <c r="AB415" s="158"/>
      <c r="AC415" s="158"/>
      <c r="AD415" s="158"/>
      <c r="AE415" s="158"/>
      <c r="AF415" s="158"/>
      <c r="AG415" s="158"/>
      <c r="AH415" s="158"/>
      <c r="AI415" s="158"/>
      <c r="AJ415" s="158"/>
      <c r="AK415" s="158"/>
      <c r="AL415" s="158"/>
      <c r="AM415" s="158"/>
      <c r="AN415" s="158"/>
      <c r="AO415" s="158"/>
      <c r="AP415" s="158"/>
      <c r="AQ415" s="158"/>
      <c r="AR415" s="158"/>
    </row>
    <row r="416" spans="2:44">
      <c r="B416" s="158"/>
      <c r="C416" s="158"/>
      <c r="D416" s="158"/>
      <c r="E416" s="158"/>
      <c r="F416" s="158"/>
      <c r="G416" s="158"/>
      <c r="H416" s="158"/>
      <c r="I416" s="158"/>
      <c r="J416" s="158"/>
      <c r="K416" s="158"/>
      <c r="L416" s="158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  <c r="X416" s="158"/>
      <c r="Y416" s="158"/>
      <c r="Z416" s="158"/>
      <c r="AA416" s="158"/>
      <c r="AB416" s="158"/>
      <c r="AC416" s="158"/>
      <c r="AD416" s="158"/>
      <c r="AE416" s="158"/>
      <c r="AF416" s="158"/>
      <c r="AG416" s="158"/>
      <c r="AH416" s="158"/>
      <c r="AI416" s="158"/>
      <c r="AJ416" s="158"/>
      <c r="AK416" s="158"/>
      <c r="AL416" s="158"/>
      <c r="AM416" s="158"/>
      <c r="AN416" s="158"/>
      <c r="AO416" s="158"/>
      <c r="AP416" s="158"/>
      <c r="AQ416" s="158"/>
      <c r="AR416" s="158"/>
    </row>
    <row r="417" spans="2:44">
      <c r="B417" s="158"/>
      <c r="C417" s="158"/>
      <c r="D417" s="158"/>
      <c r="E417" s="158"/>
      <c r="F417" s="158"/>
      <c r="G417" s="158"/>
      <c r="H417" s="158"/>
      <c r="I417" s="158"/>
      <c r="J417" s="158"/>
      <c r="K417" s="158"/>
      <c r="L417" s="158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  <c r="X417" s="158"/>
      <c r="Y417" s="158"/>
      <c r="Z417" s="158"/>
      <c r="AA417" s="158"/>
      <c r="AB417" s="158"/>
      <c r="AC417" s="158"/>
      <c r="AD417" s="158"/>
      <c r="AE417" s="158"/>
      <c r="AF417" s="158"/>
      <c r="AG417" s="158"/>
      <c r="AH417" s="158"/>
      <c r="AI417" s="158"/>
      <c r="AJ417" s="158"/>
      <c r="AK417" s="158"/>
      <c r="AL417" s="158"/>
      <c r="AM417" s="158"/>
      <c r="AN417" s="158"/>
      <c r="AO417" s="158"/>
      <c r="AP417" s="158"/>
      <c r="AQ417" s="158"/>
      <c r="AR417" s="158"/>
    </row>
    <row r="418" spans="2:44">
      <c r="B418" s="158"/>
      <c r="C418" s="158"/>
      <c r="D418" s="158"/>
      <c r="E418" s="158"/>
      <c r="F418" s="158"/>
      <c r="G418" s="158"/>
      <c r="H418" s="158"/>
      <c r="I418" s="158"/>
      <c r="J418" s="158"/>
      <c r="K418" s="158"/>
      <c r="L418" s="158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  <c r="X418" s="158"/>
      <c r="Y418" s="158"/>
      <c r="Z418" s="158"/>
      <c r="AA418" s="158"/>
      <c r="AB418" s="158"/>
      <c r="AC418" s="158"/>
      <c r="AD418" s="158"/>
      <c r="AE418" s="158"/>
      <c r="AF418" s="158"/>
      <c r="AG418" s="158"/>
      <c r="AH418" s="158"/>
      <c r="AI418" s="158"/>
      <c r="AJ418" s="158"/>
      <c r="AK418" s="158"/>
      <c r="AL418" s="158"/>
      <c r="AM418" s="158"/>
      <c r="AN418" s="158"/>
      <c r="AO418" s="158"/>
      <c r="AP418" s="158"/>
      <c r="AQ418" s="158"/>
      <c r="AR418" s="158"/>
    </row>
    <row r="419" spans="2:44">
      <c r="B419" s="158"/>
      <c r="C419" s="158"/>
      <c r="D419" s="158"/>
      <c r="E419" s="158"/>
      <c r="F419" s="158"/>
      <c r="G419" s="158"/>
      <c r="H419" s="158"/>
      <c r="I419" s="158"/>
      <c r="J419" s="158"/>
      <c r="K419" s="158"/>
      <c r="L419" s="158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  <c r="X419" s="158"/>
      <c r="Y419" s="158"/>
      <c r="Z419" s="158"/>
      <c r="AA419" s="158"/>
      <c r="AB419" s="158"/>
      <c r="AC419" s="158"/>
      <c r="AD419" s="158"/>
      <c r="AE419" s="158"/>
      <c r="AF419" s="158"/>
      <c r="AG419" s="158"/>
      <c r="AH419" s="158"/>
      <c r="AI419" s="158"/>
      <c r="AJ419" s="158"/>
      <c r="AK419" s="158"/>
      <c r="AL419" s="158"/>
      <c r="AM419" s="158"/>
      <c r="AN419" s="158"/>
      <c r="AO419" s="158"/>
      <c r="AP419" s="158"/>
      <c r="AQ419" s="158"/>
      <c r="AR419" s="158"/>
    </row>
    <row r="420" spans="2:44">
      <c r="B420" s="158"/>
      <c r="C420" s="158"/>
      <c r="D420" s="158"/>
      <c r="E420" s="158"/>
      <c r="F420" s="158"/>
      <c r="G420" s="158"/>
      <c r="H420" s="158"/>
      <c r="I420" s="158"/>
      <c r="J420" s="158"/>
      <c r="K420" s="158"/>
      <c r="L420" s="158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  <c r="X420" s="158"/>
      <c r="Y420" s="158"/>
      <c r="Z420" s="158"/>
      <c r="AA420" s="158"/>
      <c r="AB420" s="158"/>
      <c r="AC420" s="158"/>
      <c r="AD420" s="158"/>
      <c r="AE420" s="158"/>
      <c r="AF420" s="158"/>
      <c r="AG420" s="158"/>
      <c r="AH420" s="158"/>
      <c r="AI420" s="158"/>
      <c r="AJ420" s="158"/>
      <c r="AK420" s="158"/>
      <c r="AL420" s="158"/>
      <c r="AM420" s="158"/>
      <c r="AN420" s="158"/>
      <c r="AO420" s="158"/>
      <c r="AP420" s="158"/>
      <c r="AQ420" s="158"/>
      <c r="AR420" s="158"/>
    </row>
    <row r="421" spans="2:44">
      <c r="B421" s="158"/>
      <c r="C421" s="158"/>
      <c r="D421" s="158"/>
      <c r="E421" s="158"/>
      <c r="F421" s="158"/>
      <c r="G421" s="158"/>
      <c r="H421" s="158"/>
      <c r="I421" s="158"/>
      <c r="J421" s="158"/>
      <c r="K421" s="158"/>
      <c r="L421" s="158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8"/>
      <c r="Y421" s="158"/>
      <c r="Z421" s="158"/>
      <c r="AA421" s="158"/>
      <c r="AB421" s="158"/>
      <c r="AC421" s="158"/>
      <c r="AD421" s="158"/>
      <c r="AE421" s="158"/>
      <c r="AF421" s="158"/>
      <c r="AG421" s="158"/>
      <c r="AH421" s="158"/>
      <c r="AI421" s="158"/>
      <c r="AJ421" s="158"/>
      <c r="AK421" s="158"/>
      <c r="AL421" s="158"/>
      <c r="AM421" s="158"/>
      <c r="AN421" s="158"/>
      <c r="AO421" s="158"/>
      <c r="AP421" s="158"/>
      <c r="AQ421" s="158"/>
      <c r="AR421" s="158"/>
    </row>
    <row r="422" spans="2:44">
      <c r="B422" s="158"/>
      <c r="C422" s="158"/>
      <c r="D422" s="158"/>
      <c r="E422" s="158"/>
      <c r="F422" s="158"/>
      <c r="G422" s="158"/>
      <c r="H422" s="158"/>
      <c r="I422" s="158"/>
      <c r="J422" s="158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  <c r="Y422" s="158"/>
      <c r="Z422" s="158"/>
      <c r="AA422" s="158"/>
      <c r="AB422" s="158"/>
      <c r="AC422" s="158"/>
      <c r="AD422" s="158"/>
      <c r="AE422" s="158"/>
      <c r="AF422" s="158"/>
      <c r="AG422" s="158"/>
      <c r="AH422" s="158"/>
      <c r="AI422" s="158"/>
      <c r="AJ422" s="158"/>
      <c r="AK422" s="158"/>
      <c r="AL422" s="158"/>
      <c r="AM422" s="158"/>
      <c r="AN422" s="158"/>
      <c r="AO422" s="158"/>
      <c r="AP422" s="158"/>
      <c r="AQ422" s="158"/>
      <c r="AR422" s="158"/>
    </row>
    <row r="423" spans="2:44">
      <c r="B423" s="158"/>
      <c r="C423" s="158"/>
      <c r="D423" s="158"/>
      <c r="E423" s="158"/>
      <c r="F423" s="158"/>
      <c r="G423" s="158"/>
      <c r="H423" s="158"/>
      <c r="I423" s="158"/>
      <c r="J423" s="158"/>
      <c r="K423" s="158"/>
      <c r="L423" s="158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8"/>
      <c r="Y423" s="158"/>
      <c r="Z423" s="158"/>
      <c r="AA423" s="158"/>
      <c r="AB423" s="158"/>
      <c r="AC423" s="158"/>
      <c r="AD423" s="158"/>
      <c r="AE423" s="158"/>
      <c r="AF423" s="158"/>
      <c r="AG423" s="158"/>
      <c r="AH423" s="158"/>
      <c r="AI423" s="158"/>
      <c r="AJ423" s="158"/>
      <c r="AK423" s="158"/>
      <c r="AL423" s="158"/>
      <c r="AM423" s="158"/>
      <c r="AN423" s="158"/>
      <c r="AO423" s="158"/>
      <c r="AP423" s="158"/>
      <c r="AQ423" s="158"/>
      <c r="AR423" s="158"/>
    </row>
    <row r="424" spans="2:44">
      <c r="B424" s="158"/>
      <c r="C424" s="158"/>
      <c r="D424" s="158"/>
      <c r="E424" s="158"/>
      <c r="F424" s="158"/>
      <c r="G424" s="158"/>
      <c r="H424" s="158"/>
      <c r="I424" s="158"/>
      <c r="J424" s="158"/>
      <c r="K424" s="158"/>
      <c r="L424" s="158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  <c r="X424" s="158"/>
      <c r="Y424" s="158"/>
      <c r="Z424" s="158"/>
      <c r="AA424" s="158"/>
      <c r="AB424" s="158"/>
      <c r="AC424" s="158"/>
      <c r="AD424" s="158"/>
      <c r="AE424" s="158"/>
      <c r="AF424" s="158"/>
      <c r="AG424" s="158"/>
      <c r="AH424" s="158"/>
      <c r="AI424" s="158"/>
      <c r="AJ424" s="158"/>
      <c r="AK424" s="158"/>
      <c r="AL424" s="158"/>
      <c r="AM424" s="158"/>
      <c r="AN424" s="158"/>
      <c r="AO424" s="158"/>
      <c r="AP424" s="158"/>
      <c r="AQ424" s="158"/>
      <c r="AR424" s="158"/>
    </row>
    <row r="425" spans="2:44">
      <c r="B425" s="158"/>
      <c r="C425" s="158"/>
      <c r="D425" s="158"/>
      <c r="E425" s="158"/>
      <c r="F425" s="158"/>
      <c r="G425" s="158"/>
      <c r="H425" s="158"/>
      <c r="I425" s="158"/>
      <c r="J425" s="158"/>
      <c r="K425" s="158"/>
      <c r="L425" s="158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158"/>
      <c r="X425" s="158"/>
      <c r="Y425" s="158"/>
      <c r="Z425" s="158"/>
      <c r="AA425" s="158"/>
      <c r="AB425" s="158"/>
      <c r="AC425" s="158"/>
      <c r="AD425" s="158"/>
      <c r="AE425" s="158"/>
      <c r="AF425" s="158"/>
      <c r="AG425" s="158"/>
      <c r="AH425" s="158"/>
      <c r="AI425" s="158"/>
      <c r="AJ425" s="158"/>
      <c r="AK425" s="158"/>
      <c r="AL425" s="158"/>
      <c r="AM425" s="158"/>
      <c r="AN425" s="158"/>
      <c r="AO425" s="158"/>
      <c r="AP425" s="158"/>
      <c r="AQ425" s="158"/>
      <c r="AR425" s="158"/>
    </row>
    <row r="426" spans="2:44">
      <c r="B426" s="158"/>
      <c r="C426" s="158"/>
      <c r="D426" s="158"/>
      <c r="E426" s="158"/>
      <c r="F426" s="158"/>
      <c r="G426" s="158"/>
      <c r="H426" s="158"/>
      <c r="I426" s="158"/>
      <c r="J426" s="158"/>
      <c r="K426" s="158"/>
      <c r="L426" s="158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8"/>
      <c r="Y426" s="158"/>
      <c r="Z426" s="158"/>
      <c r="AA426" s="158"/>
      <c r="AB426" s="158"/>
      <c r="AC426" s="158"/>
      <c r="AD426" s="158"/>
      <c r="AE426" s="158"/>
      <c r="AF426" s="158"/>
      <c r="AG426" s="158"/>
      <c r="AH426" s="158"/>
      <c r="AI426" s="158"/>
      <c r="AJ426" s="158"/>
      <c r="AK426" s="158"/>
      <c r="AL426" s="158"/>
      <c r="AM426" s="158"/>
      <c r="AN426" s="158"/>
      <c r="AO426" s="158"/>
      <c r="AP426" s="158"/>
      <c r="AQ426" s="158"/>
      <c r="AR426" s="158"/>
    </row>
    <row r="427" spans="2:44">
      <c r="B427" s="158"/>
      <c r="C427" s="158"/>
      <c r="D427" s="158"/>
      <c r="E427" s="158"/>
      <c r="F427" s="158"/>
      <c r="G427" s="158"/>
      <c r="H427" s="158"/>
      <c r="I427" s="158"/>
      <c r="J427" s="158"/>
      <c r="K427" s="158"/>
      <c r="L427" s="158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  <c r="X427" s="158"/>
      <c r="Y427" s="158"/>
      <c r="Z427" s="158"/>
      <c r="AA427" s="158"/>
      <c r="AB427" s="158"/>
      <c r="AC427" s="158"/>
      <c r="AD427" s="158"/>
      <c r="AE427" s="158"/>
      <c r="AF427" s="158"/>
      <c r="AG427" s="158"/>
      <c r="AH427" s="158"/>
      <c r="AI427" s="158"/>
      <c r="AJ427" s="158"/>
      <c r="AK427" s="158"/>
      <c r="AL427" s="158"/>
      <c r="AM427" s="158"/>
      <c r="AN427" s="158"/>
      <c r="AO427" s="158"/>
      <c r="AP427" s="158"/>
      <c r="AQ427" s="158"/>
      <c r="AR427" s="158"/>
    </row>
    <row r="428" spans="2:44">
      <c r="B428" s="158"/>
      <c r="C428" s="158"/>
      <c r="D428" s="158"/>
      <c r="E428" s="158"/>
      <c r="F428" s="158"/>
      <c r="G428" s="158"/>
      <c r="H428" s="158"/>
      <c r="I428" s="158"/>
      <c r="J428" s="158"/>
      <c r="K428" s="158"/>
      <c r="L428" s="158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  <c r="X428" s="158"/>
      <c r="Y428" s="158"/>
      <c r="Z428" s="158"/>
      <c r="AA428" s="158"/>
      <c r="AB428" s="158"/>
      <c r="AC428" s="158"/>
      <c r="AD428" s="158"/>
      <c r="AE428" s="158"/>
      <c r="AF428" s="158"/>
      <c r="AG428" s="158"/>
      <c r="AH428" s="158"/>
      <c r="AI428" s="158"/>
      <c r="AJ428" s="158"/>
      <c r="AK428" s="158"/>
      <c r="AL428" s="158"/>
      <c r="AM428" s="158"/>
      <c r="AN428" s="158"/>
      <c r="AO428" s="158"/>
      <c r="AP428" s="158"/>
      <c r="AQ428" s="158"/>
      <c r="AR428" s="158"/>
    </row>
    <row r="429" spans="2:44">
      <c r="B429" s="158"/>
      <c r="C429" s="158"/>
      <c r="D429" s="158"/>
      <c r="E429" s="158"/>
      <c r="F429" s="158"/>
      <c r="G429" s="158"/>
      <c r="H429" s="158"/>
      <c r="I429" s="158"/>
      <c r="J429" s="158"/>
      <c r="K429" s="158"/>
      <c r="L429" s="158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  <c r="X429" s="158"/>
      <c r="Y429" s="158"/>
      <c r="Z429" s="158"/>
      <c r="AA429" s="158"/>
      <c r="AB429" s="158"/>
      <c r="AC429" s="158"/>
      <c r="AD429" s="158"/>
      <c r="AE429" s="158"/>
      <c r="AF429" s="158"/>
      <c r="AG429" s="158"/>
      <c r="AH429" s="158"/>
      <c r="AI429" s="158"/>
      <c r="AJ429" s="158"/>
      <c r="AK429" s="158"/>
      <c r="AL429" s="158"/>
      <c r="AM429" s="158"/>
      <c r="AN429" s="158"/>
      <c r="AO429" s="158"/>
      <c r="AP429" s="158"/>
      <c r="AQ429" s="158"/>
      <c r="AR429" s="158"/>
    </row>
    <row r="430" spans="2:44">
      <c r="B430" s="158"/>
      <c r="C430" s="158"/>
      <c r="D430" s="158"/>
      <c r="E430" s="158"/>
      <c r="F430" s="158"/>
      <c r="G430" s="158"/>
      <c r="H430" s="158"/>
      <c r="I430" s="158"/>
      <c r="J430" s="158"/>
      <c r="K430" s="158"/>
      <c r="L430" s="158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  <c r="X430" s="158"/>
      <c r="Y430" s="158"/>
      <c r="Z430" s="158"/>
      <c r="AA430" s="158"/>
      <c r="AB430" s="158"/>
      <c r="AC430" s="158"/>
      <c r="AD430" s="158"/>
      <c r="AE430" s="158"/>
      <c r="AF430" s="158"/>
      <c r="AG430" s="158"/>
      <c r="AH430" s="158"/>
      <c r="AI430" s="158"/>
      <c r="AJ430" s="158"/>
      <c r="AK430" s="158"/>
      <c r="AL430" s="158"/>
      <c r="AM430" s="158"/>
      <c r="AN430" s="158"/>
      <c r="AO430" s="158"/>
      <c r="AP430" s="158"/>
      <c r="AQ430" s="158"/>
      <c r="AR430" s="158"/>
    </row>
    <row r="431" spans="2:44">
      <c r="B431" s="158"/>
      <c r="C431" s="158"/>
      <c r="D431" s="158"/>
      <c r="E431" s="158"/>
      <c r="F431" s="158"/>
      <c r="G431" s="158"/>
      <c r="H431" s="158"/>
      <c r="I431" s="158"/>
      <c r="J431" s="158"/>
      <c r="K431" s="158"/>
      <c r="L431" s="158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158"/>
      <c r="X431" s="158"/>
      <c r="Y431" s="158"/>
      <c r="Z431" s="158"/>
      <c r="AA431" s="158"/>
      <c r="AB431" s="158"/>
      <c r="AC431" s="158"/>
      <c r="AD431" s="158"/>
      <c r="AE431" s="158"/>
      <c r="AF431" s="158"/>
      <c r="AG431" s="158"/>
      <c r="AH431" s="158"/>
      <c r="AI431" s="158"/>
      <c r="AJ431" s="158"/>
      <c r="AK431" s="158"/>
      <c r="AL431" s="158"/>
      <c r="AM431" s="158"/>
      <c r="AN431" s="158"/>
      <c r="AO431" s="158"/>
      <c r="AP431" s="158"/>
      <c r="AQ431" s="158"/>
      <c r="AR431" s="158"/>
    </row>
    <row r="432" spans="2:44">
      <c r="B432" s="158"/>
      <c r="C432" s="158"/>
      <c r="D432" s="158"/>
      <c r="E432" s="158"/>
      <c r="F432" s="158"/>
      <c r="G432" s="158"/>
      <c r="H432" s="158"/>
      <c r="I432" s="158"/>
      <c r="J432" s="158"/>
      <c r="K432" s="158"/>
      <c r="L432" s="158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  <c r="X432" s="158"/>
      <c r="Y432" s="158"/>
      <c r="Z432" s="158"/>
      <c r="AA432" s="158"/>
      <c r="AB432" s="158"/>
      <c r="AC432" s="158"/>
      <c r="AD432" s="158"/>
      <c r="AE432" s="158"/>
      <c r="AF432" s="158"/>
      <c r="AG432" s="158"/>
      <c r="AH432" s="158"/>
      <c r="AI432" s="158"/>
      <c r="AJ432" s="158"/>
      <c r="AK432" s="158"/>
      <c r="AL432" s="158"/>
      <c r="AM432" s="158"/>
      <c r="AN432" s="158"/>
      <c r="AO432" s="158"/>
      <c r="AP432" s="158"/>
      <c r="AQ432" s="158"/>
      <c r="AR432" s="158"/>
    </row>
    <row r="433" spans="2:44">
      <c r="B433" s="158"/>
      <c r="C433" s="158"/>
      <c r="D433" s="158"/>
      <c r="E433" s="158"/>
      <c r="F433" s="158"/>
      <c r="G433" s="158"/>
      <c r="H433" s="158"/>
      <c r="I433" s="158"/>
      <c r="J433" s="158"/>
      <c r="K433" s="158"/>
      <c r="L433" s="158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  <c r="X433" s="158"/>
      <c r="Y433" s="158"/>
      <c r="Z433" s="158"/>
      <c r="AA433" s="158"/>
      <c r="AB433" s="158"/>
      <c r="AC433" s="158"/>
      <c r="AD433" s="158"/>
      <c r="AE433" s="158"/>
      <c r="AF433" s="158"/>
      <c r="AG433" s="158"/>
      <c r="AH433" s="158"/>
      <c r="AI433" s="158"/>
      <c r="AJ433" s="158"/>
      <c r="AK433" s="158"/>
      <c r="AL433" s="158"/>
      <c r="AM433" s="158"/>
      <c r="AN433" s="158"/>
      <c r="AO433" s="158"/>
      <c r="AP433" s="158"/>
      <c r="AQ433" s="158"/>
      <c r="AR433" s="158"/>
    </row>
    <row r="434" spans="2:44"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8"/>
      <c r="AF434" s="158"/>
      <c r="AG434" s="158"/>
      <c r="AH434" s="158"/>
      <c r="AI434" s="158"/>
      <c r="AJ434" s="158"/>
      <c r="AK434" s="158"/>
      <c r="AL434" s="158"/>
      <c r="AM434" s="158"/>
      <c r="AN434" s="158"/>
      <c r="AO434" s="158"/>
      <c r="AP434" s="158"/>
      <c r="AQ434" s="158"/>
      <c r="AR434" s="158"/>
    </row>
    <row r="435" spans="2:44">
      <c r="B435" s="158"/>
      <c r="C435" s="158"/>
      <c r="D435" s="158"/>
      <c r="E435" s="158"/>
      <c r="F435" s="158"/>
      <c r="G435" s="158"/>
      <c r="H435" s="158"/>
      <c r="I435" s="158"/>
      <c r="J435" s="158"/>
      <c r="K435" s="158"/>
      <c r="L435" s="158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158"/>
      <c r="X435" s="158"/>
      <c r="Y435" s="158"/>
      <c r="Z435" s="158"/>
      <c r="AA435" s="158"/>
      <c r="AB435" s="158"/>
      <c r="AC435" s="158"/>
      <c r="AD435" s="158"/>
      <c r="AE435" s="158"/>
      <c r="AF435" s="158"/>
      <c r="AG435" s="158"/>
      <c r="AH435" s="158"/>
      <c r="AI435" s="158"/>
      <c r="AJ435" s="158"/>
      <c r="AK435" s="158"/>
      <c r="AL435" s="158"/>
      <c r="AM435" s="158"/>
      <c r="AN435" s="158"/>
      <c r="AO435" s="158"/>
      <c r="AP435" s="158"/>
      <c r="AQ435" s="158"/>
      <c r="AR435" s="158"/>
    </row>
    <row r="436" spans="2:44">
      <c r="B436" s="158"/>
      <c r="C436" s="158"/>
      <c r="D436" s="158"/>
      <c r="E436" s="158"/>
      <c r="F436" s="158"/>
      <c r="G436" s="158"/>
      <c r="H436" s="158"/>
      <c r="I436" s="158"/>
      <c r="J436" s="158"/>
      <c r="K436" s="158"/>
      <c r="L436" s="158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  <c r="X436" s="158"/>
      <c r="Y436" s="158"/>
      <c r="Z436" s="158"/>
      <c r="AA436" s="158"/>
      <c r="AB436" s="158"/>
      <c r="AC436" s="158"/>
      <c r="AD436" s="158"/>
      <c r="AE436" s="158"/>
      <c r="AF436" s="158"/>
      <c r="AG436" s="158"/>
      <c r="AH436" s="158"/>
      <c r="AI436" s="158"/>
      <c r="AJ436" s="158"/>
      <c r="AK436" s="158"/>
      <c r="AL436" s="158"/>
      <c r="AM436" s="158"/>
      <c r="AN436" s="158"/>
      <c r="AO436" s="158"/>
      <c r="AP436" s="158"/>
      <c r="AQ436" s="158"/>
      <c r="AR436" s="158"/>
    </row>
    <row r="437" spans="2:44">
      <c r="B437" s="158"/>
      <c r="C437" s="158"/>
      <c r="D437" s="158"/>
      <c r="E437" s="158"/>
      <c r="F437" s="158"/>
      <c r="G437" s="158"/>
      <c r="H437" s="158"/>
      <c r="I437" s="158"/>
      <c r="J437" s="158"/>
      <c r="K437" s="158"/>
      <c r="L437" s="158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  <c r="X437" s="158"/>
      <c r="Y437" s="158"/>
      <c r="Z437" s="158"/>
      <c r="AA437" s="158"/>
      <c r="AB437" s="158"/>
      <c r="AC437" s="158"/>
      <c r="AD437" s="158"/>
      <c r="AE437" s="158"/>
      <c r="AF437" s="158"/>
      <c r="AG437" s="158"/>
      <c r="AH437" s="158"/>
      <c r="AI437" s="158"/>
      <c r="AJ437" s="158"/>
      <c r="AK437" s="158"/>
      <c r="AL437" s="158"/>
      <c r="AM437" s="158"/>
      <c r="AN437" s="158"/>
      <c r="AO437" s="158"/>
      <c r="AP437" s="158"/>
      <c r="AQ437" s="158"/>
      <c r="AR437" s="158"/>
    </row>
    <row r="438" spans="2:44">
      <c r="B438" s="158"/>
      <c r="C438" s="158"/>
      <c r="D438" s="158"/>
      <c r="E438" s="158"/>
      <c r="F438" s="158"/>
      <c r="G438" s="158"/>
      <c r="H438" s="158"/>
      <c r="I438" s="158"/>
      <c r="J438" s="158"/>
      <c r="K438" s="158"/>
      <c r="L438" s="158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  <c r="X438" s="158"/>
      <c r="Y438" s="158"/>
      <c r="Z438" s="158"/>
      <c r="AA438" s="158"/>
      <c r="AB438" s="158"/>
      <c r="AC438" s="158"/>
      <c r="AD438" s="158"/>
      <c r="AE438" s="158"/>
      <c r="AF438" s="158"/>
      <c r="AG438" s="158"/>
      <c r="AH438" s="158"/>
      <c r="AI438" s="158"/>
      <c r="AJ438" s="158"/>
      <c r="AK438" s="158"/>
      <c r="AL438" s="158"/>
      <c r="AM438" s="158"/>
      <c r="AN438" s="158"/>
      <c r="AO438" s="158"/>
      <c r="AP438" s="158"/>
      <c r="AQ438" s="158"/>
      <c r="AR438" s="158"/>
    </row>
    <row r="439" spans="2:44">
      <c r="B439" s="158"/>
      <c r="C439" s="158"/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  <c r="X439" s="158"/>
      <c r="Y439" s="158"/>
      <c r="Z439" s="158"/>
      <c r="AA439" s="158"/>
      <c r="AB439" s="158"/>
      <c r="AC439" s="158"/>
      <c r="AD439" s="158"/>
      <c r="AE439" s="158"/>
      <c r="AF439" s="158"/>
      <c r="AG439" s="158"/>
      <c r="AH439" s="158"/>
      <c r="AI439" s="158"/>
      <c r="AJ439" s="158"/>
      <c r="AK439" s="158"/>
      <c r="AL439" s="158"/>
      <c r="AM439" s="158"/>
      <c r="AN439" s="158"/>
      <c r="AO439" s="158"/>
      <c r="AP439" s="158"/>
      <c r="AQ439" s="158"/>
      <c r="AR439" s="158"/>
    </row>
    <row r="440" spans="2:44">
      <c r="B440" s="158"/>
      <c r="C440" s="158"/>
      <c r="D440" s="158"/>
      <c r="E440" s="158"/>
      <c r="F440" s="158"/>
      <c r="G440" s="158"/>
      <c r="H440" s="158"/>
      <c r="I440" s="158"/>
      <c r="J440" s="158"/>
      <c r="K440" s="158"/>
      <c r="L440" s="158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8"/>
      <c r="Y440" s="158"/>
      <c r="Z440" s="158"/>
      <c r="AA440" s="158"/>
      <c r="AB440" s="158"/>
      <c r="AC440" s="158"/>
      <c r="AD440" s="158"/>
      <c r="AE440" s="158"/>
      <c r="AF440" s="158"/>
      <c r="AG440" s="158"/>
      <c r="AH440" s="158"/>
      <c r="AI440" s="158"/>
      <c r="AJ440" s="158"/>
      <c r="AK440" s="158"/>
      <c r="AL440" s="158"/>
      <c r="AM440" s="158"/>
      <c r="AN440" s="158"/>
      <c r="AO440" s="158"/>
      <c r="AP440" s="158"/>
      <c r="AQ440" s="158"/>
      <c r="AR440" s="158"/>
    </row>
    <row r="441" spans="2:44">
      <c r="B441" s="158"/>
      <c r="C441" s="158"/>
      <c r="D441" s="158"/>
      <c r="E441" s="158"/>
      <c r="F441" s="158"/>
      <c r="G441" s="158"/>
      <c r="H441" s="158"/>
      <c r="I441" s="158"/>
      <c r="J441" s="158"/>
      <c r="K441" s="158"/>
      <c r="L441" s="158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  <c r="X441" s="158"/>
      <c r="Y441" s="158"/>
      <c r="Z441" s="158"/>
      <c r="AA441" s="158"/>
      <c r="AB441" s="158"/>
      <c r="AC441" s="158"/>
      <c r="AD441" s="158"/>
      <c r="AE441" s="158"/>
      <c r="AF441" s="158"/>
      <c r="AG441" s="158"/>
      <c r="AH441" s="158"/>
      <c r="AI441" s="158"/>
      <c r="AJ441" s="158"/>
      <c r="AK441" s="158"/>
      <c r="AL441" s="158"/>
      <c r="AM441" s="158"/>
      <c r="AN441" s="158"/>
      <c r="AO441" s="158"/>
      <c r="AP441" s="158"/>
      <c r="AQ441" s="158"/>
      <c r="AR441" s="158"/>
    </row>
    <row r="442" spans="2:44">
      <c r="B442" s="158"/>
      <c r="C442" s="158"/>
      <c r="D442" s="158"/>
      <c r="E442" s="158"/>
      <c r="F442" s="158"/>
      <c r="G442" s="158"/>
      <c r="H442" s="158"/>
      <c r="I442" s="158"/>
      <c r="J442" s="158"/>
      <c r="K442" s="158"/>
      <c r="L442" s="158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158"/>
      <c r="X442" s="158"/>
      <c r="Y442" s="158"/>
      <c r="Z442" s="158"/>
      <c r="AA442" s="158"/>
      <c r="AB442" s="158"/>
      <c r="AC442" s="158"/>
      <c r="AD442" s="158"/>
      <c r="AE442" s="158"/>
      <c r="AF442" s="158"/>
      <c r="AG442" s="158"/>
      <c r="AH442" s="158"/>
      <c r="AI442" s="158"/>
      <c r="AJ442" s="158"/>
      <c r="AK442" s="158"/>
      <c r="AL442" s="158"/>
      <c r="AM442" s="158"/>
      <c r="AN442" s="158"/>
      <c r="AO442" s="158"/>
      <c r="AP442" s="158"/>
      <c r="AQ442" s="158"/>
      <c r="AR442" s="158"/>
    </row>
    <row r="443" spans="2:44">
      <c r="B443" s="158"/>
      <c r="C443" s="158"/>
      <c r="D443" s="158"/>
      <c r="E443" s="158"/>
      <c r="F443" s="158"/>
      <c r="G443" s="158"/>
      <c r="H443" s="158"/>
      <c r="I443" s="158"/>
      <c r="J443" s="158"/>
      <c r="K443" s="158"/>
      <c r="L443" s="158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  <c r="X443" s="158"/>
      <c r="Y443" s="158"/>
      <c r="Z443" s="158"/>
      <c r="AA443" s="158"/>
      <c r="AB443" s="158"/>
      <c r="AC443" s="158"/>
      <c r="AD443" s="158"/>
      <c r="AE443" s="158"/>
      <c r="AF443" s="158"/>
      <c r="AG443" s="158"/>
      <c r="AH443" s="158"/>
      <c r="AI443" s="158"/>
      <c r="AJ443" s="158"/>
      <c r="AK443" s="158"/>
      <c r="AL443" s="158"/>
      <c r="AM443" s="158"/>
      <c r="AN443" s="158"/>
      <c r="AO443" s="158"/>
      <c r="AP443" s="158"/>
      <c r="AQ443" s="158"/>
      <c r="AR443" s="158"/>
    </row>
    <row r="444" spans="2:44">
      <c r="B444" s="158"/>
      <c r="C444" s="158"/>
      <c r="D444" s="158"/>
      <c r="E444" s="158"/>
      <c r="F444" s="158"/>
      <c r="G444" s="158"/>
      <c r="H444" s="158"/>
      <c r="I444" s="158"/>
      <c r="J444" s="158"/>
      <c r="K444" s="158"/>
      <c r="L444" s="158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  <c r="X444" s="158"/>
      <c r="Y444" s="158"/>
      <c r="Z444" s="158"/>
      <c r="AA444" s="158"/>
      <c r="AB444" s="158"/>
      <c r="AC444" s="158"/>
      <c r="AD444" s="158"/>
      <c r="AE444" s="158"/>
      <c r="AF444" s="158"/>
      <c r="AG444" s="158"/>
      <c r="AH444" s="158"/>
      <c r="AI444" s="158"/>
      <c r="AJ444" s="158"/>
      <c r="AK444" s="158"/>
      <c r="AL444" s="158"/>
      <c r="AM444" s="158"/>
      <c r="AN444" s="158"/>
      <c r="AO444" s="158"/>
      <c r="AP444" s="158"/>
      <c r="AQ444" s="158"/>
      <c r="AR444" s="158"/>
    </row>
    <row r="445" spans="2:44">
      <c r="B445" s="158"/>
      <c r="C445" s="158"/>
      <c r="D445" s="158"/>
      <c r="E445" s="158"/>
      <c r="F445" s="158"/>
      <c r="G445" s="158"/>
      <c r="H445" s="158"/>
      <c r="I445" s="158"/>
      <c r="J445" s="158"/>
      <c r="K445" s="158"/>
      <c r="L445" s="158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158"/>
      <c r="X445" s="158"/>
      <c r="Y445" s="158"/>
      <c r="Z445" s="158"/>
      <c r="AA445" s="158"/>
      <c r="AB445" s="158"/>
      <c r="AC445" s="158"/>
      <c r="AD445" s="158"/>
      <c r="AE445" s="158"/>
      <c r="AF445" s="158"/>
      <c r="AG445" s="158"/>
      <c r="AH445" s="158"/>
      <c r="AI445" s="158"/>
      <c r="AJ445" s="158"/>
      <c r="AK445" s="158"/>
      <c r="AL445" s="158"/>
      <c r="AM445" s="158"/>
      <c r="AN445" s="158"/>
      <c r="AO445" s="158"/>
      <c r="AP445" s="158"/>
      <c r="AQ445" s="158"/>
      <c r="AR445" s="158"/>
    </row>
    <row r="446" spans="2:44">
      <c r="B446" s="158"/>
      <c r="C446" s="158"/>
      <c r="D446" s="158"/>
      <c r="E446" s="158"/>
      <c r="F446" s="158"/>
      <c r="G446" s="158"/>
      <c r="H446" s="158"/>
      <c r="I446" s="158"/>
      <c r="J446" s="158"/>
      <c r="K446" s="158"/>
      <c r="L446" s="158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  <c r="X446" s="158"/>
      <c r="Y446" s="158"/>
      <c r="Z446" s="158"/>
      <c r="AA446" s="158"/>
      <c r="AB446" s="158"/>
      <c r="AC446" s="158"/>
      <c r="AD446" s="158"/>
      <c r="AE446" s="158"/>
      <c r="AF446" s="158"/>
      <c r="AG446" s="158"/>
      <c r="AH446" s="158"/>
      <c r="AI446" s="158"/>
      <c r="AJ446" s="158"/>
      <c r="AK446" s="158"/>
      <c r="AL446" s="158"/>
      <c r="AM446" s="158"/>
      <c r="AN446" s="158"/>
      <c r="AO446" s="158"/>
      <c r="AP446" s="158"/>
      <c r="AQ446" s="158"/>
      <c r="AR446" s="158"/>
    </row>
    <row r="447" spans="2:44">
      <c r="B447" s="158"/>
      <c r="C447" s="158"/>
      <c r="D447" s="158"/>
      <c r="E447" s="158"/>
      <c r="F447" s="158"/>
      <c r="G447" s="158"/>
      <c r="H447" s="158"/>
      <c r="I447" s="158"/>
      <c r="J447" s="158"/>
      <c r="K447" s="158"/>
      <c r="L447" s="158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  <c r="X447" s="158"/>
      <c r="Y447" s="158"/>
      <c r="Z447" s="158"/>
      <c r="AA447" s="158"/>
      <c r="AB447" s="158"/>
      <c r="AC447" s="158"/>
      <c r="AD447" s="158"/>
      <c r="AE447" s="158"/>
      <c r="AF447" s="158"/>
      <c r="AG447" s="158"/>
      <c r="AH447" s="158"/>
      <c r="AI447" s="158"/>
      <c r="AJ447" s="158"/>
      <c r="AK447" s="158"/>
      <c r="AL447" s="158"/>
      <c r="AM447" s="158"/>
      <c r="AN447" s="158"/>
      <c r="AO447" s="158"/>
      <c r="AP447" s="158"/>
      <c r="AQ447" s="158"/>
      <c r="AR447" s="158"/>
    </row>
    <row r="448" spans="2:44">
      <c r="B448" s="158"/>
      <c r="C448" s="158"/>
      <c r="D448" s="158"/>
      <c r="E448" s="158"/>
      <c r="F448" s="158"/>
      <c r="G448" s="158"/>
      <c r="H448" s="158"/>
      <c r="I448" s="158"/>
      <c r="J448" s="158"/>
      <c r="K448" s="158"/>
      <c r="L448" s="158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158"/>
      <c r="X448" s="158"/>
      <c r="Y448" s="158"/>
      <c r="Z448" s="158"/>
      <c r="AA448" s="158"/>
      <c r="AB448" s="158"/>
      <c r="AC448" s="158"/>
      <c r="AD448" s="158"/>
      <c r="AE448" s="158"/>
      <c r="AF448" s="158"/>
      <c r="AG448" s="158"/>
      <c r="AH448" s="158"/>
      <c r="AI448" s="158"/>
      <c r="AJ448" s="158"/>
      <c r="AK448" s="158"/>
      <c r="AL448" s="158"/>
      <c r="AM448" s="158"/>
      <c r="AN448" s="158"/>
      <c r="AO448" s="158"/>
      <c r="AP448" s="158"/>
      <c r="AQ448" s="158"/>
      <c r="AR448" s="158"/>
    </row>
    <row r="449" spans="2:44">
      <c r="B449" s="158"/>
      <c r="C449" s="158"/>
      <c r="D449" s="158"/>
      <c r="E449" s="158"/>
      <c r="F449" s="158"/>
      <c r="G449" s="158"/>
      <c r="H449" s="158"/>
      <c r="I449" s="158"/>
      <c r="J449" s="158"/>
      <c r="K449" s="158"/>
      <c r="L449" s="158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8"/>
      <c r="Y449" s="158"/>
      <c r="Z449" s="158"/>
      <c r="AA449" s="158"/>
      <c r="AB449" s="158"/>
      <c r="AC449" s="158"/>
      <c r="AD449" s="158"/>
      <c r="AE449" s="158"/>
      <c r="AF449" s="158"/>
      <c r="AG449" s="158"/>
      <c r="AH449" s="158"/>
      <c r="AI449" s="158"/>
      <c r="AJ449" s="158"/>
      <c r="AK449" s="158"/>
      <c r="AL449" s="158"/>
      <c r="AM449" s="158"/>
      <c r="AN449" s="158"/>
      <c r="AO449" s="158"/>
      <c r="AP449" s="158"/>
      <c r="AQ449" s="158"/>
      <c r="AR449" s="158"/>
    </row>
    <row r="450" spans="2:44">
      <c r="B450" s="158"/>
      <c r="C450" s="158"/>
      <c r="D450" s="158"/>
      <c r="E450" s="158"/>
      <c r="F450" s="158"/>
      <c r="G450" s="158"/>
      <c r="H450" s="158"/>
      <c r="I450" s="158"/>
      <c r="J450" s="158"/>
      <c r="K450" s="158"/>
      <c r="L450" s="158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  <c r="X450" s="158"/>
      <c r="Y450" s="158"/>
      <c r="Z450" s="158"/>
      <c r="AA450" s="158"/>
      <c r="AB450" s="158"/>
      <c r="AC450" s="158"/>
      <c r="AD450" s="158"/>
      <c r="AE450" s="158"/>
      <c r="AF450" s="158"/>
      <c r="AG450" s="158"/>
      <c r="AH450" s="158"/>
      <c r="AI450" s="158"/>
      <c r="AJ450" s="158"/>
      <c r="AK450" s="158"/>
      <c r="AL450" s="158"/>
      <c r="AM450" s="158"/>
      <c r="AN450" s="158"/>
      <c r="AO450" s="158"/>
      <c r="AP450" s="158"/>
      <c r="AQ450" s="158"/>
      <c r="AR450" s="158"/>
    </row>
    <row r="451" spans="2:44">
      <c r="B451" s="158"/>
      <c r="C451" s="158"/>
      <c r="D451" s="158"/>
      <c r="E451" s="158"/>
      <c r="F451" s="158"/>
      <c r="G451" s="158"/>
      <c r="H451" s="158"/>
      <c r="I451" s="158"/>
      <c r="J451" s="158"/>
      <c r="K451" s="158"/>
      <c r="L451" s="158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  <c r="X451" s="158"/>
      <c r="Y451" s="158"/>
      <c r="Z451" s="158"/>
      <c r="AA451" s="158"/>
      <c r="AB451" s="158"/>
      <c r="AC451" s="158"/>
      <c r="AD451" s="158"/>
      <c r="AE451" s="158"/>
      <c r="AF451" s="158"/>
      <c r="AG451" s="158"/>
      <c r="AH451" s="158"/>
      <c r="AI451" s="158"/>
      <c r="AJ451" s="158"/>
      <c r="AK451" s="158"/>
      <c r="AL451" s="158"/>
      <c r="AM451" s="158"/>
      <c r="AN451" s="158"/>
      <c r="AO451" s="158"/>
      <c r="AP451" s="158"/>
      <c r="AQ451" s="158"/>
      <c r="AR451" s="158"/>
    </row>
    <row r="452" spans="2:44">
      <c r="B452" s="158"/>
      <c r="C452" s="158"/>
      <c r="D452" s="158"/>
      <c r="E452" s="158"/>
      <c r="F452" s="158"/>
      <c r="G452" s="158"/>
      <c r="H452" s="158"/>
      <c r="I452" s="158"/>
      <c r="J452" s="158"/>
      <c r="K452" s="158"/>
      <c r="L452" s="158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  <c r="X452" s="158"/>
      <c r="Y452" s="158"/>
      <c r="Z452" s="158"/>
      <c r="AA452" s="158"/>
      <c r="AB452" s="158"/>
      <c r="AC452" s="158"/>
      <c r="AD452" s="158"/>
      <c r="AE452" s="158"/>
      <c r="AF452" s="158"/>
      <c r="AG452" s="158"/>
      <c r="AH452" s="158"/>
      <c r="AI452" s="158"/>
      <c r="AJ452" s="158"/>
      <c r="AK452" s="158"/>
      <c r="AL452" s="158"/>
      <c r="AM452" s="158"/>
      <c r="AN452" s="158"/>
      <c r="AO452" s="158"/>
      <c r="AP452" s="158"/>
      <c r="AQ452" s="158"/>
      <c r="AR452" s="158"/>
    </row>
    <row r="453" spans="2:44">
      <c r="B453" s="158"/>
      <c r="C453" s="158"/>
      <c r="D453" s="158"/>
      <c r="E453" s="158"/>
      <c r="F453" s="158"/>
      <c r="G453" s="158"/>
      <c r="H453" s="158"/>
      <c r="I453" s="158"/>
      <c r="J453" s="158"/>
      <c r="K453" s="158"/>
      <c r="L453" s="158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  <c r="X453" s="158"/>
      <c r="Y453" s="158"/>
      <c r="Z453" s="158"/>
      <c r="AA453" s="158"/>
      <c r="AB453" s="158"/>
      <c r="AC453" s="158"/>
      <c r="AD453" s="158"/>
      <c r="AE453" s="158"/>
      <c r="AF453" s="158"/>
      <c r="AG453" s="158"/>
      <c r="AH453" s="158"/>
      <c r="AI453" s="158"/>
      <c r="AJ453" s="158"/>
      <c r="AK453" s="158"/>
      <c r="AL453" s="158"/>
      <c r="AM453" s="158"/>
      <c r="AN453" s="158"/>
      <c r="AO453" s="158"/>
      <c r="AP453" s="158"/>
      <c r="AQ453" s="158"/>
      <c r="AR453" s="158"/>
    </row>
    <row r="454" spans="2:44">
      <c r="B454" s="158"/>
      <c r="C454" s="158"/>
      <c r="D454" s="158"/>
      <c r="E454" s="158"/>
      <c r="F454" s="158"/>
      <c r="G454" s="158"/>
      <c r="H454" s="158"/>
      <c r="I454" s="158"/>
      <c r="J454" s="158"/>
      <c r="K454" s="158"/>
      <c r="L454" s="158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  <c r="X454" s="158"/>
      <c r="Y454" s="158"/>
      <c r="Z454" s="158"/>
      <c r="AA454" s="158"/>
      <c r="AB454" s="158"/>
      <c r="AC454" s="158"/>
      <c r="AD454" s="158"/>
      <c r="AE454" s="158"/>
      <c r="AF454" s="158"/>
      <c r="AG454" s="158"/>
      <c r="AH454" s="158"/>
      <c r="AI454" s="158"/>
      <c r="AJ454" s="158"/>
      <c r="AK454" s="158"/>
      <c r="AL454" s="158"/>
      <c r="AM454" s="158"/>
      <c r="AN454" s="158"/>
      <c r="AO454" s="158"/>
      <c r="AP454" s="158"/>
      <c r="AQ454" s="158"/>
      <c r="AR454" s="158"/>
    </row>
    <row r="455" spans="2:44">
      <c r="B455" s="158"/>
      <c r="C455" s="158"/>
      <c r="D455" s="158"/>
      <c r="E455" s="158"/>
      <c r="F455" s="158"/>
      <c r="G455" s="158"/>
      <c r="H455" s="158"/>
      <c r="I455" s="158"/>
      <c r="J455" s="158"/>
      <c r="K455" s="158"/>
      <c r="L455" s="158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  <c r="X455" s="158"/>
      <c r="Y455" s="158"/>
      <c r="Z455" s="158"/>
      <c r="AA455" s="158"/>
      <c r="AB455" s="158"/>
      <c r="AC455" s="158"/>
      <c r="AD455" s="158"/>
      <c r="AE455" s="158"/>
      <c r="AF455" s="158"/>
      <c r="AG455" s="158"/>
      <c r="AH455" s="158"/>
      <c r="AI455" s="158"/>
      <c r="AJ455" s="158"/>
      <c r="AK455" s="158"/>
      <c r="AL455" s="158"/>
      <c r="AM455" s="158"/>
      <c r="AN455" s="158"/>
      <c r="AO455" s="158"/>
      <c r="AP455" s="158"/>
      <c r="AQ455" s="158"/>
      <c r="AR455" s="158"/>
    </row>
    <row r="456" spans="2:44">
      <c r="B456" s="158"/>
      <c r="C456" s="158"/>
      <c r="D456" s="158"/>
      <c r="E456" s="158"/>
      <c r="F456" s="158"/>
      <c r="G456" s="158"/>
      <c r="H456" s="158"/>
      <c r="I456" s="158"/>
      <c r="J456" s="158"/>
      <c r="K456" s="158"/>
      <c r="L456" s="158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8"/>
      <c r="Y456" s="158"/>
      <c r="Z456" s="158"/>
      <c r="AA456" s="158"/>
      <c r="AB456" s="158"/>
      <c r="AC456" s="158"/>
      <c r="AD456" s="158"/>
      <c r="AE456" s="158"/>
      <c r="AF456" s="158"/>
      <c r="AG456" s="158"/>
      <c r="AH456" s="158"/>
      <c r="AI456" s="158"/>
      <c r="AJ456" s="158"/>
      <c r="AK456" s="158"/>
      <c r="AL456" s="158"/>
      <c r="AM456" s="158"/>
      <c r="AN456" s="158"/>
      <c r="AO456" s="158"/>
      <c r="AP456" s="158"/>
      <c r="AQ456" s="158"/>
      <c r="AR456" s="158"/>
    </row>
    <row r="457" spans="2:44">
      <c r="B457" s="158"/>
      <c r="C457" s="158"/>
      <c r="D457" s="158"/>
      <c r="E457" s="158"/>
      <c r="F457" s="158"/>
      <c r="G457" s="158"/>
      <c r="H457" s="158"/>
      <c r="I457" s="158"/>
      <c r="J457" s="158"/>
      <c r="K457" s="158"/>
      <c r="L457" s="158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8"/>
      <c r="Y457" s="158"/>
      <c r="Z457" s="158"/>
      <c r="AA457" s="158"/>
      <c r="AB457" s="158"/>
      <c r="AC457" s="158"/>
      <c r="AD457" s="158"/>
      <c r="AE457" s="158"/>
      <c r="AF457" s="158"/>
      <c r="AG457" s="158"/>
      <c r="AH457" s="158"/>
      <c r="AI457" s="158"/>
      <c r="AJ457" s="158"/>
      <c r="AK457" s="158"/>
      <c r="AL457" s="158"/>
      <c r="AM457" s="158"/>
      <c r="AN457" s="158"/>
      <c r="AO457" s="158"/>
      <c r="AP457" s="158"/>
      <c r="AQ457" s="158"/>
      <c r="AR457" s="158"/>
    </row>
    <row r="458" spans="2:44">
      <c r="B458" s="158"/>
      <c r="C458" s="158"/>
      <c r="D458" s="158"/>
      <c r="E458" s="158"/>
      <c r="F458" s="158"/>
      <c r="G458" s="158"/>
      <c r="H458" s="158"/>
      <c r="I458" s="158"/>
      <c r="J458" s="158"/>
      <c r="K458" s="158"/>
      <c r="L458" s="158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  <c r="Y458" s="158"/>
      <c r="Z458" s="158"/>
      <c r="AA458" s="158"/>
      <c r="AB458" s="158"/>
      <c r="AC458" s="158"/>
      <c r="AD458" s="158"/>
      <c r="AE458" s="158"/>
      <c r="AF458" s="158"/>
      <c r="AG458" s="158"/>
      <c r="AH458" s="158"/>
      <c r="AI458" s="158"/>
      <c r="AJ458" s="158"/>
      <c r="AK458" s="158"/>
      <c r="AL458" s="158"/>
      <c r="AM458" s="158"/>
      <c r="AN458" s="158"/>
      <c r="AO458" s="158"/>
      <c r="AP458" s="158"/>
      <c r="AQ458" s="158"/>
      <c r="AR458" s="158"/>
    </row>
    <row r="459" spans="2:44">
      <c r="B459" s="158"/>
      <c r="C459" s="158"/>
      <c r="D459" s="158"/>
      <c r="E459" s="158"/>
      <c r="F459" s="158"/>
      <c r="G459" s="158"/>
      <c r="H459" s="158"/>
      <c r="I459" s="158"/>
      <c r="J459" s="158"/>
      <c r="K459" s="158"/>
      <c r="L459" s="158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8"/>
      <c r="Y459" s="158"/>
      <c r="Z459" s="158"/>
      <c r="AA459" s="158"/>
      <c r="AB459" s="158"/>
      <c r="AC459" s="158"/>
      <c r="AD459" s="158"/>
      <c r="AE459" s="158"/>
      <c r="AF459" s="158"/>
      <c r="AG459" s="158"/>
      <c r="AH459" s="158"/>
      <c r="AI459" s="158"/>
      <c r="AJ459" s="158"/>
      <c r="AK459" s="158"/>
      <c r="AL459" s="158"/>
      <c r="AM459" s="158"/>
      <c r="AN459" s="158"/>
      <c r="AO459" s="158"/>
      <c r="AP459" s="158"/>
      <c r="AQ459" s="158"/>
      <c r="AR459" s="158"/>
    </row>
    <row r="460" spans="2:44">
      <c r="B460" s="158"/>
      <c r="C460" s="158"/>
      <c r="D460" s="158"/>
      <c r="E460" s="158"/>
      <c r="F460" s="158"/>
      <c r="G460" s="158"/>
      <c r="H460" s="158"/>
      <c r="I460" s="158"/>
      <c r="J460" s="158"/>
      <c r="K460" s="158"/>
      <c r="L460" s="158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8"/>
      <c r="Y460" s="158"/>
      <c r="Z460" s="158"/>
      <c r="AA460" s="158"/>
      <c r="AB460" s="158"/>
      <c r="AC460" s="158"/>
      <c r="AD460" s="158"/>
      <c r="AE460" s="158"/>
      <c r="AF460" s="158"/>
      <c r="AG460" s="158"/>
      <c r="AH460" s="158"/>
      <c r="AI460" s="158"/>
      <c r="AJ460" s="158"/>
      <c r="AK460" s="158"/>
      <c r="AL460" s="158"/>
      <c r="AM460" s="158"/>
      <c r="AN460" s="158"/>
      <c r="AO460" s="158"/>
      <c r="AP460" s="158"/>
      <c r="AQ460" s="158"/>
      <c r="AR460" s="158"/>
    </row>
    <row r="461" spans="2:44">
      <c r="B461" s="158"/>
      <c r="C461" s="158"/>
      <c r="D461" s="158"/>
      <c r="E461" s="158"/>
      <c r="F461" s="158"/>
      <c r="G461" s="158"/>
      <c r="H461" s="158"/>
      <c r="I461" s="158"/>
      <c r="J461" s="158"/>
      <c r="K461" s="158"/>
      <c r="L461" s="158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8"/>
      <c r="Y461" s="158"/>
      <c r="Z461" s="158"/>
      <c r="AA461" s="158"/>
      <c r="AB461" s="158"/>
      <c r="AC461" s="158"/>
      <c r="AD461" s="158"/>
      <c r="AE461" s="158"/>
      <c r="AF461" s="158"/>
      <c r="AG461" s="158"/>
      <c r="AH461" s="158"/>
      <c r="AI461" s="158"/>
      <c r="AJ461" s="158"/>
      <c r="AK461" s="158"/>
      <c r="AL461" s="158"/>
      <c r="AM461" s="158"/>
      <c r="AN461" s="158"/>
      <c r="AO461" s="158"/>
      <c r="AP461" s="158"/>
      <c r="AQ461" s="158"/>
      <c r="AR461" s="158"/>
    </row>
    <row r="462" spans="2:44">
      <c r="B462" s="158"/>
      <c r="C462" s="158"/>
      <c r="D462" s="158"/>
      <c r="E462" s="158"/>
      <c r="F462" s="158"/>
      <c r="G462" s="158"/>
      <c r="H462" s="158"/>
      <c r="I462" s="158"/>
      <c r="J462" s="158"/>
      <c r="K462" s="158"/>
      <c r="L462" s="158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  <c r="X462" s="158"/>
      <c r="Y462" s="158"/>
      <c r="Z462" s="158"/>
      <c r="AA462" s="158"/>
      <c r="AB462" s="158"/>
      <c r="AC462" s="158"/>
      <c r="AD462" s="158"/>
      <c r="AE462" s="158"/>
      <c r="AF462" s="158"/>
      <c r="AG462" s="158"/>
      <c r="AH462" s="158"/>
      <c r="AI462" s="158"/>
      <c r="AJ462" s="158"/>
      <c r="AK462" s="158"/>
      <c r="AL462" s="158"/>
      <c r="AM462" s="158"/>
      <c r="AN462" s="158"/>
      <c r="AO462" s="158"/>
      <c r="AP462" s="158"/>
      <c r="AQ462" s="158"/>
      <c r="AR462" s="158"/>
    </row>
    <row r="463" spans="2:44">
      <c r="B463" s="158"/>
      <c r="C463" s="158"/>
      <c r="D463" s="158"/>
      <c r="E463" s="158"/>
      <c r="F463" s="158"/>
      <c r="G463" s="158"/>
      <c r="H463" s="158"/>
      <c r="I463" s="158"/>
      <c r="J463" s="158"/>
      <c r="K463" s="158"/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8"/>
      <c r="Y463" s="158"/>
      <c r="Z463" s="158"/>
      <c r="AA463" s="158"/>
      <c r="AB463" s="158"/>
      <c r="AC463" s="158"/>
      <c r="AD463" s="158"/>
      <c r="AE463" s="158"/>
      <c r="AF463" s="158"/>
      <c r="AG463" s="158"/>
      <c r="AH463" s="158"/>
      <c r="AI463" s="158"/>
      <c r="AJ463" s="158"/>
      <c r="AK463" s="158"/>
      <c r="AL463" s="158"/>
      <c r="AM463" s="158"/>
      <c r="AN463" s="158"/>
      <c r="AO463" s="158"/>
      <c r="AP463" s="158"/>
      <c r="AQ463" s="158"/>
      <c r="AR463" s="158"/>
    </row>
    <row r="464" spans="2:44">
      <c r="B464" s="158"/>
      <c r="C464" s="158"/>
      <c r="D464" s="158"/>
      <c r="E464" s="158"/>
      <c r="F464" s="158"/>
      <c r="G464" s="158"/>
      <c r="H464" s="158"/>
      <c r="I464" s="158"/>
      <c r="J464" s="158"/>
      <c r="K464" s="158"/>
      <c r="L464" s="158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  <c r="Y464" s="158"/>
      <c r="Z464" s="158"/>
      <c r="AA464" s="158"/>
      <c r="AB464" s="158"/>
      <c r="AC464" s="158"/>
      <c r="AD464" s="158"/>
      <c r="AE464" s="158"/>
      <c r="AF464" s="158"/>
      <c r="AG464" s="158"/>
      <c r="AH464" s="158"/>
      <c r="AI464" s="158"/>
      <c r="AJ464" s="158"/>
      <c r="AK464" s="158"/>
      <c r="AL464" s="158"/>
      <c r="AM464" s="158"/>
      <c r="AN464" s="158"/>
      <c r="AO464" s="158"/>
      <c r="AP464" s="158"/>
      <c r="AQ464" s="158"/>
      <c r="AR464" s="158"/>
    </row>
    <row r="465" spans="2:44">
      <c r="B465" s="158"/>
      <c r="C465" s="158"/>
      <c r="D465" s="158"/>
      <c r="E465" s="158"/>
      <c r="F465" s="158"/>
      <c r="G465" s="158"/>
      <c r="H465" s="158"/>
      <c r="I465" s="158"/>
      <c r="J465" s="158"/>
      <c r="K465" s="158"/>
      <c r="L465" s="158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8"/>
      <c r="Y465" s="158"/>
      <c r="Z465" s="158"/>
      <c r="AA465" s="158"/>
      <c r="AB465" s="158"/>
      <c r="AC465" s="158"/>
      <c r="AD465" s="158"/>
      <c r="AE465" s="158"/>
      <c r="AF465" s="158"/>
      <c r="AG465" s="158"/>
      <c r="AH465" s="158"/>
      <c r="AI465" s="158"/>
      <c r="AJ465" s="158"/>
      <c r="AK465" s="158"/>
      <c r="AL465" s="158"/>
      <c r="AM465" s="158"/>
      <c r="AN465" s="158"/>
      <c r="AO465" s="158"/>
      <c r="AP465" s="158"/>
      <c r="AQ465" s="158"/>
      <c r="AR465" s="158"/>
    </row>
    <row r="466" spans="2:44">
      <c r="B466" s="158"/>
      <c r="C466" s="158"/>
      <c r="D466" s="158"/>
      <c r="E466" s="158"/>
      <c r="F466" s="158"/>
      <c r="G466" s="158"/>
      <c r="H466" s="158"/>
      <c r="I466" s="158"/>
      <c r="J466" s="158"/>
      <c r="K466" s="158"/>
      <c r="L466" s="158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8"/>
      <c r="Y466" s="158"/>
      <c r="Z466" s="158"/>
      <c r="AA466" s="158"/>
      <c r="AB466" s="158"/>
      <c r="AC466" s="158"/>
      <c r="AD466" s="158"/>
      <c r="AE466" s="158"/>
      <c r="AF466" s="158"/>
      <c r="AG466" s="158"/>
      <c r="AH466" s="158"/>
      <c r="AI466" s="158"/>
      <c r="AJ466" s="158"/>
      <c r="AK466" s="158"/>
      <c r="AL466" s="158"/>
      <c r="AM466" s="158"/>
      <c r="AN466" s="158"/>
      <c r="AO466" s="158"/>
      <c r="AP466" s="158"/>
      <c r="AQ466" s="158"/>
      <c r="AR466" s="158"/>
    </row>
    <row r="467" spans="2:44">
      <c r="B467" s="158"/>
      <c r="C467" s="158"/>
      <c r="D467" s="158"/>
      <c r="E467" s="158"/>
      <c r="F467" s="158"/>
      <c r="G467" s="158"/>
      <c r="H467" s="158"/>
      <c r="I467" s="158"/>
      <c r="J467" s="158"/>
      <c r="K467" s="158"/>
      <c r="L467" s="158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8"/>
      <c r="Y467" s="158"/>
      <c r="Z467" s="158"/>
      <c r="AA467" s="158"/>
      <c r="AB467" s="158"/>
      <c r="AC467" s="158"/>
      <c r="AD467" s="158"/>
      <c r="AE467" s="158"/>
      <c r="AF467" s="158"/>
      <c r="AG467" s="158"/>
      <c r="AH467" s="158"/>
      <c r="AI467" s="158"/>
      <c r="AJ467" s="158"/>
      <c r="AK467" s="158"/>
      <c r="AL467" s="158"/>
      <c r="AM467" s="158"/>
      <c r="AN467" s="158"/>
      <c r="AO467" s="158"/>
      <c r="AP467" s="158"/>
      <c r="AQ467" s="158"/>
      <c r="AR467" s="158"/>
    </row>
    <row r="468" spans="2:44">
      <c r="B468" s="158"/>
      <c r="C468" s="158"/>
      <c r="D468" s="158"/>
      <c r="E468" s="158"/>
      <c r="F468" s="158"/>
      <c r="G468" s="158"/>
      <c r="H468" s="158"/>
      <c r="I468" s="158"/>
      <c r="J468" s="158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8"/>
      <c r="Y468" s="158"/>
      <c r="Z468" s="158"/>
      <c r="AA468" s="158"/>
      <c r="AB468" s="158"/>
      <c r="AC468" s="158"/>
      <c r="AD468" s="158"/>
      <c r="AE468" s="158"/>
      <c r="AF468" s="158"/>
      <c r="AG468" s="158"/>
      <c r="AH468" s="158"/>
      <c r="AI468" s="158"/>
      <c r="AJ468" s="158"/>
      <c r="AK468" s="158"/>
      <c r="AL468" s="158"/>
      <c r="AM468" s="158"/>
      <c r="AN468" s="158"/>
      <c r="AO468" s="158"/>
      <c r="AP468" s="158"/>
      <c r="AQ468" s="158"/>
      <c r="AR468" s="158"/>
    </row>
    <row r="469" spans="2:44">
      <c r="B469" s="158"/>
      <c r="C469" s="158"/>
      <c r="D469" s="158"/>
      <c r="E469" s="158"/>
      <c r="F469" s="158"/>
      <c r="G469" s="158"/>
      <c r="H469" s="158"/>
      <c r="I469" s="158"/>
      <c r="J469" s="158"/>
      <c r="K469" s="158"/>
      <c r="L469" s="158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8"/>
      <c r="Y469" s="158"/>
      <c r="Z469" s="158"/>
      <c r="AA469" s="158"/>
      <c r="AB469" s="158"/>
      <c r="AC469" s="158"/>
      <c r="AD469" s="158"/>
      <c r="AE469" s="158"/>
      <c r="AF469" s="158"/>
      <c r="AG469" s="158"/>
      <c r="AH469" s="158"/>
      <c r="AI469" s="158"/>
      <c r="AJ469" s="158"/>
      <c r="AK469" s="158"/>
      <c r="AL469" s="158"/>
      <c r="AM469" s="158"/>
      <c r="AN469" s="158"/>
      <c r="AO469" s="158"/>
      <c r="AP469" s="158"/>
      <c r="AQ469" s="158"/>
      <c r="AR469" s="158"/>
    </row>
    <row r="470" spans="2:44">
      <c r="B470" s="158"/>
      <c r="C470" s="158"/>
      <c r="D470" s="158"/>
      <c r="E470" s="158"/>
      <c r="F470" s="158"/>
      <c r="G470" s="158"/>
      <c r="H470" s="158"/>
      <c r="I470" s="158"/>
      <c r="J470" s="158"/>
      <c r="K470" s="158"/>
      <c r="L470" s="158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8"/>
      <c r="Y470" s="158"/>
      <c r="Z470" s="158"/>
      <c r="AA470" s="158"/>
      <c r="AB470" s="158"/>
      <c r="AC470" s="158"/>
      <c r="AD470" s="158"/>
      <c r="AE470" s="158"/>
      <c r="AF470" s="158"/>
      <c r="AG470" s="158"/>
      <c r="AH470" s="158"/>
      <c r="AI470" s="158"/>
      <c r="AJ470" s="158"/>
      <c r="AK470" s="158"/>
      <c r="AL470" s="158"/>
      <c r="AM470" s="158"/>
      <c r="AN470" s="158"/>
      <c r="AO470" s="158"/>
      <c r="AP470" s="158"/>
      <c r="AQ470" s="158"/>
      <c r="AR470" s="158"/>
    </row>
    <row r="471" spans="2:44">
      <c r="B471" s="158"/>
      <c r="C471" s="158"/>
      <c r="D471" s="158"/>
      <c r="E471" s="158"/>
      <c r="F471" s="158"/>
      <c r="G471" s="158"/>
      <c r="H471" s="158"/>
      <c r="I471" s="158"/>
      <c r="J471" s="158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8"/>
      <c r="Y471" s="158"/>
      <c r="Z471" s="158"/>
      <c r="AA471" s="158"/>
      <c r="AB471" s="158"/>
      <c r="AC471" s="158"/>
      <c r="AD471" s="158"/>
      <c r="AE471" s="158"/>
      <c r="AF471" s="158"/>
      <c r="AG471" s="158"/>
      <c r="AH471" s="158"/>
      <c r="AI471" s="158"/>
      <c r="AJ471" s="158"/>
      <c r="AK471" s="158"/>
      <c r="AL471" s="158"/>
      <c r="AM471" s="158"/>
      <c r="AN471" s="158"/>
      <c r="AO471" s="158"/>
      <c r="AP471" s="158"/>
      <c r="AQ471" s="158"/>
      <c r="AR471" s="158"/>
    </row>
    <row r="472" spans="2:44">
      <c r="B472" s="158"/>
      <c r="C472" s="158"/>
      <c r="D472" s="158"/>
      <c r="E472" s="158"/>
      <c r="F472" s="158"/>
      <c r="G472" s="158"/>
      <c r="H472" s="158"/>
      <c r="I472" s="158"/>
      <c r="J472" s="158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  <c r="Y472" s="158"/>
      <c r="Z472" s="158"/>
      <c r="AA472" s="158"/>
      <c r="AB472" s="158"/>
      <c r="AC472" s="158"/>
      <c r="AD472" s="158"/>
      <c r="AE472" s="158"/>
      <c r="AF472" s="158"/>
      <c r="AG472" s="158"/>
      <c r="AH472" s="158"/>
      <c r="AI472" s="158"/>
      <c r="AJ472" s="158"/>
      <c r="AK472" s="158"/>
      <c r="AL472" s="158"/>
      <c r="AM472" s="158"/>
      <c r="AN472" s="158"/>
      <c r="AO472" s="158"/>
      <c r="AP472" s="158"/>
      <c r="AQ472" s="158"/>
      <c r="AR472" s="158"/>
    </row>
    <row r="473" spans="2:44">
      <c r="B473" s="158"/>
      <c r="C473" s="158"/>
      <c r="D473" s="158"/>
      <c r="E473" s="158"/>
      <c r="F473" s="158"/>
      <c r="G473" s="158"/>
      <c r="H473" s="158"/>
      <c r="I473" s="158"/>
      <c r="J473" s="158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  <c r="Y473" s="158"/>
      <c r="Z473" s="158"/>
      <c r="AA473" s="158"/>
      <c r="AB473" s="158"/>
      <c r="AC473" s="158"/>
      <c r="AD473" s="158"/>
      <c r="AE473" s="158"/>
      <c r="AF473" s="158"/>
      <c r="AG473" s="158"/>
      <c r="AH473" s="158"/>
      <c r="AI473" s="158"/>
      <c r="AJ473" s="158"/>
      <c r="AK473" s="158"/>
      <c r="AL473" s="158"/>
      <c r="AM473" s="158"/>
      <c r="AN473" s="158"/>
      <c r="AO473" s="158"/>
      <c r="AP473" s="158"/>
      <c r="AQ473" s="158"/>
      <c r="AR473" s="158"/>
    </row>
    <row r="474" spans="2:44">
      <c r="B474" s="158"/>
      <c r="C474" s="158"/>
      <c r="D474" s="158"/>
      <c r="E474" s="158"/>
      <c r="F474" s="158"/>
      <c r="G474" s="158"/>
      <c r="H474" s="158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  <c r="Y474" s="158"/>
      <c r="Z474" s="158"/>
      <c r="AA474" s="158"/>
      <c r="AB474" s="158"/>
      <c r="AC474" s="158"/>
      <c r="AD474" s="158"/>
      <c r="AE474" s="158"/>
      <c r="AF474" s="158"/>
      <c r="AG474" s="158"/>
      <c r="AH474" s="158"/>
      <c r="AI474" s="158"/>
      <c r="AJ474" s="158"/>
      <c r="AK474" s="158"/>
      <c r="AL474" s="158"/>
      <c r="AM474" s="158"/>
      <c r="AN474" s="158"/>
      <c r="AO474" s="158"/>
      <c r="AP474" s="158"/>
      <c r="AQ474" s="158"/>
      <c r="AR474" s="158"/>
    </row>
    <row r="475" spans="2:44">
      <c r="B475" s="158"/>
      <c r="C475" s="158"/>
      <c r="D475" s="158"/>
      <c r="E475" s="158"/>
      <c r="F475" s="158"/>
      <c r="G475" s="158"/>
      <c r="H475" s="158"/>
      <c r="I475" s="158"/>
      <c r="J475" s="158"/>
      <c r="K475" s="158"/>
      <c r="L475" s="158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8"/>
      <c r="Y475" s="158"/>
      <c r="Z475" s="158"/>
      <c r="AA475" s="158"/>
      <c r="AB475" s="158"/>
      <c r="AC475" s="158"/>
      <c r="AD475" s="158"/>
      <c r="AE475" s="158"/>
      <c r="AF475" s="158"/>
      <c r="AG475" s="158"/>
      <c r="AH475" s="158"/>
      <c r="AI475" s="158"/>
      <c r="AJ475" s="158"/>
      <c r="AK475" s="158"/>
      <c r="AL475" s="158"/>
      <c r="AM475" s="158"/>
      <c r="AN475" s="158"/>
      <c r="AO475" s="158"/>
      <c r="AP475" s="158"/>
      <c r="AQ475" s="158"/>
      <c r="AR475" s="158"/>
    </row>
    <row r="476" spans="2:44">
      <c r="B476" s="158"/>
      <c r="C476" s="158"/>
      <c r="D476" s="158"/>
      <c r="E476" s="158"/>
      <c r="F476" s="158"/>
      <c r="G476" s="158"/>
      <c r="H476" s="158"/>
      <c r="I476" s="158"/>
      <c r="J476" s="158"/>
      <c r="K476" s="158"/>
      <c r="L476" s="158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8"/>
      <c r="Y476" s="158"/>
      <c r="Z476" s="158"/>
      <c r="AA476" s="158"/>
      <c r="AB476" s="158"/>
      <c r="AC476" s="158"/>
      <c r="AD476" s="158"/>
      <c r="AE476" s="158"/>
      <c r="AF476" s="158"/>
      <c r="AG476" s="158"/>
      <c r="AH476" s="158"/>
      <c r="AI476" s="158"/>
      <c r="AJ476" s="158"/>
      <c r="AK476" s="158"/>
      <c r="AL476" s="158"/>
      <c r="AM476" s="158"/>
      <c r="AN476" s="158"/>
      <c r="AO476" s="158"/>
      <c r="AP476" s="158"/>
      <c r="AQ476" s="158"/>
      <c r="AR476" s="158"/>
    </row>
    <row r="477" spans="2:44">
      <c r="B477" s="158"/>
      <c r="C477" s="158"/>
      <c r="D477" s="158"/>
      <c r="E477" s="158"/>
      <c r="F477" s="158"/>
      <c r="G477" s="158"/>
      <c r="H477" s="158"/>
      <c r="I477" s="158"/>
      <c r="J477" s="158"/>
      <c r="K477" s="158"/>
      <c r="L477" s="158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  <c r="X477" s="158"/>
      <c r="Y477" s="158"/>
      <c r="Z477" s="158"/>
      <c r="AA477" s="158"/>
      <c r="AB477" s="158"/>
      <c r="AC477" s="158"/>
      <c r="AD477" s="158"/>
      <c r="AE477" s="158"/>
      <c r="AF477" s="158"/>
      <c r="AG477" s="158"/>
      <c r="AH477" s="158"/>
      <c r="AI477" s="158"/>
      <c r="AJ477" s="158"/>
      <c r="AK477" s="158"/>
      <c r="AL477" s="158"/>
      <c r="AM477" s="158"/>
      <c r="AN477" s="158"/>
      <c r="AO477" s="158"/>
      <c r="AP477" s="158"/>
      <c r="AQ477" s="158"/>
      <c r="AR477" s="158"/>
    </row>
    <row r="478" spans="2:44">
      <c r="B478" s="158"/>
      <c r="C478" s="158"/>
      <c r="D478" s="158"/>
      <c r="E478" s="158"/>
      <c r="F478" s="158"/>
      <c r="G478" s="158"/>
      <c r="H478" s="158"/>
      <c r="I478" s="158"/>
      <c r="J478" s="158"/>
      <c r="K478" s="158"/>
      <c r="L478" s="158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  <c r="X478" s="158"/>
      <c r="Y478" s="158"/>
      <c r="Z478" s="158"/>
      <c r="AA478" s="158"/>
      <c r="AB478" s="158"/>
      <c r="AC478" s="158"/>
      <c r="AD478" s="158"/>
      <c r="AE478" s="158"/>
      <c r="AF478" s="158"/>
      <c r="AG478" s="158"/>
      <c r="AH478" s="158"/>
      <c r="AI478" s="158"/>
      <c r="AJ478" s="158"/>
      <c r="AK478" s="158"/>
      <c r="AL478" s="158"/>
      <c r="AM478" s="158"/>
      <c r="AN478" s="158"/>
      <c r="AO478" s="158"/>
      <c r="AP478" s="158"/>
      <c r="AQ478" s="158"/>
      <c r="AR478" s="158"/>
    </row>
    <row r="479" spans="2:44">
      <c r="B479" s="158"/>
      <c r="C479" s="158"/>
      <c r="D479" s="158"/>
      <c r="E479" s="158"/>
      <c r="F479" s="158"/>
      <c r="G479" s="158"/>
      <c r="H479" s="158"/>
      <c r="I479" s="158"/>
      <c r="J479" s="158"/>
      <c r="K479" s="158"/>
      <c r="L479" s="158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  <c r="X479" s="158"/>
      <c r="Y479" s="158"/>
      <c r="Z479" s="158"/>
      <c r="AA479" s="158"/>
      <c r="AB479" s="158"/>
      <c r="AC479" s="158"/>
      <c r="AD479" s="158"/>
      <c r="AE479" s="158"/>
      <c r="AF479" s="158"/>
      <c r="AG479" s="158"/>
      <c r="AH479" s="158"/>
      <c r="AI479" s="158"/>
      <c r="AJ479" s="158"/>
      <c r="AK479" s="158"/>
      <c r="AL479" s="158"/>
      <c r="AM479" s="158"/>
      <c r="AN479" s="158"/>
      <c r="AO479" s="158"/>
      <c r="AP479" s="158"/>
      <c r="AQ479" s="158"/>
      <c r="AR479" s="158"/>
    </row>
    <row r="480" spans="2:44">
      <c r="B480" s="158"/>
      <c r="C480" s="158"/>
      <c r="D480" s="158"/>
      <c r="E480" s="158"/>
      <c r="F480" s="158"/>
      <c r="G480" s="158"/>
      <c r="H480" s="158"/>
      <c r="I480" s="158"/>
      <c r="J480" s="158"/>
      <c r="K480" s="158"/>
      <c r="L480" s="158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8"/>
      <c r="Y480" s="158"/>
      <c r="Z480" s="158"/>
      <c r="AA480" s="158"/>
      <c r="AB480" s="158"/>
      <c r="AC480" s="158"/>
      <c r="AD480" s="158"/>
      <c r="AE480" s="158"/>
      <c r="AF480" s="158"/>
      <c r="AG480" s="158"/>
      <c r="AH480" s="158"/>
      <c r="AI480" s="158"/>
      <c r="AJ480" s="158"/>
      <c r="AK480" s="158"/>
      <c r="AL480" s="158"/>
      <c r="AM480" s="158"/>
      <c r="AN480" s="158"/>
      <c r="AO480" s="158"/>
      <c r="AP480" s="158"/>
      <c r="AQ480" s="158"/>
      <c r="AR480" s="158"/>
    </row>
    <row r="481" spans="2:44">
      <c r="B481" s="158"/>
      <c r="C481" s="158"/>
      <c r="D481" s="158"/>
      <c r="E481" s="158"/>
      <c r="F481" s="158"/>
      <c r="G481" s="158"/>
      <c r="H481" s="158"/>
      <c r="I481" s="158"/>
      <c r="J481" s="158"/>
      <c r="K481" s="158"/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8"/>
      <c r="Y481" s="158"/>
      <c r="Z481" s="158"/>
      <c r="AA481" s="158"/>
      <c r="AB481" s="158"/>
      <c r="AC481" s="158"/>
      <c r="AD481" s="158"/>
      <c r="AE481" s="158"/>
      <c r="AF481" s="158"/>
      <c r="AG481" s="158"/>
      <c r="AH481" s="158"/>
      <c r="AI481" s="158"/>
      <c r="AJ481" s="158"/>
      <c r="AK481" s="158"/>
      <c r="AL481" s="158"/>
      <c r="AM481" s="158"/>
      <c r="AN481" s="158"/>
      <c r="AO481" s="158"/>
      <c r="AP481" s="158"/>
      <c r="AQ481" s="158"/>
      <c r="AR481" s="158"/>
    </row>
    <row r="482" spans="2:44">
      <c r="B482" s="158"/>
      <c r="C482" s="158"/>
      <c r="D482" s="158"/>
      <c r="E482" s="158"/>
      <c r="F482" s="158"/>
      <c r="G482" s="158"/>
      <c r="H482" s="158"/>
      <c r="I482" s="158"/>
      <c r="J482" s="158"/>
      <c r="K482" s="158"/>
      <c r="L482" s="158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8"/>
      <c r="Y482" s="158"/>
      <c r="Z482" s="158"/>
      <c r="AA482" s="158"/>
      <c r="AB482" s="158"/>
      <c r="AC482" s="158"/>
      <c r="AD482" s="158"/>
      <c r="AE482" s="158"/>
      <c r="AF482" s="158"/>
      <c r="AG482" s="158"/>
      <c r="AH482" s="158"/>
      <c r="AI482" s="158"/>
      <c r="AJ482" s="158"/>
      <c r="AK482" s="158"/>
      <c r="AL482" s="158"/>
      <c r="AM482" s="158"/>
      <c r="AN482" s="158"/>
      <c r="AO482" s="158"/>
      <c r="AP482" s="158"/>
      <c r="AQ482" s="158"/>
      <c r="AR482" s="158"/>
    </row>
    <row r="483" spans="2:44">
      <c r="B483" s="158"/>
      <c r="C483" s="158"/>
      <c r="D483" s="158"/>
      <c r="E483" s="158"/>
      <c r="F483" s="158"/>
      <c r="G483" s="158"/>
      <c r="H483" s="158"/>
      <c r="I483" s="158"/>
      <c r="J483" s="158"/>
      <c r="K483" s="158"/>
      <c r="L483" s="158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8"/>
      <c r="Y483" s="158"/>
      <c r="Z483" s="158"/>
      <c r="AA483" s="158"/>
      <c r="AB483" s="158"/>
      <c r="AC483" s="158"/>
      <c r="AD483" s="158"/>
      <c r="AE483" s="158"/>
      <c r="AF483" s="158"/>
      <c r="AG483" s="158"/>
      <c r="AH483" s="158"/>
      <c r="AI483" s="158"/>
      <c r="AJ483" s="158"/>
      <c r="AK483" s="158"/>
      <c r="AL483" s="158"/>
      <c r="AM483" s="158"/>
      <c r="AN483" s="158"/>
      <c r="AO483" s="158"/>
      <c r="AP483" s="158"/>
      <c r="AQ483" s="158"/>
      <c r="AR483" s="158"/>
    </row>
    <row r="484" spans="2:44">
      <c r="B484" s="158"/>
      <c r="C484" s="158"/>
      <c r="D484" s="158"/>
      <c r="E484" s="158"/>
      <c r="F484" s="158"/>
      <c r="G484" s="158"/>
      <c r="H484" s="158"/>
      <c r="I484" s="158"/>
      <c r="J484" s="158"/>
      <c r="K484" s="158"/>
      <c r="L484" s="158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  <c r="X484" s="158"/>
      <c r="Y484" s="158"/>
      <c r="Z484" s="158"/>
      <c r="AA484" s="158"/>
      <c r="AB484" s="158"/>
      <c r="AC484" s="158"/>
      <c r="AD484" s="158"/>
      <c r="AE484" s="158"/>
      <c r="AF484" s="158"/>
      <c r="AG484" s="158"/>
      <c r="AH484" s="158"/>
      <c r="AI484" s="158"/>
      <c r="AJ484" s="158"/>
      <c r="AK484" s="158"/>
      <c r="AL484" s="158"/>
      <c r="AM484" s="158"/>
      <c r="AN484" s="158"/>
      <c r="AO484" s="158"/>
      <c r="AP484" s="158"/>
      <c r="AQ484" s="158"/>
      <c r="AR484" s="158"/>
    </row>
    <row r="485" spans="2:44">
      <c r="B485" s="158"/>
      <c r="C485" s="158"/>
      <c r="D485" s="158"/>
      <c r="E485" s="158"/>
      <c r="F485" s="158"/>
      <c r="G485" s="158"/>
      <c r="H485" s="158"/>
      <c r="I485" s="158"/>
      <c r="J485" s="158"/>
      <c r="K485" s="158"/>
      <c r="L485" s="158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8"/>
      <c r="Y485" s="158"/>
      <c r="Z485" s="158"/>
      <c r="AA485" s="158"/>
      <c r="AB485" s="158"/>
      <c r="AC485" s="158"/>
      <c r="AD485" s="158"/>
      <c r="AE485" s="158"/>
      <c r="AF485" s="158"/>
      <c r="AG485" s="158"/>
      <c r="AH485" s="158"/>
      <c r="AI485" s="158"/>
      <c r="AJ485" s="158"/>
      <c r="AK485" s="158"/>
      <c r="AL485" s="158"/>
      <c r="AM485" s="158"/>
      <c r="AN485" s="158"/>
      <c r="AO485" s="158"/>
      <c r="AP485" s="158"/>
      <c r="AQ485" s="158"/>
      <c r="AR485" s="158"/>
    </row>
    <row r="486" spans="2:44">
      <c r="B486" s="158"/>
      <c r="C486" s="158"/>
      <c r="D486" s="158"/>
      <c r="E486" s="158"/>
      <c r="F486" s="158"/>
      <c r="G486" s="158"/>
      <c r="H486" s="158"/>
      <c r="I486" s="158"/>
      <c r="J486" s="158"/>
      <c r="K486" s="158"/>
      <c r="L486" s="158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8"/>
      <c r="Y486" s="158"/>
      <c r="Z486" s="158"/>
      <c r="AA486" s="158"/>
      <c r="AB486" s="158"/>
      <c r="AC486" s="158"/>
      <c r="AD486" s="158"/>
      <c r="AE486" s="158"/>
      <c r="AF486" s="158"/>
      <c r="AG486" s="158"/>
      <c r="AH486" s="158"/>
      <c r="AI486" s="158"/>
      <c r="AJ486" s="158"/>
      <c r="AK486" s="158"/>
      <c r="AL486" s="158"/>
      <c r="AM486" s="158"/>
      <c r="AN486" s="158"/>
      <c r="AO486" s="158"/>
      <c r="AP486" s="158"/>
      <c r="AQ486" s="158"/>
      <c r="AR486" s="158"/>
    </row>
    <row r="487" spans="2:44"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8"/>
      <c r="AF487" s="158"/>
      <c r="AG487" s="158"/>
      <c r="AH487" s="158"/>
      <c r="AI487" s="158"/>
      <c r="AJ487" s="158"/>
      <c r="AK487" s="158"/>
      <c r="AL487" s="158"/>
      <c r="AM487" s="158"/>
      <c r="AN487" s="158"/>
      <c r="AO487" s="158"/>
      <c r="AP487" s="158"/>
      <c r="AQ487" s="158"/>
      <c r="AR487" s="158"/>
    </row>
    <row r="488" spans="2:44">
      <c r="B488" s="158"/>
      <c r="C488" s="158"/>
      <c r="D488" s="158"/>
      <c r="E488" s="158"/>
      <c r="F488" s="158"/>
      <c r="G488" s="158"/>
      <c r="H488" s="158"/>
      <c r="I488" s="158"/>
      <c r="J488" s="158"/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  <c r="Y488" s="158"/>
      <c r="Z488" s="158"/>
      <c r="AA488" s="158"/>
      <c r="AB488" s="158"/>
      <c r="AC488" s="158"/>
      <c r="AD488" s="158"/>
      <c r="AE488" s="158"/>
      <c r="AF488" s="158"/>
      <c r="AG488" s="158"/>
      <c r="AH488" s="158"/>
      <c r="AI488" s="158"/>
      <c r="AJ488" s="158"/>
      <c r="AK488" s="158"/>
      <c r="AL488" s="158"/>
      <c r="AM488" s="158"/>
      <c r="AN488" s="158"/>
      <c r="AO488" s="158"/>
      <c r="AP488" s="158"/>
      <c r="AQ488" s="158"/>
      <c r="AR488" s="158"/>
    </row>
    <row r="489" spans="2:44">
      <c r="B489" s="158"/>
      <c r="C489" s="158"/>
      <c r="D489" s="158"/>
      <c r="E489" s="158"/>
      <c r="F489" s="158"/>
      <c r="G489" s="158"/>
      <c r="H489" s="158"/>
      <c r="I489" s="158"/>
      <c r="J489" s="158"/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  <c r="Y489" s="158"/>
      <c r="Z489" s="158"/>
      <c r="AA489" s="158"/>
      <c r="AB489" s="158"/>
      <c r="AC489" s="158"/>
      <c r="AD489" s="158"/>
      <c r="AE489" s="158"/>
      <c r="AF489" s="158"/>
      <c r="AG489" s="158"/>
      <c r="AH489" s="158"/>
      <c r="AI489" s="158"/>
      <c r="AJ489" s="158"/>
      <c r="AK489" s="158"/>
      <c r="AL489" s="158"/>
      <c r="AM489" s="158"/>
      <c r="AN489" s="158"/>
      <c r="AO489" s="158"/>
      <c r="AP489" s="158"/>
      <c r="AQ489" s="158"/>
      <c r="AR489" s="158"/>
    </row>
    <row r="490" spans="2:44">
      <c r="B490" s="158"/>
      <c r="C490" s="158"/>
      <c r="D490" s="158"/>
      <c r="E490" s="158"/>
      <c r="F490" s="158"/>
      <c r="G490" s="158"/>
      <c r="H490" s="158"/>
      <c r="I490" s="158"/>
      <c r="J490" s="158"/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  <c r="Y490" s="158"/>
      <c r="Z490" s="158"/>
      <c r="AA490" s="158"/>
      <c r="AB490" s="158"/>
      <c r="AC490" s="158"/>
      <c r="AD490" s="158"/>
      <c r="AE490" s="158"/>
      <c r="AF490" s="158"/>
      <c r="AG490" s="158"/>
      <c r="AH490" s="158"/>
      <c r="AI490" s="158"/>
      <c r="AJ490" s="158"/>
      <c r="AK490" s="158"/>
      <c r="AL490" s="158"/>
      <c r="AM490" s="158"/>
      <c r="AN490" s="158"/>
      <c r="AO490" s="158"/>
      <c r="AP490" s="158"/>
      <c r="AQ490" s="158"/>
      <c r="AR490" s="158"/>
    </row>
    <row r="491" spans="2:44">
      <c r="B491" s="158"/>
      <c r="C491" s="158"/>
      <c r="D491" s="158"/>
      <c r="E491" s="158"/>
      <c r="F491" s="158"/>
      <c r="G491" s="158"/>
      <c r="H491" s="158"/>
      <c r="I491" s="158"/>
      <c r="J491" s="158"/>
      <c r="K491" s="158"/>
      <c r="L491" s="158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  <c r="X491" s="158"/>
      <c r="Y491" s="158"/>
      <c r="Z491" s="158"/>
      <c r="AA491" s="158"/>
      <c r="AB491" s="158"/>
      <c r="AC491" s="158"/>
      <c r="AD491" s="158"/>
      <c r="AE491" s="158"/>
      <c r="AF491" s="158"/>
      <c r="AG491" s="158"/>
      <c r="AH491" s="158"/>
      <c r="AI491" s="158"/>
      <c r="AJ491" s="158"/>
      <c r="AK491" s="158"/>
      <c r="AL491" s="158"/>
      <c r="AM491" s="158"/>
      <c r="AN491" s="158"/>
      <c r="AO491" s="158"/>
      <c r="AP491" s="158"/>
      <c r="AQ491" s="158"/>
      <c r="AR491" s="158"/>
    </row>
    <row r="492" spans="2:44">
      <c r="B492" s="158"/>
      <c r="C492" s="158"/>
      <c r="D492" s="158"/>
      <c r="E492" s="158"/>
      <c r="F492" s="158"/>
      <c r="G492" s="158"/>
      <c r="H492" s="158"/>
      <c r="I492" s="158"/>
      <c r="J492" s="158"/>
      <c r="K492" s="158"/>
      <c r="L492" s="158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8"/>
      <c r="Y492" s="158"/>
      <c r="Z492" s="158"/>
      <c r="AA492" s="158"/>
      <c r="AB492" s="158"/>
      <c r="AC492" s="158"/>
      <c r="AD492" s="158"/>
      <c r="AE492" s="158"/>
      <c r="AF492" s="158"/>
      <c r="AG492" s="158"/>
      <c r="AH492" s="158"/>
      <c r="AI492" s="158"/>
      <c r="AJ492" s="158"/>
      <c r="AK492" s="158"/>
      <c r="AL492" s="158"/>
      <c r="AM492" s="158"/>
      <c r="AN492" s="158"/>
      <c r="AO492" s="158"/>
      <c r="AP492" s="158"/>
      <c r="AQ492" s="158"/>
      <c r="AR492" s="158"/>
    </row>
    <row r="493" spans="2:44">
      <c r="B493" s="158"/>
      <c r="C493" s="158"/>
      <c r="D493" s="158"/>
      <c r="E493" s="158"/>
      <c r="F493" s="158"/>
      <c r="G493" s="158"/>
      <c r="H493" s="158"/>
      <c r="I493" s="158"/>
      <c r="J493" s="158"/>
      <c r="K493" s="158"/>
      <c r="L493" s="158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8"/>
      <c r="Y493" s="158"/>
      <c r="Z493" s="158"/>
      <c r="AA493" s="158"/>
      <c r="AB493" s="158"/>
      <c r="AC493" s="158"/>
      <c r="AD493" s="158"/>
      <c r="AE493" s="158"/>
      <c r="AF493" s="158"/>
      <c r="AG493" s="158"/>
      <c r="AH493" s="158"/>
      <c r="AI493" s="158"/>
      <c r="AJ493" s="158"/>
      <c r="AK493" s="158"/>
      <c r="AL493" s="158"/>
      <c r="AM493" s="158"/>
      <c r="AN493" s="158"/>
      <c r="AO493" s="158"/>
      <c r="AP493" s="158"/>
      <c r="AQ493" s="158"/>
      <c r="AR493" s="158"/>
    </row>
    <row r="494" spans="2:44">
      <c r="B494" s="158"/>
      <c r="C494" s="158"/>
      <c r="D494" s="158"/>
      <c r="E494" s="158"/>
      <c r="F494" s="158"/>
      <c r="G494" s="158"/>
      <c r="H494" s="158"/>
      <c r="I494" s="158"/>
      <c r="J494" s="158"/>
      <c r="K494" s="158"/>
      <c r="L494" s="158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  <c r="Y494" s="158"/>
      <c r="Z494" s="158"/>
      <c r="AA494" s="158"/>
      <c r="AB494" s="158"/>
      <c r="AC494" s="158"/>
      <c r="AD494" s="158"/>
      <c r="AE494" s="158"/>
      <c r="AF494" s="158"/>
      <c r="AG494" s="158"/>
      <c r="AH494" s="158"/>
      <c r="AI494" s="158"/>
      <c r="AJ494" s="158"/>
      <c r="AK494" s="158"/>
      <c r="AL494" s="158"/>
      <c r="AM494" s="158"/>
      <c r="AN494" s="158"/>
      <c r="AO494" s="158"/>
      <c r="AP494" s="158"/>
      <c r="AQ494" s="158"/>
      <c r="AR494" s="158"/>
    </row>
    <row r="495" spans="2:44">
      <c r="B495" s="158"/>
      <c r="C495" s="158"/>
      <c r="D495" s="158"/>
      <c r="E495" s="158"/>
      <c r="F495" s="158"/>
      <c r="G495" s="158"/>
      <c r="H495" s="158"/>
      <c r="I495" s="158"/>
      <c r="J495" s="158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  <c r="Y495" s="158"/>
      <c r="Z495" s="158"/>
      <c r="AA495" s="158"/>
      <c r="AB495" s="158"/>
      <c r="AC495" s="158"/>
      <c r="AD495" s="158"/>
      <c r="AE495" s="158"/>
      <c r="AF495" s="158"/>
      <c r="AG495" s="158"/>
      <c r="AH495" s="158"/>
      <c r="AI495" s="158"/>
      <c r="AJ495" s="158"/>
      <c r="AK495" s="158"/>
      <c r="AL495" s="158"/>
      <c r="AM495" s="158"/>
      <c r="AN495" s="158"/>
      <c r="AO495" s="158"/>
      <c r="AP495" s="158"/>
      <c r="AQ495" s="158"/>
      <c r="AR495" s="158"/>
    </row>
    <row r="496" spans="2:44">
      <c r="B496" s="158"/>
      <c r="C496" s="158"/>
      <c r="D496" s="158"/>
      <c r="E496" s="158"/>
      <c r="F496" s="158"/>
      <c r="G496" s="158"/>
      <c r="H496" s="158"/>
      <c r="I496" s="158"/>
      <c r="J496" s="158"/>
      <c r="K496" s="158"/>
      <c r="L496" s="158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  <c r="X496" s="158"/>
      <c r="Y496" s="158"/>
      <c r="Z496" s="158"/>
      <c r="AA496" s="158"/>
      <c r="AB496" s="158"/>
      <c r="AC496" s="158"/>
      <c r="AD496" s="158"/>
      <c r="AE496" s="158"/>
      <c r="AF496" s="158"/>
      <c r="AG496" s="158"/>
      <c r="AH496" s="158"/>
      <c r="AI496" s="158"/>
      <c r="AJ496" s="158"/>
      <c r="AK496" s="158"/>
      <c r="AL496" s="158"/>
      <c r="AM496" s="158"/>
      <c r="AN496" s="158"/>
      <c r="AO496" s="158"/>
      <c r="AP496" s="158"/>
      <c r="AQ496" s="158"/>
      <c r="AR496" s="158"/>
    </row>
    <row r="497" spans="2:44">
      <c r="B497" s="158"/>
      <c r="C497" s="158"/>
      <c r="D497" s="158"/>
      <c r="E497" s="158"/>
      <c r="F497" s="158"/>
      <c r="G497" s="158"/>
      <c r="H497" s="158"/>
      <c r="I497" s="158"/>
      <c r="J497" s="158"/>
      <c r="K497" s="158"/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8"/>
      <c r="Y497" s="158"/>
      <c r="Z497" s="158"/>
      <c r="AA497" s="158"/>
      <c r="AB497" s="158"/>
      <c r="AC497" s="158"/>
      <c r="AD497" s="158"/>
      <c r="AE497" s="158"/>
      <c r="AF497" s="158"/>
      <c r="AG497" s="158"/>
      <c r="AH497" s="158"/>
      <c r="AI497" s="158"/>
      <c r="AJ497" s="158"/>
      <c r="AK497" s="158"/>
      <c r="AL497" s="158"/>
      <c r="AM497" s="158"/>
      <c r="AN497" s="158"/>
      <c r="AO497" s="158"/>
      <c r="AP497" s="158"/>
      <c r="AQ497" s="158"/>
      <c r="AR497" s="158"/>
    </row>
    <row r="498" spans="2:44">
      <c r="B498" s="158"/>
      <c r="C498" s="158"/>
      <c r="D498" s="158"/>
      <c r="E498" s="158"/>
      <c r="F498" s="158"/>
      <c r="G498" s="158"/>
      <c r="H498" s="158"/>
      <c r="I498" s="158"/>
      <c r="J498" s="158"/>
      <c r="K498" s="158"/>
      <c r="L498" s="158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8"/>
      <c r="Y498" s="158"/>
      <c r="Z498" s="158"/>
      <c r="AA498" s="158"/>
      <c r="AB498" s="158"/>
      <c r="AC498" s="158"/>
      <c r="AD498" s="158"/>
      <c r="AE498" s="158"/>
      <c r="AF498" s="158"/>
      <c r="AG498" s="158"/>
      <c r="AH498" s="158"/>
      <c r="AI498" s="158"/>
      <c r="AJ498" s="158"/>
      <c r="AK498" s="158"/>
      <c r="AL498" s="158"/>
      <c r="AM498" s="158"/>
      <c r="AN498" s="158"/>
      <c r="AO498" s="158"/>
      <c r="AP498" s="158"/>
      <c r="AQ498" s="158"/>
      <c r="AR498" s="158"/>
    </row>
    <row r="499" spans="2:44">
      <c r="B499" s="158"/>
      <c r="C499" s="158"/>
      <c r="D499" s="158"/>
      <c r="E499" s="158"/>
      <c r="F499" s="158"/>
      <c r="G499" s="158"/>
      <c r="H499" s="158"/>
      <c r="I499" s="158"/>
      <c r="J499" s="158"/>
      <c r="K499" s="158"/>
      <c r="L499" s="158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8"/>
      <c r="Y499" s="158"/>
      <c r="Z499" s="158"/>
      <c r="AA499" s="158"/>
      <c r="AB499" s="158"/>
      <c r="AC499" s="158"/>
      <c r="AD499" s="158"/>
      <c r="AE499" s="158"/>
      <c r="AF499" s="158"/>
      <c r="AG499" s="158"/>
      <c r="AH499" s="158"/>
      <c r="AI499" s="158"/>
      <c r="AJ499" s="158"/>
      <c r="AK499" s="158"/>
      <c r="AL499" s="158"/>
      <c r="AM499" s="158"/>
      <c r="AN499" s="158"/>
      <c r="AO499" s="158"/>
      <c r="AP499" s="158"/>
      <c r="AQ499" s="158"/>
      <c r="AR499" s="158"/>
    </row>
    <row r="500" spans="2:44">
      <c r="B500" s="158"/>
      <c r="C500" s="158"/>
      <c r="D500" s="158"/>
      <c r="E500" s="158"/>
      <c r="F500" s="158"/>
      <c r="G500" s="158"/>
      <c r="H500" s="158"/>
      <c r="I500" s="158"/>
      <c r="J500" s="158"/>
      <c r="K500" s="158"/>
      <c r="L500" s="158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8"/>
      <c r="Y500" s="158"/>
      <c r="Z500" s="158"/>
      <c r="AA500" s="158"/>
      <c r="AB500" s="158"/>
      <c r="AC500" s="158"/>
      <c r="AD500" s="158"/>
      <c r="AE500" s="158"/>
      <c r="AF500" s="158"/>
      <c r="AG500" s="158"/>
      <c r="AH500" s="158"/>
      <c r="AI500" s="158"/>
      <c r="AJ500" s="158"/>
      <c r="AK500" s="158"/>
      <c r="AL500" s="158"/>
      <c r="AM500" s="158"/>
      <c r="AN500" s="158"/>
      <c r="AO500" s="158"/>
      <c r="AP500" s="158"/>
      <c r="AQ500" s="158"/>
      <c r="AR500" s="158"/>
    </row>
  </sheetData>
  <pageMargins left="0.7" right="0.7" top="0.75" bottom="0.75" header="0.3" footer="0.3"/>
  <pageSetup paperSize="9" orientation="portrait" r:id="rId1"/>
  <customProperties>
    <customPr name="Qube.Worksheet.Visibility" r:id="rId2"/>
  </customProperties>
  <drawing r:id="rId3"/>
  <legacy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DD1A-D9A9-4A95-835C-D1D4B442279F}">
  <sheetPr>
    <pageSetUpPr fitToPage="1"/>
  </sheetPr>
  <dimension ref="A5:AB89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5" defaultRowHeight="12.75" outlineLevelRow="1" outlineLevelCol="1"/>
  <cols>
    <col min="1" max="1" width="8.5" style="955"/>
    <col min="2" max="2" width="11" style="955" customWidth="1"/>
    <col min="3" max="3" width="12.5" style="955" customWidth="1"/>
    <col min="4" max="4" width="10.25" style="1404" customWidth="1"/>
    <col min="5" max="5" width="10.625" style="1404" customWidth="1"/>
    <col min="6" max="7" width="10.5" style="1405" customWidth="1"/>
    <col min="8" max="8" width="11.625" style="1405" customWidth="1"/>
    <col min="9" max="9" width="16" style="1405" customWidth="1" outlineLevel="1"/>
    <col min="10" max="11" width="12.5" style="1405" customWidth="1"/>
    <col min="12" max="12" width="17" style="1405" customWidth="1"/>
    <col min="13" max="13" width="18.5" style="1404" customWidth="1"/>
    <col min="14" max="17" width="8.5" style="955"/>
    <col min="18" max="18" width="13.5" style="955" customWidth="1"/>
    <col min="19" max="19" width="15" style="955" customWidth="1"/>
    <col min="20" max="21" width="13" style="955" customWidth="1"/>
    <col min="22" max="22" width="9.25" style="955" bestFit="1" customWidth="1"/>
    <col min="23" max="25" width="8.5" style="955" bestFit="1" customWidth="1"/>
    <col min="26" max="26" width="8.75" style="955" bestFit="1" customWidth="1"/>
    <col min="27" max="16384" width="8.5" style="955"/>
  </cols>
  <sheetData>
    <row r="5" spans="3:16">
      <c r="C5" s="1446" t="s">
        <v>1474</v>
      </c>
      <c r="D5" s="1444"/>
      <c r="E5" s="1444"/>
      <c r="F5" s="1445"/>
      <c r="G5" s="1445"/>
      <c r="H5" s="1445"/>
      <c r="I5" s="1445"/>
      <c r="J5" s="1445"/>
      <c r="K5" s="1445"/>
      <c r="L5" s="1445"/>
      <c r="M5" s="1444"/>
      <c r="N5" s="1444"/>
    </row>
    <row r="6" spans="3:16" s="1430" customFormat="1" ht="45.6" customHeight="1">
      <c r="C6" s="1442" t="s">
        <v>1473</v>
      </c>
      <c r="D6" s="1442"/>
      <c r="E6" s="1442" t="s">
        <v>1432</v>
      </c>
      <c r="F6" s="1443" t="s">
        <v>1472</v>
      </c>
      <c r="G6" s="1443" t="s">
        <v>1471</v>
      </c>
      <c r="H6" s="1443" t="s">
        <v>1470</v>
      </c>
      <c r="I6" s="1443" t="s">
        <v>1469</v>
      </c>
      <c r="J6" s="1443" t="s">
        <v>1468</v>
      </c>
      <c r="K6" s="1443" t="s">
        <v>1467</v>
      </c>
      <c r="L6" s="1443" t="s">
        <v>1466</v>
      </c>
      <c r="M6" s="1442" t="s">
        <v>1465</v>
      </c>
      <c r="N6" s="1442" t="s">
        <v>1794</v>
      </c>
    </row>
    <row r="7" spans="3:16" hidden="1" outlineLevel="1">
      <c r="N7" s="1424" t="s">
        <v>1464</v>
      </c>
    </row>
    <row r="8" spans="3:16" ht="27" customHeight="1" collapsed="1">
      <c r="C8" s="1434">
        <v>44524</v>
      </c>
      <c r="D8" s="1433" t="s">
        <v>1446</v>
      </c>
      <c r="E8" s="1430" t="s">
        <v>1424</v>
      </c>
      <c r="F8" s="1432">
        <v>625</v>
      </c>
      <c r="G8" s="1432" t="s">
        <v>1463</v>
      </c>
      <c r="H8" s="1431">
        <v>1000</v>
      </c>
      <c r="I8" s="1813">
        <f>H8/$H$28*1000</f>
        <v>266.21172075580603</v>
      </c>
      <c r="J8" s="1432" t="s">
        <v>1459</v>
      </c>
      <c r="K8" s="1441">
        <v>45231</v>
      </c>
      <c r="L8" s="1431">
        <v>6</v>
      </c>
      <c r="M8" s="1430" t="s">
        <v>1462</v>
      </c>
      <c r="N8" s="2202">
        <f>F8/I8</f>
        <v>2.3477553814142831</v>
      </c>
      <c r="P8" s="1424" t="s">
        <v>1461</v>
      </c>
    </row>
    <row r="9" spans="3:16" ht="27" customHeight="1" thickBot="1">
      <c r="C9" s="1429">
        <v>45136</v>
      </c>
      <c r="D9" s="1428" t="s">
        <v>1446</v>
      </c>
      <c r="E9" s="1425" t="s">
        <v>1405</v>
      </c>
      <c r="F9" s="1427">
        <v>600</v>
      </c>
      <c r="G9" s="1427" t="s">
        <v>1460</v>
      </c>
      <c r="H9" s="1426">
        <v>1000</v>
      </c>
      <c r="I9" s="1814">
        <f>H9/$H$28*1000</f>
        <v>266.21172075580603</v>
      </c>
      <c r="J9" s="1427" t="s">
        <v>1459</v>
      </c>
      <c r="K9" s="1440">
        <v>45352</v>
      </c>
      <c r="L9" s="1426">
        <v>6</v>
      </c>
      <c r="M9" s="1425" t="s">
        <v>1370</v>
      </c>
      <c r="N9" s="2202">
        <f t="shared" ref="N9:N14" si="0">F9/I9</f>
        <v>2.2538451661577117</v>
      </c>
      <c r="P9" s="1424" t="s">
        <v>1458</v>
      </c>
    </row>
    <row r="10" spans="3:16" ht="27" customHeight="1">
      <c r="C10" s="1439">
        <v>45234</v>
      </c>
      <c r="D10" s="1438" t="s">
        <v>1446</v>
      </c>
      <c r="E10" s="1435" t="s">
        <v>1404</v>
      </c>
      <c r="F10" s="1437">
        <v>600</v>
      </c>
      <c r="G10" s="1437" t="s">
        <v>1457</v>
      </c>
      <c r="H10" s="1436">
        <v>800</v>
      </c>
      <c r="I10" s="1815">
        <f>H10/$K$28*1000</f>
        <v>239.39734206514208</v>
      </c>
      <c r="J10" s="1437"/>
      <c r="K10" s="1437" t="s">
        <v>1456</v>
      </c>
      <c r="L10" s="1436">
        <v>6</v>
      </c>
      <c r="M10" s="1435" t="s">
        <v>1455</v>
      </c>
      <c r="N10" s="2202">
        <f t="shared" si="0"/>
        <v>2.5062934902457474</v>
      </c>
    </row>
    <row r="11" spans="3:16" ht="27" customHeight="1">
      <c r="C11" s="1429">
        <v>45316</v>
      </c>
      <c r="D11" s="1428" t="s">
        <v>1454</v>
      </c>
      <c r="E11" s="1425" t="s">
        <v>1422</v>
      </c>
      <c r="F11" s="1427">
        <v>100</v>
      </c>
      <c r="G11" s="1427" t="s">
        <v>1453</v>
      </c>
      <c r="H11" s="1426">
        <v>200</v>
      </c>
      <c r="I11" s="1814">
        <f>H11/$H$28*1000</f>
        <v>53.242344151161198</v>
      </c>
      <c r="J11" s="1427"/>
      <c r="K11" s="1427"/>
      <c r="L11" s="1426">
        <v>4</v>
      </c>
      <c r="M11" s="1425" t="s">
        <v>1452</v>
      </c>
      <c r="N11" s="2202">
        <f t="shared" si="0"/>
        <v>1.8782043051314268</v>
      </c>
    </row>
    <row r="12" spans="3:16" ht="27" customHeight="1">
      <c r="C12" s="1434">
        <v>45405</v>
      </c>
      <c r="D12" s="1433" t="s">
        <v>1446</v>
      </c>
      <c r="E12" s="1430" t="s">
        <v>1451</v>
      </c>
      <c r="F12" s="2203">
        <v>1080</v>
      </c>
      <c r="G12" s="1432" t="s">
        <v>1450</v>
      </c>
      <c r="H12" s="1431">
        <v>2160</v>
      </c>
      <c r="I12" s="1813" t="e">
        <f>H12/$L$28*1000</f>
        <v>#REF!</v>
      </c>
      <c r="J12" s="1432" t="s">
        <v>1449</v>
      </c>
      <c r="K12" s="1432">
        <v>2027</v>
      </c>
      <c r="L12" s="1431">
        <v>8</v>
      </c>
      <c r="M12" s="1430" t="s">
        <v>1448</v>
      </c>
      <c r="N12" s="2202" t="e">
        <f t="shared" si="0"/>
        <v>#REF!</v>
      </c>
      <c r="P12" s="1424" t="s">
        <v>1447</v>
      </c>
    </row>
    <row r="13" spans="3:16" ht="27" customHeight="1">
      <c r="C13" s="1429">
        <v>45469</v>
      </c>
      <c r="D13" s="1428" t="s">
        <v>1446</v>
      </c>
      <c r="E13" s="1425" t="s">
        <v>1445</v>
      </c>
      <c r="F13" s="2204">
        <v>1000</v>
      </c>
      <c r="G13" s="1427" t="s">
        <v>1444</v>
      </c>
      <c r="H13" s="1426" t="s">
        <v>1443</v>
      </c>
      <c r="I13" s="1814" t="e">
        <f>1000/$L$28*1000</f>
        <v>#REF!</v>
      </c>
      <c r="J13" s="1427" t="s">
        <v>1442</v>
      </c>
      <c r="K13" s="1427" t="s">
        <v>1441</v>
      </c>
      <c r="L13" s="1426"/>
      <c r="M13" s="1425"/>
      <c r="N13" s="2202" t="e">
        <f t="shared" si="0"/>
        <v>#REF!</v>
      </c>
      <c r="P13" s="1424" t="s">
        <v>1440</v>
      </c>
    </row>
    <row r="14" spans="3:16" ht="27" customHeight="1">
      <c r="C14" s="1434">
        <v>45597</v>
      </c>
      <c r="D14" s="1433" t="s">
        <v>1446</v>
      </c>
      <c r="E14" s="1430" t="s">
        <v>1664</v>
      </c>
      <c r="F14" s="2203">
        <v>1200</v>
      </c>
      <c r="G14" s="1432" t="s">
        <v>1665</v>
      </c>
      <c r="H14" s="1431" t="s">
        <v>1443</v>
      </c>
      <c r="I14" s="1813" t="e">
        <f>1000/$L$28*1000</f>
        <v>#REF!</v>
      </c>
      <c r="J14" s="1432" t="s">
        <v>1442</v>
      </c>
      <c r="K14" s="1432" t="s">
        <v>1667</v>
      </c>
      <c r="L14" s="1431"/>
      <c r="M14" s="1430"/>
      <c r="N14" s="2202" t="e">
        <f t="shared" si="0"/>
        <v>#REF!</v>
      </c>
      <c r="P14" s="1424"/>
    </row>
    <row r="15" spans="3:16" ht="27" customHeight="1">
      <c r="C15" s="1442"/>
      <c r="D15" s="1442" t="s">
        <v>1432</v>
      </c>
      <c r="E15" s="1443" t="s">
        <v>1472</v>
      </c>
      <c r="F15" s="1443" t="s">
        <v>1471</v>
      </c>
      <c r="G15" s="1443" t="s">
        <v>1470</v>
      </c>
      <c r="H15" s="1443" t="s">
        <v>1469</v>
      </c>
      <c r="I15" s="1443" t="s">
        <v>1468</v>
      </c>
      <c r="J15" s="1443" t="s">
        <v>1467</v>
      </c>
      <c r="K15" s="1443" t="s">
        <v>1466</v>
      </c>
      <c r="L15" s="1442" t="s">
        <v>1465</v>
      </c>
      <c r="M15" s="1442" t="s">
        <v>1794</v>
      </c>
      <c r="P15" s="1424"/>
    </row>
    <row r="16" spans="3:16">
      <c r="C16" s="1423" t="s">
        <v>827</v>
      </c>
      <c r="D16" s="1419"/>
      <c r="E16" s="1419"/>
      <c r="F16" s="1422">
        <f>625+600+600+100+1080+1000+1200</f>
        <v>5205</v>
      </c>
      <c r="G16" s="1421" t="s">
        <v>1666</v>
      </c>
      <c r="H16" s="1422">
        <f>SUM(H8:H14)+1000+1000</f>
        <v>7160</v>
      </c>
      <c r="I16" s="1843" t="e">
        <f>SUM(I8:I14)</f>
        <v>#REF!</v>
      </c>
      <c r="J16" s="1421"/>
      <c r="K16" s="1421"/>
      <c r="L16" s="1420"/>
      <c r="M16" s="1419"/>
    </row>
    <row r="17" spans="3:28" ht="27" customHeight="1">
      <c r="C17" s="1434" t="s">
        <v>1795</v>
      </c>
      <c r="D17" s="1433"/>
      <c r="E17" s="1430"/>
      <c r="F17" s="2203" t="s">
        <v>1509</v>
      </c>
      <c r="G17" s="1432"/>
      <c r="H17" s="1431"/>
      <c r="I17" s="2205"/>
      <c r="J17" s="1432"/>
      <c r="K17" s="1432"/>
      <c r="L17" s="1431"/>
      <c r="M17" s="1430"/>
      <c r="N17" s="955" t="s">
        <v>1509</v>
      </c>
      <c r="P17" s="1424"/>
    </row>
    <row r="18" spans="3:28" ht="27" customHeight="1">
      <c r="C18" s="1434">
        <v>45839</v>
      </c>
      <c r="D18" s="1433" t="s">
        <v>1796</v>
      </c>
      <c r="E18" s="1430" t="s">
        <v>1420</v>
      </c>
      <c r="F18" s="2209">
        <f>I18*N18</f>
        <v>2568.0687464061998</v>
      </c>
      <c r="G18" s="1432"/>
      <c r="H18" s="1431"/>
      <c r="I18" s="2205">
        <v>1367.3</v>
      </c>
      <c r="J18" s="1432"/>
      <c r="K18" s="1432"/>
      <c r="L18" s="1431"/>
      <c r="M18" s="1430"/>
      <c r="N18" s="2208">
        <f>$N$11</f>
        <v>1.8782043051314268</v>
      </c>
      <c r="P18" s="1424"/>
    </row>
    <row r="19" spans="3:28" ht="27" customHeight="1">
      <c r="C19" s="1434">
        <v>45839</v>
      </c>
      <c r="D19" s="1433" t="s">
        <v>1796</v>
      </c>
      <c r="E19" s="1430" t="s">
        <v>1414</v>
      </c>
      <c r="F19" s="2209">
        <f t="shared" ref="F19:F25" si="1">I19*N19</f>
        <v>1618.6364701622635</v>
      </c>
      <c r="G19" s="1432"/>
      <c r="H19" s="1431"/>
      <c r="I19" s="2205">
        <v>861.8</v>
      </c>
      <c r="J19" s="1432"/>
      <c r="K19" s="1432"/>
      <c r="L19" s="1431"/>
      <c r="M19" s="1430"/>
      <c r="N19" s="2208">
        <f t="shared" ref="N19:N21" si="2">$N$11</f>
        <v>1.8782043051314268</v>
      </c>
      <c r="P19" s="1424"/>
    </row>
    <row r="20" spans="3:28" ht="27" customHeight="1">
      <c r="C20" s="1434">
        <v>45839</v>
      </c>
      <c r="D20" s="1433" t="s">
        <v>1796</v>
      </c>
      <c r="E20" s="1430" t="s">
        <v>1797</v>
      </c>
      <c r="F20" s="2209">
        <f t="shared" si="1"/>
        <v>1120.348868010896</v>
      </c>
      <c r="G20" s="1432"/>
      <c r="H20" s="1431"/>
      <c r="I20" s="2205">
        <v>596.5</v>
      </c>
      <c r="J20" s="1432"/>
      <c r="K20" s="1432"/>
      <c r="L20" s="1431"/>
      <c r="M20" s="1430"/>
      <c r="N20" s="2208">
        <f t="shared" si="2"/>
        <v>1.8782043051314268</v>
      </c>
      <c r="P20" s="1424"/>
    </row>
    <row r="21" spans="3:28" ht="27" customHeight="1" thickBot="1">
      <c r="C21" s="1434">
        <v>45839</v>
      </c>
      <c r="D21" s="1433" t="s">
        <v>1796</v>
      </c>
      <c r="E21" s="1430" t="s">
        <v>1407</v>
      </c>
      <c r="F21" s="2209">
        <f t="shared" si="1"/>
        <v>1098.7495185018847</v>
      </c>
      <c r="G21" s="1432"/>
      <c r="H21" s="1431"/>
      <c r="I21" s="2205">
        <v>585</v>
      </c>
      <c r="J21" s="1432"/>
      <c r="K21" s="1432"/>
      <c r="L21" s="1431"/>
      <c r="M21" s="1430"/>
      <c r="N21" s="2208">
        <f t="shared" si="2"/>
        <v>1.8782043051314268</v>
      </c>
      <c r="P21" s="1424"/>
      <c r="Q21" s="2206">
        <f>F21+F20+F19+F18</f>
        <v>6405.8036030812436</v>
      </c>
    </row>
    <row r="22" spans="3:28" ht="27" customHeight="1">
      <c r="C22" s="1434">
        <v>45839</v>
      </c>
      <c r="D22" s="1433" t="s">
        <v>1446</v>
      </c>
      <c r="E22" s="1435" t="s">
        <v>1404</v>
      </c>
      <c r="F22" s="2209">
        <f t="shared" si="1"/>
        <v>2896.7740160260346</v>
      </c>
      <c r="G22" s="1432"/>
      <c r="H22" s="1431"/>
      <c r="I22" s="2205">
        <v>1155.8</v>
      </c>
      <c r="J22" s="1432"/>
      <c r="K22" s="1432"/>
      <c r="L22" s="1431"/>
      <c r="M22" s="1430"/>
      <c r="N22" s="2208">
        <f>N10</f>
        <v>2.5062934902457474</v>
      </c>
      <c r="P22" s="1424"/>
    </row>
    <row r="23" spans="3:28" ht="27" customHeight="1">
      <c r="C23" s="1434">
        <v>45839</v>
      </c>
      <c r="D23" s="1433"/>
      <c r="E23" s="1425" t="s">
        <v>1445</v>
      </c>
      <c r="F23" s="2209" t="e">
        <f t="shared" si="1"/>
        <v>#REF!</v>
      </c>
      <c r="G23" s="1432"/>
      <c r="H23" s="1431"/>
      <c r="I23" s="2205">
        <v>1155.8</v>
      </c>
      <c r="J23" s="1432"/>
      <c r="K23" s="1432"/>
      <c r="L23" s="1431"/>
      <c r="M23" s="1430"/>
      <c r="N23" s="2208" t="e">
        <f>N13</f>
        <v>#REF!</v>
      </c>
      <c r="P23" s="1424"/>
      <c r="S23" s="2207">
        <f>200/1500</f>
        <v>0.13333333333333333</v>
      </c>
    </row>
    <row r="24" spans="3:28" ht="27" customHeight="1">
      <c r="C24" s="1434">
        <v>45839</v>
      </c>
      <c r="D24" s="1433"/>
      <c r="E24" s="1430" t="s">
        <v>1451</v>
      </c>
      <c r="F24" s="2209" t="e">
        <f t="shared" si="1"/>
        <v>#REF!</v>
      </c>
      <c r="G24" s="1432"/>
      <c r="H24" s="1431"/>
      <c r="I24" s="2205">
        <v>1493.2</v>
      </c>
      <c r="J24" s="1432"/>
      <c r="K24" s="1432"/>
      <c r="L24" s="1431"/>
      <c r="M24" s="1430"/>
      <c r="N24" s="2208" t="e">
        <f>N12</f>
        <v>#REF!</v>
      </c>
      <c r="P24" s="1424"/>
    </row>
    <row r="25" spans="3:28" ht="27" customHeight="1">
      <c r="C25" s="1434">
        <v>45839</v>
      </c>
      <c r="D25" s="1433"/>
      <c r="E25" s="1430" t="s">
        <v>1664</v>
      </c>
      <c r="F25" s="2209" t="e">
        <f t="shared" si="1"/>
        <v>#REF!</v>
      </c>
      <c r="G25" s="1432"/>
      <c r="H25" s="1431"/>
      <c r="I25" s="2205">
        <v>1155.8</v>
      </c>
      <c r="J25" s="1432"/>
      <c r="K25" s="1432"/>
      <c r="L25" s="1431"/>
      <c r="M25" s="1430"/>
      <c r="N25" s="2208" t="e">
        <f>N13</f>
        <v>#REF!</v>
      </c>
      <c r="P25" s="1424"/>
    </row>
    <row r="26" spans="3:28" ht="27" customHeight="1">
      <c r="C26" s="1434"/>
      <c r="D26" s="1433"/>
      <c r="E26" s="1430"/>
      <c r="F26" s="2203"/>
      <c r="G26" s="1432"/>
      <c r="H26" s="1431"/>
      <c r="I26" s="2205"/>
      <c r="J26" s="1432"/>
      <c r="K26" s="1432"/>
      <c r="L26" s="1431"/>
      <c r="M26" s="1430"/>
      <c r="P26" s="1424"/>
    </row>
    <row r="27" spans="3:28" ht="27" customHeight="1">
      <c r="F27" s="1405">
        <f>F16/15623</f>
        <v>0.33316264481853675</v>
      </c>
      <c r="G27" s="1805">
        <f>197+147+200+13+180+248+213.4</f>
        <v>1198.4000000000001</v>
      </c>
      <c r="R27" s="1731" t="s">
        <v>1702</v>
      </c>
      <c r="S27" s="1732" t="s">
        <v>1624</v>
      </c>
      <c r="T27" s="1732" t="s">
        <v>1592</v>
      </c>
      <c r="U27" s="1732" t="s">
        <v>1590</v>
      </c>
      <c r="V27" s="1733" t="s">
        <v>1623</v>
      </c>
      <c r="W27" s="1734"/>
      <c r="X27" s="1734"/>
      <c r="Y27" s="1734"/>
      <c r="Z27" s="1734"/>
    </row>
    <row r="28" spans="3:28" ht="15">
      <c r="F28" s="980" t="s">
        <v>1622</v>
      </c>
      <c r="G28" s="1723"/>
      <c r="H28" s="1724">
        <f>(Segment!M9/SUM(Segment!M106,Segment!M201))*1000</f>
        <v>3756.4086102628535</v>
      </c>
      <c r="I28" s="1724">
        <f>(Segment!N9/SUM(Segment!N106,Segment!N201))*1000</f>
        <v>3461.122636346955</v>
      </c>
      <c r="J28" s="1724">
        <f>(Segment!O9/SUM(Segment!O106,Segment!O201))*1000</f>
        <v>3379.8071292627706</v>
      </c>
      <c r="K28" s="1724">
        <f>(Segment!P9/SUM(Segment!P106,Segment!P201))*1000</f>
        <v>3341.7246536609964</v>
      </c>
      <c r="L28" s="1812" t="e">
        <f>(Segment!#REF!/SUM(Segment!#REF!,Segment!#REF!))*1000</f>
        <v>#REF!</v>
      </c>
      <c r="R28" s="961"/>
      <c r="S28" s="961"/>
      <c r="T28" s="1806"/>
      <c r="U28" s="1806"/>
      <c r="V28" s="961">
        <v>2024</v>
      </c>
      <c r="W28" s="961">
        <v>2025</v>
      </c>
      <c r="X28" s="961">
        <v>2026</v>
      </c>
      <c r="Y28" s="961">
        <v>2027</v>
      </c>
      <c r="Z28" s="961">
        <v>2028</v>
      </c>
      <c r="AA28" s="964">
        <v>2029</v>
      </c>
      <c r="AB28" s="964">
        <v>2030</v>
      </c>
    </row>
    <row r="29" spans="3:28">
      <c r="F29" s="980" t="s">
        <v>1671</v>
      </c>
      <c r="G29" s="1723"/>
      <c r="L29" s="1724">
        <f>H16</f>
        <v>7160</v>
      </c>
      <c r="R29" s="955" t="s">
        <v>1404</v>
      </c>
      <c r="S29" s="955">
        <v>600</v>
      </c>
      <c r="T29" s="1807">
        <v>45352</v>
      </c>
      <c r="U29" s="958" t="s">
        <v>1456</v>
      </c>
      <c r="V29" s="1713">
        <f>S29/3</f>
        <v>200</v>
      </c>
      <c r="W29" s="1713">
        <f>V29</f>
        <v>200</v>
      </c>
      <c r="X29" s="1713">
        <f>W29</f>
        <v>200</v>
      </c>
      <c r="Y29" s="1717"/>
    </row>
    <row r="30" spans="3:28">
      <c r="F30" s="980" t="s">
        <v>1618</v>
      </c>
      <c r="G30" s="1723"/>
      <c r="L30" s="1724" t="e">
        <f>L29/L28*1000</f>
        <v>#REF!</v>
      </c>
      <c r="R30" s="955" t="s">
        <v>1422</v>
      </c>
      <c r="S30" s="955">
        <v>100</v>
      </c>
      <c r="T30" s="958"/>
      <c r="U30" s="958" t="s">
        <v>1591</v>
      </c>
      <c r="V30" s="1713">
        <f>S30</f>
        <v>100</v>
      </c>
      <c r="W30" s="1717"/>
      <c r="X30" s="1717"/>
      <c r="Y30" s="1717"/>
    </row>
    <row r="31" spans="3:28">
      <c r="F31" s="980" t="s">
        <v>1619</v>
      </c>
      <c r="G31" s="1723"/>
      <c r="L31" s="1724">
        <f>Segment!L373+Segment!L113</f>
        <v>5320.57</v>
      </c>
      <c r="R31" s="955" t="s">
        <v>1403</v>
      </c>
      <c r="S31" s="955">
        <v>1080</v>
      </c>
      <c r="T31" s="1807">
        <v>45597</v>
      </c>
      <c r="U31" s="1807">
        <v>46692</v>
      </c>
      <c r="V31" s="1713">
        <v>120</v>
      </c>
      <c r="W31" s="1713">
        <f>S31/3</f>
        <v>360</v>
      </c>
      <c r="X31" s="1713">
        <f>W31</f>
        <v>360</v>
      </c>
      <c r="Y31" s="1713">
        <f>S31-V31-W31-X31</f>
        <v>240</v>
      </c>
    </row>
    <row r="32" spans="3:28">
      <c r="F32" s="1728" t="s">
        <v>1621</v>
      </c>
      <c r="G32" s="1726"/>
      <c r="L32" s="1727" t="e">
        <f>L30/L31</f>
        <v>#REF!</v>
      </c>
      <c r="R32" s="955" t="s">
        <v>1402</v>
      </c>
      <c r="S32" s="955">
        <v>1000</v>
      </c>
      <c r="T32" s="1807">
        <v>45536</v>
      </c>
      <c r="U32" s="1807">
        <v>46447</v>
      </c>
      <c r="V32" s="1713">
        <v>150</v>
      </c>
      <c r="W32" s="1713">
        <f>S32/2.5</f>
        <v>400</v>
      </c>
      <c r="X32" s="1713">
        <f>W32</f>
        <v>400</v>
      </c>
      <c r="Y32" s="1713">
        <f>S32-V32-W32-X32</f>
        <v>50</v>
      </c>
    </row>
    <row r="33" spans="6:28">
      <c r="R33" s="955" t="s">
        <v>1668</v>
      </c>
      <c r="S33" s="955">
        <v>1200</v>
      </c>
      <c r="T33" s="958" t="s">
        <v>1669</v>
      </c>
      <c r="U33" s="958" t="s">
        <v>1670</v>
      </c>
      <c r="W33" s="1713">
        <f>S33/2.5</f>
        <v>480</v>
      </c>
      <c r="X33" s="1713">
        <f>W33</f>
        <v>480</v>
      </c>
      <c r="Y33" s="1713">
        <f>S33-V33-W33-X33</f>
        <v>240</v>
      </c>
    </row>
    <row r="34" spans="6:28" ht="15">
      <c r="F34" s="1729" t="s">
        <v>1620</v>
      </c>
      <c r="G34" s="1725"/>
      <c r="L34" s="1730" t="e">
        <f>Segment!#REF!/Segment!L9-1</f>
        <v>#REF!</v>
      </c>
      <c r="R34" s="961"/>
      <c r="S34" s="961"/>
      <c r="T34" s="1806">
        <v>2022</v>
      </c>
      <c r="U34" s="1806">
        <v>2023</v>
      </c>
      <c r="V34" s="961">
        <v>2024</v>
      </c>
      <c r="W34" s="961">
        <v>2025</v>
      </c>
      <c r="X34" s="961">
        <v>2026</v>
      </c>
      <c r="Y34" s="961">
        <v>2027</v>
      </c>
      <c r="Z34" s="961">
        <v>2028</v>
      </c>
    </row>
    <row r="35" spans="6:28" s="614" customFormat="1" ht="14.25">
      <c r="F35" s="1729" t="s">
        <v>1672</v>
      </c>
      <c r="G35" s="1725"/>
      <c r="K35" s="614" t="s">
        <v>1439</v>
      </c>
      <c r="L35" s="1730" t="e">
        <f>(Segment!#REF!+Segment!#REF!)/(Segment!L106+Segment!L201)-1</f>
        <v>#REF!</v>
      </c>
      <c r="R35" s="955" t="s">
        <v>1701</v>
      </c>
      <c r="S35" s="955"/>
      <c r="T35" s="955"/>
      <c r="U35" s="955"/>
      <c r="V35" s="955">
        <f>SUM(V29:V33)</f>
        <v>570</v>
      </c>
      <c r="W35" s="955">
        <f>SUM(W29:W33)</f>
        <v>1440</v>
      </c>
      <c r="X35" s="955">
        <f>SUM(X29:X33)</f>
        <v>1440</v>
      </c>
      <c r="Y35" s="955">
        <f>SUM(Y29:Y33)</f>
        <v>530</v>
      </c>
      <c r="Z35" s="955"/>
      <c r="AA35" s="955"/>
      <c r="AB35" s="955"/>
    </row>
    <row r="36" spans="6:28" s="614" customFormat="1" ht="14.25">
      <c r="R36" s="1817" t="s">
        <v>1609</v>
      </c>
      <c r="S36" s="970"/>
      <c r="T36" s="970"/>
      <c r="U36" s="970"/>
      <c r="V36" s="1716">
        <f>V35/V37</f>
        <v>0.4603657707519701</v>
      </c>
      <c r="W36" s="1716">
        <f>W35/W37</f>
        <v>0.6859785343254684</v>
      </c>
      <c r="X36" s="1716">
        <f>X35/X37</f>
        <v>0.5668508355961337</v>
      </c>
      <c r="Y36" s="1716">
        <f>Y35/Y37</f>
        <v>0.17790018747695086</v>
      </c>
    </row>
    <row r="37" spans="6:28" s="614" customFormat="1" ht="14.25">
      <c r="R37" s="955" t="s">
        <v>1593</v>
      </c>
      <c r="S37" s="955"/>
      <c r="T37" s="1708">
        <f>Capex!I4</f>
        <v>860.2853772200001</v>
      </c>
      <c r="U37" s="1708">
        <f>Capex!J4</f>
        <v>774.40493528999968</v>
      </c>
      <c r="V37" s="1708">
        <f>Capex!K4</f>
        <v>1238.1459183400002</v>
      </c>
      <c r="W37" s="1708">
        <f>Capex!L4</f>
        <v>2099.1910503671529</v>
      </c>
      <c r="X37" s="1708">
        <f>Capex!M4</f>
        <v>2540.3508464190782</v>
      </c>
      <c r="Y37" s="1708">
        <f>Capex!N4</f>
        <v>2979.198659184482</v>
      </c>
      <c r="Z37" s="1708" t="e">
        <f>Capex!O4</f>
        <v>#REF!</v>
      </c>
    </row>
    <row r="38" spans="6:28" s="614" customFormat="1" ht="14.25">
      <c r="R38" s="1817" t="s">
        <v>1680</v>
      </c>
      <c r="S38" s="955"/>
      <c r="T38" s="1818">
        <f>T37/Model!H13</f>
        <v>0.10114590917980512</v>
      </c>
      <c r="U38" s="1818">
        <f>U37/Model!I13</f>
        <v>6.8757799313666088E-2</v>
      </c>
      <c r="V38" s="1818">
        <f>V37/Model!J13</f>
        <v>7.8171443976140578E-2</v>
      </c>
      <c r="W38" s="1818">
        <f>W37/Model!K13</f>
        <v>9.9999999999999992E-2</v>
      </c>
      <c r="X38" s="1818">
        <f>X37/Model!L13</f>
        <v>0.1</v>
      </c>
      <c r="Y38" s="1818">
        <f>Y37/Model!M13</f>
        <v>0.1</v>
      </c>
      <c r="Z38" s="1818" t="e">
        <f>Z37/Model!#REF!</f>
        <v>#REF!</v>
      </c>
    </row>
    <row r="39" spans="6:28" s="614" customFormat="1" ht="14.25">
      <c r="R39" s="614" t="s">
        <v>1613</v>
      </c>
      <c r="T39" s="1708">
        <f>Model!H139</f>
        <v>2761.5759295299999</v>
      </c>
      <c r="U39" s="1708">
        <f>Model!I139</f>
        <v>3301.2662394500003</v>
      </c>
      <c r="V39" s="1708">
        <f>Model!J139</f>
        <v>4223.7291221400001</v>
      </c>
      <c r="W39" s="1708">
        <f>Model!K139</f>
        <v>5930.3434959487076</v>
      </c>
      <c r="X39" s="1708">
        <f>Model!L139</f>
        <v>7997.3483186895382</v>
      </c>
      <c r="Y39" s="1708">
        <f>Model!M139</f>
        <v>10285.173495362933</v>
      </c>
      <c r="Z39" s="1708" t="e">
        <f>Model!#REF!</f>
        <v>#REF!</v>
      </c>
    </row>
    <row r="40" spans="6:28" s="614" customFormat="1" ht="14.25"/>
    <row r="41" spans="6:28" s="614" customFormat="1" ht="14.25">
      <c r="R41" s="1718" t="s">
        <v>1404</v>
      </c>
      <c r="S41" s="1718"/>
      <c r="T41" s="1718"/>
      <c r="U41" s="1718"/>
      <c r="V41" s="1720"/>
      <c r="W41" s="1720"/>
      <c r="X41" s="1720"/>
      <c r="Y41" s="1720">
        <f>S29</f>
        <v>600</v>
      </c>
      <c r="Z41" s="1720">
        <f>Y41</f>
        <v>600</v>
      </c>
    </row>
    <row r="42" spans="6:28" s="614" customFormat="1" ht="14.25">
      <c r="H42" s="1844"/>
      <c r="R42" s="955" t="s">
        <v>1422</v>
      </c>
      <c r="V42" s="1408"/>
      <c r="W42" s="1408">
        <f>V30</f>
        <v>100</v>
      </c>
      <c r="X42" s="1408">
        <f>W42</f>
        <v>100</v>
      </c>
      <c r="Y42" s="1408">
        <f>X42</f>
        <v>100</v>
      </c>
      <c r="Z42" s="1408">
        <f>Y42</f>
        <v>100</v>
      </c>
    </row>
    <row r="43" spans="6:28" s="614" customFormat="1" ht="14.25">
      <c r="R43" s="955" t="s">
        <v>1403</v>
      </c>
      <c r="V43" s="1408"/>
      <c r="W43" s="1408"/>
      <c r="X43" s="1408"/>
      <c r="Y43" s="1408"/>
      <c r="Z43" s="1408">
        <f>S31</f>
        <v>1080</v>
      </c>
    </row>
    <row r="44" spans="6:28" s="614" customFormat="1" ht="14.25">
      <c r="R44" s="955" t="s">
        <v>1402</v>
      </c>
      <c r="V44" s="1408"/>
      <c r="W44" s="1408"/>
      <c r="X44" s="1408"/>
      <c r="Y44" s="1408">
        <f>S32/12*9</f>
        <v>750</v>
      </c>
      <c r="Z44" s="1408">
        <f>S32</f>
        <v>1000</v>
      </c>
    </row>
    <row r="45" spans="6:28" s="614" customFormat="1" ht="14.25">
      <c r="R45" s="955" t="s">
        <v>1668</v>
      </c>
      <c r="V45" s="1408"/>
      <c r="W45" s="1408"/>
      <c r="X45" s="1408"/>
      <c r="Y45" s="1408">
        <f>S33/2</f>
        <v>600</v>
      </c>
      <c r="Z45" s="1408">
        <f>S33</f>
        <v>1200</v>
      </c>
    </row>
    <row r="46" spans="6:28" s="614" customFormat="1" ht="15">
      <c r="R46" s="1416" t="s">
        <v>1615</v>
      </c>
      <c r="S46" s="1718"/>
      <c r="T46" s="1718"/>
      <c r="U46" s="1718"/>
      <c r="V46" s="1720"/>
      <c r="W46" s="1417">
        <f>SUM(W41:W45)</f>
        <v>100</v>
      </c>
      <c r="X46" s="1417">
        <f>SUM(X41:X45)</f>
        <v>100</v>
      </c>
      <c r="Y46" s="1417">
        <f>SUM(Y41:Y45)</f>
        <v>2050</v>
      </c>
      <c r="Z46" s="1417">
        <f>SUM(Z41:Z45)</f>
        <v>3980</v>
      </c>
    </row>
    <row r="47" spans="6:28" s="614" customFormat="1" ht="14.25">
      <c r="R47" s="1721" t="s">
        <v>1616</v>
      </c>
      <c r="S47" s="1721"/>
      <c r="T47" s="1721"/>
      <c r="U47" s="1721"/>
      <c r="V47" s="1721"/>
      <c r="W47" s="1721">
        <v>15</v>
      </c>
      <c r="X47" s="1721">
        <v>15</v>
      </c>
      <c r="Y47" s="1721">
        <v>15</v>
      </c>
      <c r="Z47" s="1721">
        <v>15</v>
      </c>
    </row>
    <row r="48" spans="6:28" s="614" customFormat="1" ht="15">
      <c r="R48" s="1735" t="s">
        <v>1617</v>
      </c>
      <c r="S48" s="1736"/>
      <c r="T48" s="1736"/>
      <c r="U48" s="1736"/>
      <c r="V48" s="1736"/>
      <c r="W48" s="1737">
        <f>W46/W47</f>
        <v>6.666666666666667</v>
      </c>
      <c r="X48" s="1737">
        <f>X46/X47</f>
        <v>6.666666666666667</v>
      </c>
      <c r="Y48" s="1737">
        <f>Y46/Y47</f>
        <v>136.66666666666666</v>
      </c>
      <c r="Z48" s="1738">
        <f>Z46/Z47</f>
        <v>265.33333333333331</v>
      </c>
    </row>
    <row r="49" spans="1:26" s="614" customFormat="1" ht="14.25"/>
    <row r="50" spans="1:26" s="614" customFormat="1" ht="14.25"/>
    <row r="51" spans="1:26" s="614" customFormat="1" ht="15">
      <c r="R51" s="1413" t="s">
        <v>989</v>
      </c>
      <c r="S51" s="1413"/>
      <c r="T51" s="1413">
        <v>2022</v>
      </c>
      <c r="U51" s="1413">
        <v>2023</v>
      </c>
      <c r="V51" s="1413">
        <f>V28</f>
        <v>2024</v>
      </c>
      <c r="W51" s="1413">
        <f>W28</f>
        <v>2025</v>
      </c>
      <c r="X51" s="1413">
        <f>X28</f>
        <v>2026</v>
      </c>
      <c r="Y51" s="1413">
        <f>Y28</f>
        <v>2027</v>
      </c>
      <c r="Z51" s="1413">
        <f>Z28</f>
        <v>2028</v>
      </c>
    </row>
    <row r="52" spans="1:26" s="614" customFormat="1" ht="15">
      <c r="R52" s="1413" t="s">
        <v>40</v>
      </c>
      <c r="S52" s="1413"/>
      <c r="T52" s="1719">
        <f>-Model!H33</f>
        <v>211.9910213</v>
      </c>
      <c r="U52" s="1719">
        <f>-Model!I33</f>
        <v>241.69913559</v>
      </c>
      <c r="V52" s="1719">
        <f>-Model!J33</f>
        <v>325.93171645999996</v>
      </c>
      <c r="W52" s="1719">
        <f>-Model!K33</f>
        <v>392.57667655844563</v>
      </c>
      <c r="X52" s="1719">
        <f>-Model!L33</f>
        <v>473.34602367824692</v>
      </c>
      <c r="Y52" s="1719">
        <f>-Model!M33</f>
        <v>691.37348251108654</v>
      </c>
      <c r="Z52" s="1719" t="e">
        <f>-Model!#REF!</f>
        <v>#REF!</v>
      </c>
    </row>
    <row r="53" spans="1:26" s="614" customFormat="1" ht="14.25">
      <c r="R53" s="1715" t="s">
        <v>1612</v>
      </c>
      <c r="T53" s="1714">
        <f t="shared" ref="T53:Z53" si="3">T52/T39</f>
        <v>7.6764509363347222E-2</v>
      </c>
      <c r="U53" s="1714">
        <f t="shared" si="3"/>
        <v>7.3214069408187962E-2</v>
      </c>
      <c r="V53" s="1714">
        <f t="shared" si="3"/>
        <v>7.7166813267339207E-2</v>
      </c>
      <c r="W53" s="1714">
        <f t="shared" si="3"/>
        <v>6.6197965906466122E-2</v>
      </c>
      <c r="X53" s="1714">
        <f t="shared" si="3"/>
        <v>5.918787138132435E-2</v>
      </c>
      <c r="Y53" s="1714">
        <f t="shared" si="3"/>
        <v>6.7220400591471996E-2</v>
      </c>
      <c r="Z53" s="1714" t="e">
        <f t="shared" si="3"/>
        <v>#REF!</v>
      </c>
    </row>
    <row r="54" spans="1:26" s="614" customFormat="1" ht="14.25">
      <c r="R54" s="1715" t="s">
        <v>1614</v>
      </c>
      <c r="T54" s="1714">
        <f t="shared" ref="T54:Z54" si="4">T52/T37</f>
        <v>0.24641941722297542</v>
      </c>
      <c r="U54" s="1714">
        <f t="shared" si="4"/>
        <v>0.31210949798439541</v>
      </c>
      <c r="V54" s="1714">
        <f t="shared" si="4"/>
        <v>0.26324176466775517</v>
      </c>
      <c r="W54" s="1714">
        <f t="shared" si="4"/>
        <v>0.18701331471939306</v>
      </c>
      <c r="X54" s="1714">
        <f t="shared" si="4"/>
        <v>0.18633096461675108</v>
      </c>
      <c r="Y54" s="1714">
        <f t="shared" si="4"/>
        <v>0.23206692859493341</v>
      </c>
      <c r="Z54" s="1714" t="e">
        <f t="shared" si="4"/>
        <v>#REF!</v>
      </c>
    </row>
    <row r="55" spans="1:26" s="614" customFormat="1" ht="14.25">
      <c r="R55" s="1715" t="s">
        <v>1610</v>
      </c>
      <c r="T55" s="1714">
        <f>T52/Model!H13</f>
        <v>2.4924315994575577E-2</v>
      </c>
      <c r="U55" s="1714">
        <f>U52/Model!I13</f>
        <v>2.1459962226300131E-2</v>
      </c>
      <c r="V55" s="1714">
        <f>V52/Model!J13</f>
        <v>2.057798885890581E-2</v>
      </c>
      <c r="W55" s="1714">
        <f>W52/Model!K13</f>
        <v>1.8701331471939305E-2</v>
      </c>
      <c r="X55" s="1714">
        <f>X52/Model!L13</f>
        <v>1.863309646167511E-2</v>
      </c>
      <c r="Y55" s="1714">
        <f>Y52/Model!M13</f>
        <v>2.3206692859493342E-2</v>
      </c>
      <c r="Z55" s="1714" t="e">
        <f>Z52/Model!#REF!</f>
        <v>#REF!</v>
      </c>
    </row>
    <row r="56" spans="1:26" s="614" customFormat="1" ht="14.25">
      <c r="A56" s="614" t="s">
        <v>1438</v>
      </c>
      <c r="R56" s="1715" t="s">
        <v>1611</v>
      </c>
      <c r="T56" s="1714">
        <f>T52/Model!H57</f>
        <v>0.14716278650561629</v>
      </c>
      <c r="U56" s="1714">
        <f>U52/Model!I57</f>
        <v>0.11849316508461466</v>
      </c>
      <c r="V56" s="1714">
        <f>V52/Model!J57</f>
        <v>9.7974223449383807E-2</v>
      </c>
      <c r="W56" s="1714">
        <f>W52/Model!K57</f>
        <v>8.6037645168368163E-2</v>
      </c>
      <c r="X56" s="1714">
        <f>X52/Model!L57</f>
        <v>8.369215089233098E-2</v>
      </c>
      <c r="Y56" s="1714">
        <f>Y52/Model!M57</f>
        <v>0.10236505546167254</v>
      </c>
      <c r="Z56" s="1714" t="e">
        <f>Z52/Model!#REF!</f>
        <v>#REF!</v>
      </c>
    </row>
    <row r="57" spans="1:26" s="614" customFormat="1" ht="14.25" customHeight="1"/>
    <row r="58" spans="1:26" s="614" customFormat="1" ht="16.5" customHeight="1">
      <c r="B58" s="2320" t="s">
        <v>1757</v>
      </c>
      <c r="C58" s="2321"/>
      <c r="D58" s="2319" t="s">
        <v>1755</v>
      </c>
      <c r="E58" s="2320"/>
      <c r="F58" s="2321"/>
      <c r="G58" s="2319" t="s">
        <v>1591</v>
      </c>
      <c r="H58" s="2320"/>
      <c r="I58" s="2321"/>
      <c r="J58" s="2319" t="s">
        <v>1221</v>
      </c>
      <c r="K58" s="2320"/>
      <c r="L58" s="614" t="s">
        <v>1756</v>
      </c>
    </row>
    <row r="59" spans="1:26" s="614" customFormat="1" ht="45">
      <c r="A59" s="614" t="s">
        <v>1437</v>
      </c>
      <c r="B59" s="2029" t="s">
        <v>1432</v>
      </c>
      <c r="C59" s="2028" t="s">
        <v>1433</v>
      </c>
      <c r="D59" s="2020" t="s">
        <v>1436</v>
      </c>
      <c r="E59" s="1418" t="s">
        <v>1435</v>
      </c>
      <c r="F59" s="1418" t="s">
        <v>1434</v>
      </c>
      <c r="G59" s="2020" t="s">
        <v>1436</v>
      </c>
      <c r="H59" s="1418" t="s">
        <v>1435</v>
      </c>
      <c r="I59" s="2021" t="s">
        <v>1434</v>
      </c>
      <c r="J59" s="1418" t="s">
        <v>1436</v>
      </c>
      <c r="K59" s="1418" t="s">
        <v>1435</v>
      </c>
      <c r="M59" s="614" t="s">
        <v>1432</v>
      </c>
    </row>
    <row r="60" spans="1:26" s="614" customFormat="1" ht="14.25">
      <c r="A60" s="614" t="s">
        <v>1431</v>
      </c>
      <c r="B60" s="614" t="s">
        <v>1430</v>
      </c>
      <c r="C60" s="614">
        <v>2020</v>
      </c>
      <c r="D60" s="2022">
        <v>599.9</v>
      </c>
      <c r="E60" s="2022">
        <v>610.4</v>
      </c>
      <c r="F60" s="2023">
        <f t="shared" ref="F60:F69" si="5">D60/E60</f>
        <v>0.98279816513761464</v>
      </c>
      <c r="G60" s="2022">
        <v>643.79999999999995</v>
      </c>
      <c r="H60" s="2022">
        <v>704.8</v>
      </c>
      <c r="I60" s="2023">
        <f t="shared" ref="I60:I69" si="6">G60/H60</f>
        <v>0.91345062429057888</v>
      </c>
      <c r="J60" s="2022">
        <f t="shared" ref="J60:J68" si="7">G60-D60</f>
        <v>43.899999999999977</v>
      </c>
      <c r="K60" s="2022">
        <f t="shared" ref="K60:K68" si="8">H60-E60</f>
        <v>94.399999999999977</v>
      </c>
      <c r="M60" s="614" t="s">
        <v>1416</v>
      </c>
    </row>
    <row r="61" spans="1:26" s="614" customFormat="1" ht="14.25">
      <c r="A61" s="614" t="s">
        <v>1429</v>
      </c>
      <c r="B61" s="1412" t="s">
        <v>1428</v>
      </c>
      <c r="C61" s="1412">
        <v>2006</v>
      </c>
      <c r="D61" s="2024">
        <v>452.8</v>
      </c>
      <c r="E61" s="2024">
        <v>461.4</v>
      </c>
      <c r="F61" s="2025">
        <f t="shared" si="5"/>
        <v>0.98136107498916347</v>
      </c>
      <c r="G61" s="2024">
        <v>572</v>
      </c>
      <c r="H61" s="2024">
        <v>556.79999999999995</v>
      </c>
      <c r="I61" s="2025">
        <f t="shared" si="6"/>
        <v>1.0272988505747127</v>
      </c>
      <c r="J61" s="2024">
        <f t="shared" si="7"/>
        <v>119.19999999999999</v>
      </c>
      <c r="K61" s="2024">
        <f t="shared" si="8"/>
        <v>95.399999999999977</v>
      </c>
      <c r="M61" s="614" t="s">
        <v>1427</v>
      </c>
    </row>
    <row r="62" spans="1:26" s="614" customFormat="1" ht="14.25">
      <c r="A62" s="614" t="s">
        <v>1426</v>
      </c>
      <c r="B62" s="614" t="s">
        <v>1425</v>
      </c>
      <c r="C62" s="614">
        <v>2023</v>
      </c>
      <c r="D62" s="2022">
        <v>39.9</v>
      </c>
      <c r="E62" s="2022">
        <v>42.4</v>
      </c>
      <c r="F62" s="2023">
        <f t="shared" si="5"/>
        <v>0.94103773584905659</v>
      </c>
      <c r="G62" s="2022">
        <v>433.4</v>
      </c>
      <c r="H62" s="2022">
        <v>448.5</v>
      </c>
      <c r="I62" s="2023">
        <f t="shared" si="6"/>
        <v>0.96633221850613149</v>
      </c>
      <c r="J62" s="2022">
        <f t="shared" si="7"/>
        <v>393.5</v>
      </c>
      <c r="K62" s="2022">
        <f t="shared" si="8"/>
        <v>406.1</v>
      </c>
      <c r="M62" s="614" t="s">
        <v>1424</v>
      </c>
    </row>
    <row r="63" spans="1:26" s="614" customFormat="1" ht="14.25">
      <c r="A63" s="614" t="s">
        <v>1423</v>
      </c>
      <c r="B63" s="1412" t="s">
        <v>1422</v>
      </c>
      <c r="C63" s="1412">
        <v>2021</v>
      </c>
      <c r="D63" s="2024">
        <v>373.6</v>
      </c>
      <c r="E63" s="2024">
        <v>402.4</v>
      </c>
      <c r="F63" s="2025">
        <f t="shared" si="5"/>
        <v>0.92842942345924462</v>
      </c>
      <c r="G63" s="2024">
        <v>472</v>
      </c>
      <c r="H63" s="2024">
        <v>475.5</v>
      </c>
      <c r="I63" s="2025">
        <f t="shared" si="6"/>
        <v>0.99263932702418511</v>
      </c>
      <c r="J63" s="2024">
        <f t="shared" si="7"/>
        <v>98.399999999999977</v>
      </c>
      <c r="K63" s="2024">
        <f t="shared" si="8"/>
        <v>73.100000000000023</v>
      </c>
      <c r="M63" s="614" t="s">
        <v>1422</v>
      </c>
    </row>
    <row r="64" spans="1:26" s="614" customFormat="1" ht="14.25">
      <c r="A64" s="614" t="s">
        <v>1421</v>
      </c>
      <c r="B64" s="614" t="s">
        <v>1420</v>
      </c>
      <c r="C64" s="614">
        <v>2014</v>
      </c>
      <c r="D64" s="2022">
        <v>589.4</v>
      </c>
      <c r="E64" s="2022">
        <v>646.5</v>
      </c>
      <c r="F64" s="2023">
        <f t="shared" si="5"/>
        <v>0.91167826759474091</v>
      </c>
      <c r="G64" s="2022">
        <v>767.8</v>
      </c>
      <c r="H64" s="2022">
        <v>885.2</v>
      </c>
      <c r="I64" s="2023">
        <f t="shared" si="6"/>
        <v>0.86737460460912774</v>
      </c>
      <c r="J64" s="2022">
        <f t="shared" si="7"/>
        <v>178.39999999999998</v>
      </c>
      <c r="K64" s="2022">
        <f t="shared" si="8"/>
        <v>238.70000000000005</v>
      </c>
      <c r="M64" s="614" t="s">
        <v>1419</v>
      </c>
    </row>
    <row r="65" spans="1:18" s="614" customFormat="1" ht="14.25">
      <c r="A65" s="614" t="s">
        <v>1418</v>
      </c>
      <c r="B65" s="1412" t="s">
        <v>1417</v>
      </c>
      <c r="C65" s="1412">
        <v>2012</v>
      </c>
      <c r="D65" s="2024">
        <v>332</v>
      </c>
      <c r="E65" s="2024">
        <v>457.5</v>
      </c>
      <c r="F65" s="2025">
        <f t="shared" si="5"/>
        <v>0.72568306010928962</v>
      </c>
      <c r="G65" s="2024">
        <v>454.2</v>
      </c>
      <c r="H65" s="2024">
        <v>528.1</v>
      </c>
      <c r="I65" s="2025">
        <f t="shared" si="6"/>
        <v>0.8600643817458814</v>
      </c>
      <c r="J65" s="2024">
        <f t="shared" si="7"/>
        <v>122.19999999999999</v>
      </c>
      <c r="K65" s="2024">
        <f t="shared" si="8"/>
        <v>70.600000000000023</v>
      </c>
      <c r="M65" s="614" t="s">
        <v>1416</v>
      </c>
    </row>
    <row r="66" spans="1:18" s="614" customFormat="1" ht="14.25">
      <c r="A66" s="614" t="s">
        <v>1415</v>
      </c>
      <c r="B66" s="614" t="s">
        <v>1414</v>
      </c>
      <c r="C66" s="614">
        <v>2018</v>
      </c>
      <c r="D66" s="2022">
        <v>348.7</v>
      </c>
      <c r="E66" s="2022">
        <v>492.5</v>
      </c>
      <c r="F66" s="2023">
        <f t="shared" si="5"/>
        <v>0.70802030456852794</v>
      </c>
      <c r="G66" s="2022">
        <v>495.5</v>
      </c>
      <c r="H66" s="2022">
        <v>568</v>
      </c>
      <c r="I66" s="2023">
        <f t="shared" si="6"/>
        <v>0.8723591549295775</v>
      </c>
      <c r="J66" s="2022">
        <f t="shared" si="7"/>
        <v>146.80000000000001</v>
      </c>
      <c r="K66" s="2022">
        <f t="shared" si="8"/>
        <v>75.5</v>
      </c>
      <c r="M66" s="614" t="s">
        <v>1413</v>
      </c>
    </row>
    <row r="67" spans="1:18" s="614" customFormat="1" ht="14.25">
      <c r="A67" s="614" t="s">
        <v>1412</v>
      </c>
      <c r="B67" s="1412" t="s">
        <v>1411</v>
      </c>
      <c r="C67" s="1412">
        <v>2017</v>
      </c>
      <c r="D67" s="2024">
        <v>156</v>
      </c>
      <c r="E67" s="2024">
        <v>238.8</v>
      </c>
      <c r="F67" s="2025">
        <f t="shared" si="5"/>
        <v>0.6532663316582914</v>
      </c>
      <c r="G67" s="2024">
        <v>201.1</v>
      </c>
      <c r="H67" s="2024">
        <v>336.9</v>
      </c>
      <c r="I67" s="2025">
        <f t="shared" si="6"/>
        <v>0.59691303057287026</v>
      </c>
      <c r="J67" s="2024">
        <f t="shared" si="7"/>
        <v>45.099999999999994</v>
      </c>
      <c r="K67" s="2024">
        <f t="shared" si="8"/>
        <v>98.099999999999966</v>
      </c>
      <c r="M67" s="614" t="s">
        <v>1410</v>
      </c>
    </row>
    <row r="68" spans="1:18" s="614" customFormat="1" ht="14.25">
      <c r="A68" s="614" t="s">
        <v>1408</v>
      </c>
      <c r="B68" s="2026" t="s">
        <v>1407</v>
      </c>
      <c r="C68" s="2026">
        <v>2024</v>
      </c>
      <c r="D68" s="2027"/>
      <c r="E68" s="2027"/>
      <c r="F68" s="2019"/>
      <c r="G68" s="2027">
        <v>323.5</v>
      </c>
      <c r="H68" s="2027">
        <v>370.2</v>
      </c>
      <c r="I68" s="2019">
        <f t="shared" si="6"/>
        <v>0.87385197190707731</v>
      </c>
      <c r="J68" s="2027">
        <f t="shared" si="7"/>
        <v>323.5</v>
      </c>
      <c r="K68" s="2027">
        <f t="shared" si="8"/>
        <v>370.2</v>
      </c>
      <c r="M68" s="614" t="s">
        <v>1405</v>
      </c>
    </row>
    <row r="69" spans="1:18" s="614" customFormat="1" ht="15">
      <c r="A69" s="614" t="s">
        <v>1409</v>
      </c>
      <c r="B69" s="1413" t="s">
        <v>746</v>
      </c>
      <c r="D69" s="1415">
        <f>SUM(D60:D67)</f>
        <v>2892.3</v>
      </c>
      <c r="E69" s="1415">
        <f>SUM(E60:E67)</f>
        <v>3351.9</v>
      </c>
      <c r="F69" s="1414">
        <f t="shared" si="5"/>
        <v>0.86288373758167014</v>
      </c>
      <c r="G69" s="1415">
        <f>SUM(G60:G68)</f>
        <v>4363.2999999999993</v>
      </c>
      <c r="H69" s="1415">
        <f>SUM(H60:H68)</f>
        <v>4873.9999999999991</v>
      </c>
      <c r="I69" s="2018">
        <f t="shared" si="6"/>
        <v>0.89521953221173578</v>
      </c>
      <c r="J69" s="1415">
        <f>SUM(J60:J68)</f>
        <v>1470.9999999999998</v>
      </c>
      <c r="K69" s="1415">
        <f>SUM(K60:K68)</f>
        <v>1522.1000000000001</v>
      </c>
    </row>
    <row r="70" spans="1:18" s="614" customFormat="1" ht="4.5" customHeight="1">
      <c r="B70" s="1413"/>
      <c r="C70" s="1415"/>
      <c r="D70" s="1415"/>
      <c r="E70" s="1414"/>
      <c r="F70" s="1413"/>
    </row>
    <row r="71" spans="1:18" s="614" customFormat="1" ht="14.25">
      <c r="B71" s="1412" t="s">
        <v>1407</v>
      </c>
      <c r="C71" s="1411"/>
      <c r="D71" s="1411"/>
      <c r="E71" s="1410"/>
      <c r="F71" s="1409" t="s">
        <v>1406</v>
      </c>
      <c r="M71" s="614" t="s">
        <v>1405</v>
      </c>
    </row>
    <row r="72" spans="1:18" s="614" customFormat="1" ht="14.25">
      <c r="B72" s="614" t="s">
        <v>1404</v>
      </c>
      <c r="C72" s="1408"/>
      <c r="D72" s="1408"/>
      <c r="E72" s="1406"/>
      <c r="F72" s="1407" t="s">
        <v>1096</v>
      </c>
    </row>
    <row r="73" spans="1:18" s="614" customFormat="1" ht="14.25">
      <c r="B73" s="1412" t="s">
        <v>1403</v>
      </c>
      <c r="C73" s="1411"/>
      <c r="D73" s="1411"/>
      <c r="E73" s="1410"/>
      <c r="F73" s="1409" t="s">
        <v>1401</v>
      </c>
    </row>
    <row r="74" spans="1:18" s="614" customFormat="1" ht="14.25">
      <c r="B74" s="614" t="s">
        <v>1402</v>
      </c>
      <c r="C74" s="1408"/>
      <c r="D74" s="1408"/>
      <c r="E74" s="1406"/>
      <c r="F74" s="1407" t="s">
        <v>1401</v>
      </c>
    </row>
    <row r="75" spans="1:18" s="614" customFormat="1" ht="15">
      <c r="M75" s="2077" t="s">
        <v>1766</v>
      </c>
    </row>
    <row r="76" spans="1:18" s="614" customFormat="1" ht="14.25">
      <c r="A76" s="614" t="s">
        <v>1400</v>
      </c>
      <c r="C76" s="1406">
        <f>(D60+D61+D67+D65)/D69</f>
        <v>0.53269024651661301</v>
      </c>
    </row>
    <row r="77" spans="1:18" s="614" customFormat="1" ht="14.25"/>
    <row r="78" spans="1:18" s="614" customFormat="1" ht="15">
      <c r="R78" s="1413" t="s">
        <v>1767</v>
      </c>
    </row>
    <row r="79" spans="1:18" s="614" customFormat="1" ht="14.25"/>
    <row r="80" spans="1:18" s="614" customFormat="1" ht="14.25">
      <c r="R80" s="614" t="s">
        <v>1768</v>
      </c>
    </row>
    <row r="81" spans="18:28" s="614" customFormat="1" ht="14.25">
      <c r="R81" s="614" t="s">
        <v>1769</v>
      </c>
      <c r="S81" s="614" t="s">
        <v>655</v>
      </c>
      <c r="T81" s="614" t="s">
        <v>1770</v>
      </c>
      <c r="U81" s="614" t="s">
        <v>1771</v>
      </c>
    </row>
    <row r="82" spans="18:28" s="614" customFormat="1" ht="14.25">
      <c r="R82" s="614" t="s">
        <v>1420</v>
      </c>
      <c r="S82" s="614" t="s">
        <v>1772</v>
      </c>
      <c r="T82" s="614">
        <v>1367.3</v>
      </c>
      <c r="U82" s="614">
        <v>2025</v>
      </c>
    </row>
    <row r="83" spans="18:28" ht="14.25">
      <c r="R83" s="614" t="s">
        <v>1414</v>
      </c>
      <c r="S83" s="614" t="s">
        <v>1772</v>
      </c>
      <c r="T83" s="614">
        <v>861.8</v>
      </c>
      <c r="U83" s="614">
        <v>2025</v>
      </c>
      <c r="V83" s="614"/>
      <c r="W83" s="614"/>
      <c r="X83" s="614"/>
      <c r="Y83" s="614"/>
      <c r="Z83" s="614"/>
      <c r="AA83" s="614"/>
      <c r="AB83" s="614"/>
    </row>
    <row r="84" spans="18:28" ht="14.25">
      <c r="R84" s="614" t="s">
        <v>1422</v>
      </c>
      <c r="S84" s="614" t="s">
        <v>1772</v>
      </c>
      <c r="T84" s="614">
        <v>596.5</v>
      </c>
      <c r="U84" s="614">
        <v>2025</v>
      </c>
      <c r="V84" s="614"/>
      <c r="W84" s="614"/>
      <c r="X84" s="614"/>
      <c r="Y84" s="614"/>
      <c r="Z84" s="614"/>
      <c r="AA84" s="614"/>
      <c r="AB84" s="614"/>
    </row>
    <row r="85" spans="18:28" ht="14.25">
      <c r="R85" s="614" t="s">
        <v>1407</v>
      </c>
      <c r="S85" s="614" t="s">
        <v>1772</v>
      </c>
      <c r="T85" s="614">
        <v>585</v>
      </c>
      <c r="U85" s="614">
        <v>2025</v>
      </c>
      <c r="V85" s="614"/>
      <c r="W85" s="614"/>
      <c r="X85" s="614"/>
      <c r="Y85" s="614"/>
      <c r="Z85" s="614"/>
      <c r="AA85" s="614"/>
    </row>
    <row r="86" spans="18:28">
      <c r="R86" s="955" t="s">
        <v>1404</v>
      </c>
      <c r="S86" s="955" t="s">
        <v>1773</v>
      </c>
      <c r="T86" s="955">
        <v>1155.8</v>
      </c>
      <c r="U86" s="955">
        <v>2026</v>
      </c>
    </row>
    <row r="87" spans="18:28">
      <c r="R87" s="955" t="s">
        <v>1402</v>
      </c>
      <c r="S87" s="955" t="s">
        <v>1773</v>
      </c>
      <c r="T87" s="955">
        <v>1155.8</v>
      </c>
      <c r="U87" s="955">
        <v>2026</v>
      </c>
    </row>
    <row r="88" spans="18:28">
      <c r="R88" s="955" t="s">
        <v>1403</v>
      </c>
      <c r="S88" s="955" t="s">
        <v>1773</v>
      </c>
      <c r="T88" s="955">
        <v>1493.2</v>
      </c>
      <c r="U88" s="955">
        <v>2026</v>
      </c>
    </row>
    <row r="89" spans="18:28">
      <c r="R89" s="955" t="s">
        <v>1774</v>
      </c>
      <c r="S89" s="955" t="s">
        <v>1773</v>
      </c>
      <c r="T89" s="955">
        <v>1155.8</v>
      </c>
      <c r="U89" s="955">
        <v>2027</v>
      </c>
    </row>
  </sheetData>
  <mergeCells count="4">
    <mergeCell ref="G58:I58"/>
    <mergeCell ref="D58:F58"/>
    <mergeCell ref="J58:K58"/>
    <mergeCell ref="B58:C58"/>
  </mergeCells>
  <hyperlinks>
    <hyperlink ref="N7" r:id="rId1" xr:uid="{87281DBA-D175-404F-83AE-34CBEE64E6AE}"/>
    <hyperlink ref="P13" r:id="rId2" xr:uid="{45019361-C630-4287-9545-B71EFF49661C}"/>
    <hyperlink ref="P12" r:id="rId3" xr:uid="{2D029809-8D52-4935-946D-68F63DA04778}"/>
    <hyperlink ref="P9" r:id="rId4" xr:uid="{A35038DD-CA4B-4A95-AC4F-1439DDADD496}"/>
    <hyperlink ref="P8" r:id="rId5" xr:uid="{313BF6EA-0BB1-4C92-A785-85A30F2CDA87}"/>
  </hyperlinks>
  <printOptions horizontalCentered="1" verticalCentered="1"/>
  <pageMargins left="0.7" right="0.7" top="0.75" bottom="0.75" header="0.3" footer="0.3"/>
  <pageSetup scale="10" orientation="portrait" r:id="rId6"/>
  <customProperties>
    <customPr name="Qube.Worksheet.Visibility" r:id="rId7"/>
  </customProperties>
  <drawing r:id="rId8"/>
  <legacyDrawing r:id="rId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/>
  <dimension ref="B1:U39"/>
  <sheetViews>
    <sheetView workbookViewId="0"/>
  </sheetViews>
  <sheetFormatPr defaultColWidth="9" defaultRowHeight="12.75"/>
  <cols>
    <col min="1" max="1" width="1" style="955" customWidth="1"/>
    <col min="2" max="2" width="22.25" style="955" bestFit="1" customWidth="1"/>
    <col min="3" max="3" width="20.25" style="955" customWidth="1"/>
    <col min="4" max="7" width="7.5" style="955" customWidth="1"/>
    <col min="8" max="12" width="7.5" style="958" customWidth="1"/>
    <col min="13" max="15" width="9" style="958"/>
    <col min="16" max="16384" width="9" style="955"/>
  </cols>
  <sheetData>
    <row r="1" spans="2:21">
      <c r="D1" s="956"/>
      <c r="E1" s="956"/>
      <c r="F1" s="956"/>
      <c r="G1" s="956"/>
      <c r="H1" s="957"/>
      <c r="J1" s="957"/>
      <c r="K1" s="957"/>
      <c r="L1" s="957"/>
      <c r="M1" s="957"/>
      <c r="N1" s="957"/>
      <c r="O1" s="957"/>
    </row>
    <row r="2" spans="2:21">
      <c r="B2" s="959" t="s">
        <v>1213</v>
      </c>
      <c r="C2" s="959"/>
      <c r="D2" s="959">
        <v>2017</v>
      </c>
      <c r="E2" s="959">
        <v>2018</v>
      </c>
      <c r="F2" s="959">
        <v>2019</v>
      </c>
      <c r="G2" s="959">
        <v>2020</v>
      </c>
      <c r="H2" s="959">
        <v>2021</v>
      </c>
      <c r="I2" s="959">
        <v>2022</v>
      </c>
      <c r="J2" s="959">
        <v>2023</v>
      </c>
      <c r="K2" s="959">
        <v>2024</v>
      </c>
      <c r="L2" s="960" t="s">
        <v>1071</v>
      </c>
      <c r="M2" s="960" t="s">
        <v>1096</v>
      </c>
      <c r="N2" s="960" t="s">
        <v>1401</v>
      </c>
      <c r="O2" s="960" t="s">
        <v>1551</v>
      </c>
    </row>
    <row r="3" spans="2:21" s="964" customFormat="1">
      <c r="B3" s="961" t="s">
        <v>1214</v>
      </c>
      <c r="C3" s="961" t="s">
        <v>885</v>
      </c>
      <c r="D3" s="962">
        <f>-Model!C207</f>
        <v>335.43150000000003</v>
      </c>
      <c r="E3" s="962">
        <f>-Model!D207</f>
        <v>391.88838167</v>
      </c>
      <c r="F3" s="962">
        <f>-Model!E207</f>
        <v>508.26795851999998</v>
      </c>
      <c r="G3" s="962">
        <f>-Model!F207</f>
        <v>645.36882228000002</v>
      </c>
      <c r="H3" s="963">
        <f t="shared" ref="H3:M3" si="0">SUM(H4:H6)</f>
        <v>486.69091358999992</v>
      </c>
      <c r="I3" s="963">
        <f>SUM(I4:I6)</f>
        <v>910.78762461000008</v>
      </c>
      <c r="J3" s="963">
        <f>SUM(J4:J6)</f>
        <v>916.4096260299998</v>
      </c>
      <c r="K3" s="963">
        <f>SUM(K4:K6)</f>
        <v>1536.8228245900002</v>
      </c>
      <c r="L3" s="963">
        <f t="shared" si="0"/>
        <v>2474.0484699470439</v>
      </c>
      <c r="M3" s="963">
        <f t="shared" si="0"/>
        <v>2968.5836865615061</v>
      </c>
      <c r="N3" s="963">
        <f>SUM(N4:N6)</f>
        <v>3451.6171074109066</v>
      </c>
      <c r="O3" s="963" t="e">
        <f>SUM(O4:O6)</f>
        <v>#REF!</v>
      </c>
    </row>
    <row r="4" spans="2:21">
      <c r="B4" s="955" t="s">
        <v>1215</v>
      </c>
      <c r="C4" s="965" t="s">
        <v>883</v>
      </c>
      <c r="D4" s="966"/>
      <c r="E4" s="1150">
        <f>Model!D136-Model!C136</f>
        <v>614.76764763000006</v>
      </c>
      <c r="F4" s="1150">
        <f>Model!E136-Model!D136</f>
        <v>383.20607713999993</v>
      </c>
      <c r="G4" s="1150">
        <f>Model!F136-Model!E136</f>
        <v>586.47853519000023</v>
      </c>
      <c r="H4" s="1150">
        <f>Model!G136-Model!F136</f>
        <v>393.0061854999999</v>
      </c>
      <c r="I4" s="1150">
        <f>Model!H136-Model!G136</f>
        <v>860.2853772200001</v>
      </c>
      <c r="J4" s="1150">
        <f>Model!I136-Model!H136</f>
        <v>774.40493528999968</v>
      </c>
      <c r="K4" s="1150">
        <f>Model!J136-Model!I136</f>
        <v>1238.1459183400002</v>
      </c>
      <c r="L4" s="967">
        <f>Segment!N$9*Capex!L10</f>
        <v>2099.1910503671529</v>
      </c>
      <c r="M4" s="967">
        <f>Segment!O$9*Capex!M10</f>
        <v>2540.3508464190782</v>
      </c>
      <c r="N4" s="967">
        <f>Segment!P$9*Capex!N10</f>
        <v>2979.198659184482</v>
      </c>
      <c r="O4" s="967" t="e">
        <f>Segment!#REF!*Capex!O10</f>
        <v>#REF!</v>
      </c>
      <c r="Q4" s="1808">
        <v>1039.7066224625726</v>
      </c>
      <c r="R4" s="1808">
        <v>1452.3620334647246</v>
      </c>
      <c r="S4" s="1808">
        <v>1456.4274501620012</v>
      </c>
      <c r="T4" s="1808">
        <v>1000.4813408432342</v>
      </c>
      <c r="U4" s="1808">
        <v>954.92782716486215</v>
      </c>
    </row>
    <row r="5" spans="2:21">
      <c r="B5" s="955" t="s">
        <v>1216</v>
      </c>
      <c r="C5" s="965" t="s">
        <v>887</v>
      </c>
      <c r="D5" s="966"/>
      <c r="E5" s="1150">
        <f>Model!D140-Model!C140</f>
        <v>-3.2437235600000065</v>
      </c>
      <c r="F5" s="1150">
        <f>Model!E140-Model!D140</f>
        <v>8.5867498900000214</v>
      </c>
      <c r="G5" s="1150">
        <f>Model!F140-Model!E140</f>
        <v>101.90767345999996</v>
      </c>
      <c r="H5" s="1150">
        <f>Model!G140-Model!F140</f>
        <v>94.896460620000028</v>
      </c>
      <c r="I5" s="1150">
        <f>Model!H140-Model!G140</f>
        <v>46.024729430000036</v>
      </c>
      <c r="J5" s="1150">
        <f>Model!I140-Model!H140</f>
        <v>137.52729812000001</v>
      </c>
      <c r="K5" s="1150">
        <f>Model!J140-Model!I140</f>
        <v>275.90714817999992</v>
      </c>
      <c r="L5" s="967">
        <f>Segment!N$9*Capex!L11</f>
        <v>344.6796813967124</v>
      </c>
      <c r="M5" s="967">
        <f>Segment!O$9*Capex!M11</f>
        <v>391.713037562647</v>
      </c>
      <c r="N5" s="967">
        <f>Segment!P$9*Capex!N11</f>
        <v>429.5898180658578</v>
      </c>
      <c r="O5" s="967" t="e">
        <f>Segment!#REF!*Capex!O11</f>
        <v>#REF!</v>
      </c>
      <c r="R5" s="1744">
        <f>R4+480</f>
        <v>1932.3620334647246</v>
      </c>
      <c r="S5" s="1744">
        <f>S4+480</f>
        <v>1936.4274501620012</v>
      </c>
      <c r="T5" s="1744">
        <f>T4+240</f>
        <v>1240.4813408432342</v>
      </c>
    </row>
    <row r="6" spans="2:21">
      <c r="B6" s="955" t="s">
        <v>1217</v>
      </c>
      <c r="C6" s="965" t="s">
        <v>888</v>
      </c>
      <c r="D6" s="966">
        <f t="shared" ref="D6:J6" si="1">D36</f>
        <v>21.882400000000001</v>
      </c>
      <c r="E6" s="966">
        <f t="shared" si="1"/>
        <v>-1.5310578799999988</v>
      </c>
      <c r="F6" s="966">
        <f t="shared" si="1"/>
        <v>2.7874689100000012</v>
      </c>
      <c r="G6" s="966">
        <f t="shared" si="1"/>
        <v>1.67025632</v>
      </c>
      <c r="H6" s="966">
        <f t="shared" si="1"/>
        <v>-1.2117325300000026</v>
      </c>
      <c r="I6" s="966">
        <f t="shared" si="1"/>
        <v>4.4775179600000001</v>
      </c>
      <c r="J6" s="966">
        <f t="shared" si="1"/>
        <v>4.4773926199999963</v>
      </c>
      <c r="K6" s="966">
        <f>K36</f>
        <v>22.769758070000002</v>
      </c>
      <c r="L6" s="967">
        <f>Segment!N$9*Capex!L12</f>
        <v>30.177738183178654</v>
      </c>
      <c r="M6" s="967">
        <f>Segment!O$9*Capex!M12</f>
        <v>36.519802579780851</v>
      </c>
      <c r="N6" s="967">
        <f>Segment!P$9*Capex!N12</f>
        <v>42.828630160566632</v>
      </c>
      <c r="O6" s="967" t="e">
        <f>Segment!#REF!*Capex!O12</f>
        <v>#REF!</v>
      </c>
    </row>
    <row r="7" spans="2:21">
      <c r="D7" s="968"/>
      <c r="E7" s="968"/>
      <c r="F7" s="968"/>
      <c r="G7" s="968"/>
    </row>
    <row r="8" spans="2:21">
      <c r="B8" s="955" t="s">
        <v>209</v>
      </c>
      <c r="C8" s="969" t="s">
        <v>886</v>
      </c>
      <c r="D8" s="968"/>
      <c r="E8" s="968"/>
      <c r="F8" s="968"/>
      <c r="G8" s="968"/>
    </row>
    <row r="9" spans="2:21" s="970" customFormat="1">
      <c r="B9" s="984" t="s">
        <v>1214</v>
      </c>
      <c r="C9" s="970" t="str">
        <f>C3</f>
        <v>资本开支</v>
      </c>
      <c r="D9" s="971">
        <f>D3/Segment!F$9</f>
        <v>0.11795154496387168</v>
      </c>
      <c r="E9" s="971">
        <f>E3/Segment!G$9</f>
        <v>0.12901522211391925</v>
      </c>
      <c r="F9" s="971">
        <f>F3/Segment!H$9</f>
        <v>0.1207652052213543</v>
      </c>
      <c r="G9" s="971">
        <f>G3/Segment!I$9</f>
        <v>0.13015397427485792</v>
      </c>
      <c r="H9" s="972">
        <f t="shared" ref="H9:M9" si="2">SUM(H10:H12)</f>
        <v>6.9748251030297442E-2</v>
      </c>
      <c r="I9" s="972">
        <f>SUM(I10:I12)</f>
        <v>0.10708358505242281</v>
      </c>
      <c r="J9" s="972">
        <f>SUM(J10:J12)</f>
        <v>8.1366099677665879E-2</v>
      </c>
      <c r="K9" s="972">
        <f>SUM(K10:K12)</f>
        <v>9.7028676147282306E-2</v>
      </c>
      <c r="L9" s="972">
        <f t="shared" si="2"/>
        <v>0.11785723217114173</v>
      </c>
      <c r="M9" s="972">
        <f t="shared" si="2"/>
        <v>0.11685723217114173</v>
      </c>
      <c r="N9" s="972">
        <f>SUM(N10:N12)</f>
        <v>0.11585723217114173</v>
      </c>
      <c r="O9" s="972">
        <f>SUM(O10:O12)</f>
        <v>3.4857232171141721E-2</v>
      </c>
    </row>
    <row r="10" spans="2:21" s="969" customFormat="1">
      <c r="B10" s="985" t="s">
        <v>1215</v>
      </c>
      <c r="C10" s="973" t="str">
        <f>C4</f>
        <v>固定资产</v>
      </c>
      <c r="D10" s="974"/>
      <c r="E10" s="974">
        <f>E4/Segment!G$9</f>
        <v>0.20239024252121074</v>
      </c>
      <c r="F10" s="974">
        <f>F4/Segment!H$9</f>
        <v>9.1050320548705641E-2</v>
      </c>
      <c r="G10" s="974">
        <f>G4/Segment!I$9</f>
        <v>0.11827734707140529</v>
      </c>
      <c r="H10" s="974">
        <f>H4/Segment!J$9</f>
        <v>5.6322181732379198E-2</v>
      </c>
      <c r="I10" s="974">
        <f>I4/Segment!K$9</f>
        <v>0.10114590917980512</v>
      </c>
      <c r="J10" s="974">
        <f>J4/Segment!L$9</f>
        <v>6.8757799313666088E-2</v>
      </c>
      <c r="K10" s="974">
        <f>K4/Segment!M$9</f>
        <v>7.8171443976140578E-2</v>
      </c>
      <c r="L10" s="1151">
        <v>0.1</v>
      </c>
      <c r="M10" s="1151">
        <v>0.1</v>
      </c>
      <c r="N10" s="1151">
        <v>0.1</v>
      </c>
      <c r="O10" s="1151">
        <v>0.02</v>
      </c>
    </row>
    <row r="11" spans="2:21" s="969" customFormat="1">
      <c r="B11" s="985" t="s">
        <v>1216</v>
      </c>
      <c r="C11" s="973" t="str">
        <f>C5</f>
        <v>无形资产</v>
      </c>
      <c r="D11" s="974"/>
      <c r="E11" s="974">
        <f>E5/Segment!G$9</f>
        <v>-1.0678798738206891E-3</v>
      </c>
      <c r="F11" s="974">
        <f>F5/Segment!H$9</f>
        <v>2.04022424641881E-3</v>
      </c>
      <c r="G11" s="974">
        <f>G5/Segment!I$9</f>
        <v>2.0552106411128836E-2</v>
      </c>
      <c r="H11" s="974">
        <f>H5/Segment!J$9</f>
        <v>1.3599724121388438E-2</v>
      </c>
      <c r="I11" s="974">
        <f>I5/Segment!K$9</f>
        <v>5.4112428575679647E-3</v>
      </c>
      <c r="J11" s="974">
        <f>J5/Segment!L$9</f>
        <v>1.2210762010116286E-2</v>
      </c>
      <c r="K11" s="974">
        <f>K5/Segment!M$9</f>
        <v>1.7419643240019874E-2</v>
      </c>
      <c r="L11" s="1151">
        <f>K11-0.1%</f>
        <v>1.6419643240019873E-2</v>
      </c>
      <c r="M11" s="1151">
        <f>L11-0.1%</f>
        <v>1.5419643240019872E-2</v>
      </c>
      <c r="N11" s="1151">
        <f>M11-0.1%</f>
        <v>1.4419643240019871E-2</v>
      </c>
      <c r="O11" s="1151">
        <f>N11-0.1%</f>
        <v>1.341964324001987E-2</v>
      </c>
    </row>
    <row r="12" spans="2:21" s="969" customFormat="1">
      <c r="B12" s="985" t="s">
        <v>1217</v>
      </c>
      <c r="C12" s="973" t="str">
        <f>C6</f>
        <v>长期待摊费用</v>
      </c>
      <c r="D12" s="974">
        <f>D6/Segment!F$9</f>
        <v>7.6947540332897345E-3</v>
      </c>
      <c r="E12" s="974">
        <f>E6/Segment!G$9</f>
        <v>-5.0404600313923395E-4</v>
      </c>
      <c r="F12" s="974">
        <f>F6/Segment!H$9</f>
        <v>6.6230666191217089E-4</v>
      </c>
      <c r="G12" s="974">
        <f>G6/Segment!I$9</f>
        <v>3.3684691698878153E-4</v>
      </c>
      <c r="H12" s="974">
        <f>H6/Segment!J$9</f>
        <v>-1.736548234701914E-4</v>
      </c>
      <c r="I12" s="974">
        <f>I6/Segment!K$9</f>
        <v>5.2643301504971536E-4</v>
      </c>
      <c r="J12" s="974">
        <f>J6/Segment!L$9</f>
        <v>3.9753835388350585E-4</v>
      </c>
      <c r="K12" s="974">
        <f>K6/Segment!M$9</f>
        <v>1.4375889311218483E-3</v>
      </c>
      <c r="L12" s="1151">
        <f>K12</f>
        <v>1.4375889311218483E-3</v>
      </c>
      <c r="M12" s="1151">
        <f>L12</f>
        <v>1.4375889311218483E-3</v>
      </c>
      <c r="N12" s="1151">
        <f>M12</f>
        <v>1.4375889311218483E-3</v>
      </c>
      <c r="O12" s="1151">
        <f>N12</f>
        <v>1.4375889311218483E-3</v>
      </c>
    </row>
    <row r="13" spans="2:21" s="969" customFormat="1">
      <c r="D13" s="974"/>
      <c r="E13" s="974"/>
      <c r="F13" s="974"/>
      <c r="G13" s="974"/>
      <c r="H13" s="975"/>
      <c r="I13" s="975"/>
      <c r="J13" s="975"/>
      <c r="K13" s="975"/>
      <c r="L13" s="975"/>
      <c r="M13" s="975"/>
      <c r="N13" s="975"/>
      <c r="O13" s="975"/>
    </row>
    <row r="14" spans="2:21" s="969" customFormat="1">
      <c r="B14" s="969" t="s">
        <v>1218</v>
      </c>
      <c r="C14" s="969" t="s">
        <v>898</v>
      </c>
      <c r="D14" s="976"/>
      <c r="E14" s="976">
        <f>Segment!G10/Capex!E3</f>
        <v>0.49434586142728271</v>
      </c>
      <c r="F14" s="976">
        <f>Segment!H10/Capex!F3</f>
        <v>2.3042815507401588</v>
      </c>
      <c r="G14" s="976">
        <f>Segment!I10/Capex!G3</f>
        <v>1.1617762023444982</v>
      </c>
      <c r="H14" s="977">
        <f>Segment!J10/Capex!H3</f>
        <v>4.1490806573412282</v>
      </c>
      <c r="I14" s="977">
        <f>Segment!K10/Capex!I3</f>
        <v>1.6771936890821335</v>
      </c>
      <c r="J14" s="977">
        <f>Segment!L10/Capex!J3</f>
        <v>3.0089212012486368</v>
      </c>
      <c r="K14" s="977">
        <f>Segment!M10/Capex!K3</f>
        <v>2.9776091763868875</v>
      </c>
      <c r="L14" s="977">
        <f>Segment!N10/Capex!L3</f>
        <v>2.0828446726073353</v>
      </c>
      <c r="M14" s="977">
        <f>Segment!O10/Capex!M3</f>
        <v>1.4860951976830341</v>
      </c>
      <c r="N14" s="977">
        <f>Segment!P10/Capex!N3</f>
        <v>1.2714266939492256</v>
      </c>
      <c r="O14" s="977" t="e">
        <f>Segment!#REF!/Capex!O3</f>
        <v>#REF!</v>
      </c>
    </row>
    <row r="15" spans="2:21" s="969" customFormat="1">
      <c r="D15" s="976"/>
      <c r="E15" s="976"/>
      <c r="F15" s="976"/>
      <c r="G15" s="976"/>
      <c r="H15" s="977"/>
      <c r="I15" s="977"/>
      <c r="J15" s="977"/>
      <c r="K15" s="977"/>
      <c r="L15" s="977"/>
      <c r="M15" s="977"/>
      <c r="N15" s="977"/>
      <c r="O15" s="977"/>
    </row>
    <row r="16" spans="2:21">
      <c r="B16" s="961" t="s">
        <v>1219</v>
      </c>
      <c r="C16" s="961" t="s">
        <v>889</v>
      </c>
      <c r="D16" s="978"/>
      <c r="E16" s="978"/>
      <c r="F16" s="978"/>
      <c r="G16" s="978"/>
      <c r="H16" s="979"/>
      <c r="I16" s="979"/>
      <c r="J16" s="979"/>
      <c r="K16" s="979"/>
      <c r="L16" s="979"/>
      <c r="M16" s="979"/>
      <c r="N16" s="979"/>
      <c r="O16" s="979"/>
    </row>
    <row r="17" spans="2:15">
      <c r="B17" s="955" t="s">
        <v>1215</v>
      </c>
      <c r="C17" s="955" t="s">
        <v>883</v>
      </c>
    </row>
    <row r="18" spans="2:15">
      <c r="B18" s="955" t="s">
        <v>1220</v>
      </c>
      <c r="C18" s="955" t="s">
        <v>891</v>
      </c>
      <c r="D18" s="966"/>
      <c r="E18" s="1150">
        <f>Model!C136</f>
        <v>773.91329999999994</v>
      </c>
      <c r="F18" s="1150">
        <f>Model!D136</f>
        <v>1388.68094763</v>
      </c>
      <c r="G18" s="1150">
        <f>Model!E136</f>
        <v>1771.8870247699999</v>
      </c>
      <c r="H18" s="1150">
        <f>Model!F136</f>
        <v>2358.3655599600002</v>
      </c>
      <c r="I18" s="1150">
        <f>Model!G136</f>
        <v>2751.3717454600001</v>
      </c>
      <c r="J18" s="1150">
        <f>Model!H136</f>
        <v>3611.6571226800002</v>
      </c>
      <c r="K18" s="1150">
        <f>Model!I136</f>
        <v>4386.0620579699998</v>
      </c>
      <c r="L18" s="957">
        <f>K20</f>
        <v>5624.20797631</v>
      </c>
      <c r="M18" s="957">
        <f>L20</f>
        <v>7723.3990266771525</v>
      </c>
      <c r="N18" s="957">
        <f>M20</f>
        <v>10263.749873096231</v>
      </c>
      <c r="O18" s="957">
        <f>N20</f>
        <v>13242.948532280712</v>
      </c>
    </row>
    <row r="19" spans="2:15">
      <c r="B19" s="965" t="s">
        <v>1221</v>
      </c>
      <c r="C19" s="965" t="s">
        <v>884</v>
      </c>
      <c r="D19" s="966"/>
      <c r="E19" s="966">
        <f t="shared" ref="E19:J19" si="3">E20-E18</f>
        <v>614.76764763000006</v>
      </c>
      <c r="F19" s="966">
        <f t="shared" si="3"/>
        <v>383.20607713999993</v>
      </c>
      <c r="G19" s="966">
        <f t="shared" si="3"/>
        <v>586.47853519000023</v>
      </c>
      <c r="H19" s="966">
        <f t="shared" si="3"/>
        <v>393.0061854999999</v>
      </c>
      <c r="I19" s="966">
        <f t="shared" si="3"/>
        <v>860.2853772200001</v>
      </c>
      <c r="J19" s="966">
        <f t="shared" si="3"/>
        <v>774.40493528999968</v>
      </c>
      <c r="K19" s="966">
        <f>K20-K18</f>
        <v>1238.1459183400002</v>
      </c>
      <c r="L19" s="957">
        <f>L4</f>
        <v>2099.1910503671529</v>
      </c>
      <c r="M19" s="957">
        <f>M4</f>
        <v>2540.3508464190782</v>
      </c>
      <c r="N19" s="957">
        <f>N4</f>
        <v>2979.198659184482</v>
      </c>
      <c r="O19" s="957" t="e">
        <f>O4</f>
        <v>#REF!</v>
      </c>
    </row>
    <row r="20" spans="2:15">
      <c r="B20" s="955" t="s">
        <v>1222</v>
      </c>
      <c r="C20" s="980" t="s">
        <v>892</v>
      </c>
      <c r="D20" s="1150">
        <f>Model!C136</f>
        <v>773.91329999999994</v>
      </c>
      <c r="E20" s="1150">
        <f>Model!D136</f>
        <v>1388.68094763</v>
      </c>
      <c r="F20" s="1150">
        <f>Model!E136</f>
        <v>1771.8870247699999</v>
      </c>
      <c r="G20" s="1150">
        <f>Model!F136</f>
        <v>2358.3655599600002</v>
      </c>
      <c r="H20" s="1150">
        <f>Model!G136</f>
        <v>2751.3717454600001</v>
      </c>
      <c r="I20" s="1150">
        <f>Model!H136</f>
        <v>3611.6571226800002</v>
      </c>
      <c r="J20" s="1150">
        <f>Model!I136</f>
        <v>4386.0620579699998</v>
      </c>
      <c r="K20" s="1150">
        <f>Model!J136</f>
        <v>5624.20797631</v>
      </c>
      <c r="L20" s="957">
        <f>L18+L19</f>
        <v>7723.3990266771525</v>
      </c>
      <c r="M20" s="957">
        <f>M18+M19</f>
        <v>10263.749873096231</v>
      </c>
      <c r="N20" s="957">
        <f>N18+N19</f>
        <v>13242.948532280712</v>
      </c>
      <c r="O20" s="957" t="e">
        <f>O18+O19</f>
        <v>#REF!</v>
      </c>
    </row>
    <row r="21" spans="2:15">
      <c r="B21" s="965" t="s">
        <v>1223</v>
      </c>
      <c r="C21" s="965" t="s">
        <v>39</v>
      </c>
      <c r="D21" s="966"/>
      <c r="E21" s="1150">
        <f>Wind!V237</f>
        <v>77.859574969999997</v>
      </c>
      <c r="F21" s="1150">
        <f>Wind!W237</f>
        <v>102.17591390000001</v>
      </c>
      <c r="G21" s="1150">
        <f>Wind!X237</f>
        <v>124.58530337000001</v>
      </c>
      <c r="H21" s="1150">
        <f>Wind!Y237</f>
        <v>173.10489672</v>
      </c>
      <c r="I21" s="1150">
        <f>Wind!Z237</f>
        <v>211.9910213</v>
      </c>
      <c r="J21" s="1150">
        <f>Wind!AA237</f>
        <v>241.69913559</v>
      </c>
      <c r="K21" s="1150">
        <f>Wind!AB237</f>
        <v>325.93171645999996</v>
      </c>
      <c r="L21" s="967">
        <f>(L18+L20)/L22/2</f>
        <v>392.57667655844563</v>
      </c>
      <c r="M21" s="967">
        <f>(M18+M20)/M22/2</f>
        <v>473.34602367824692</v>
      </c>
      <c r="N21" s="967">
        <f>(N18+N20)/N22/2</f>
        <v>691.37348251108654</v>
      </c>
      <c r="O21" s="967" t="e">
        <f>(O18+O20)/O22/2</f>
        <v>#REF!</v>
      </c>
    </row>
    <row r="22" spans="2:15">
      <c r="B22" s="965" t="s">
        <v>1224</v>
      </c>
      <c r="C22" s="980" t="s">
        <v>890</v>
      </c>
      <c r="D22" s="981"/>
      <c r="E22" s="981">
        <f t="shared" ref="E22:J22" si="4">(E18+E20)/2/E21</f>
        <v>13.887786110207172</v>
      </c>
      <c r="F22" s="981">
        <f t="shared" si="4"/>
        <v>15.466306352264493</v>
      </c>
      <c r="G22" s="981">
        <f t="shared" si="4"/>
        <v>16.576002437718348</v>
      </c>
      <c r="H22" s="981">
        <f t="shared" si="4"/>
        <v>14.759077883524819</v>
      </c>
      <c r="I22" s="981">
        <f t="shared" si="4"/>
        <v>15.007779171777592</v>
      </c>
      <c r="J22" s="981">
        <f t="shared" si="4"/>
        <v>16.544782340919749</v>
      </c>
      <c r="K22" s="981">
        <f>(K18+K20)/2/K21</f>
        <v>15.356391429166901</v>
      </c>
      <c r="L22" s="1152">
        <v>17</v>
      </c>
      <c r="M22" s="1152">
        <v>19</v>
      </c>
      <c r="N22" s="1152">
        <v>17</v>
      </c>
      <c r="O22" s="1152">
        <v>15</v>
      </c>
    </row>
    <row r="25" spans="2:15">
      <c r="B25" s="961" t="s">
        <v>1225</v>
      </c>
      <c r="C25" s="961" t="s">
        <v>887</v>
      </c>
      <c r="D25" s="978"/>
      <c r="E25" s="978"/>
      <c r="F25" s="978"/>
      <c r="G25" s="978"/>
      <c r="H25" s="979"/>
      <c r="I25" s="979"/>
      <c r="J25" s="979"/>
      <c r="K25" s="979"/>
      <c r="L25" s="979"/>
      <c r="M25" s="979"/>
      <c r="N25" s="979"/>
      <c r="O25" s="979"/>
    </row>
    <row r="26" spans="2:15">
      <c r="B26" s="955" t="s">
        <v>1225</v>
      </c>
      <c r="C26" s="955" t="s">
        <v>887</v>
      </c>
    </row>
    <row r="27" spans="2:15">
      <c r="B27" s="955" t="s">
        <v>1220</v>
      </c>
      <c r="C27" s="955" t="s">
        <v>891</v>
      </c>
      <c r="D27" s="968"/>
      <c r="E27" s="1149">
        <f>Model!C140</f>
        <v>158.21</v>
      </c>
      <c r="F27" s="1149">
        <f>Model!D140</f>
        <v>154.96627644</v>
      </c>
      <c r="G27" s="1149">
        <f>Model!E140</f>
        <v>163.55302633000002</v>
      </c>
      <c r="H27" s="1149">
        <f>Model!F140</f>
        <v>265.46069978999998</v>
      </c>
      <c r="I27" s="1149">
        <f>Model!G140</f>
        <v>360.35716041000001</v>
      </c>
      <c r="J27" s="1149">
        <f>Model!H140</f>
        <v>406.38188984000004</v>
      </c>
      <c r="K27" s="1149">
        <f>Model!I140</f>
        <v>543.90918796000005</v>
      </c>
      <c r="L27" s="982">
        <f>K29</f>
        <v>819.81633613999998</v>
      </c>
      <c r="M27" s="982">
        <f>L29</f>
        <v>1164.4960175367123</v>
      </c>
      <c r="N27" s="982">
        <f>M29</f>
        <v>1556.2090550993594</v>
      </c>
      <c r="O27" s="982">
        <f>N29</f>
        <v>1985.7988731652172</v>
      </c>
    </row>
    <row r="28" spans="2:15">
      <c r="B28" s="965" t="s">
        <v>1221</v>
      </c>
      <c r="C28" s="965" t="s">
        <v>884</v>
      </c>
      <c r="D28" s="968"/>
      <c r="E28" s="968">
        <f>E29-E27</f>
        <v>-3.2437235600000065</v>
      </c>
      <c r="F28" s="968">
        <f>F29-F27</f>
        <v>8.5867498900000214</v>
      </c>
      <c r="G28" s="968">
        <f>G29-G27</f>
        <v>101.90767345999996</v>
      </c>
      <c r="H28" s="957">
        <f t="shared" ref="H28:M28" si="5">H5</f>
        <v>94.896460620000028</v>
      </c>
      <c r="I28" s="957">
        <f>I5</f>
        <v>46.024729430000036</v>
      </c>
      <c r="J28" s="957">
        <f>J5</f>
        <v>137.52729812000001</v>
      </c>
      <c r="K28" s="957">
        <f>K5</f>
        <v>275.90714817999992</v>
      </c>
      <c r="L28" s="957">
        <f t="shared" si="5"/>
        <v>344.6796813967124</v>
      </c>
      <c r="M28" s="957">
        <f t="shared" si="5"/>
        <v>391.713037562647</v>
      </c>
      <c r="N28" s="957">
        <f>N5</f>
        <v>429.5898180658578</v>
      </c>
      <c r="O28" s="957" t="e">
        <f>O5</f>
        <v>#REF!</v>
      </c>
    </row>
    <row r="29" spans="2:15">
      <c r="B29" s="955" t="s">
        <v>1222</v>
      </c>
      <c r="C29" s="980" t="s">
        <v>892</v>
      </c>
      <c r="D29" s="1149">
        <f>Model!C140</f>
        <v>158.21</v>
      </c>
      <c r="E29" s="1149">
        <f>Model!D140</f>
        <v>154.96627644</v>
      </c>
      <c r="F29" s="1149">
        <f>Model!E140</f>
        <v>163.55302633000002</v>
      </c>
      <c r="G29" s="1149">
        <f>Model!F140</f>
        <v>265.46069978999998</v>
      </c>
      <c r="H29" s="1149">
        <f>Model!G140</f>
        <v>360.35716041000001</v>
      </c>
      <c r="I29" s="1149">
        <f>Model!H140</f>
        <v>406.38188984000004</v>
      </c>
      <c r="J29" s="1149">
        <f>Model!I140</f>
        <v>543.90918796000005</v>
      </c>
      <c r="K29" s="1149">
        <f>Model!J140</f>
        <v>819.81633613999998</v>
      </c>
      <c r="L29" s="957">
        <f>L27+L28</f>
        <v>1164.4960175367123</v>
      </c>
      <c r="M29" s="957">
        <f>M27+M28</f>
        <v>1556.2090550993594</v>
      </c>
      <c r="N29" s="957">
        <f>N27+N28</f>
        <v>1985.7988731652172</v>
      </c>
      <c r="O29" s="957" t="e">
        <f>O27+O28</f>
        <v>#REF!</v>
      </c>
    </row>
    <row r="30" spans="2:15">
      <c r="B30" s="965" t="s">
        <v>1223</v>
      </c>
      <c r="C30" s="965" t="s">
        <v>37</v>
      </c>
      <c r="D30" s="968"/>
      <c r="E30" s="1149">
        <f>Wind!V238</f>
        <v>4.0799488100000003</v>
      </c>
      <c r="F30" s="1149">
        <f>Wind!W238</f>
        <v>4.60600436</v>
      </c>
      <c r="G30" s="1149">
        <f>Wind!X238</f>
        <v>7.0157415099999998</v>
      </c>
      <c r="H30" s="1149">
        <f>Wind!Y238</f>
        <v>8.9344921700000004</v>
      </c>
      <c r="I30" s="1149">
        <f>Wind!Z238</f>
        <v>8.5049594099999997</v>
      </c>
      <c r="J30" s="1149">
        <f>Wind!AA238</f>
        <v>7.9923130999999996</v>
      </c>
      <c r="K30" s="1149">
        <f>Wind!AB238</f>
        <v>10.63093694</v>
      </c>
      <c r="L30" s="982">
        <f>(L27+L29)/2/L31</f>
        <v>15.468728221628002</v>
      </c>
      <c r="M30" s="982">
        <f>(M27+M29)/2/M31</f>
        <v>21.209285555185716</v>
      </c>
      <c r="N30" s="982">
        <f>(N27+N29)/2/N31</f>
        <v>27.611760769243755</v>
      </c>
      <c r="O30" s="982" t="e">
        <f>(O27+O29)/2/O31</f>
        <v>#REF!</v>
      </c>
    </row>
    <row r="31" spans="2:15">
      <c r="B31" s="965" t="s">
        <v>1224</v>
      </c>
      <c r="C31" s="980" t="s">
        <v>893</v>
      </c>
      <c r="D31" s="968"/>
      <c r="E31" s="968">
        <f t="shared" ref="E31:J31" si="6">(E27+E29)/2/E30</f>
        <v>38.379927178547128</v>
      </c>
      <c r="F31" s="968">
        <f t="shared" si="6"/>
        <v>34.576530749310884</v>
      </c>
      <c r="G31" s="968">
        <f t="shared" si="6"/>
        <v>30.575080731559051</v>
      </c>
      <c r="H31" s="968">
        <f t="shared" si="6"/>
        <v>35.022575894204408</v>
      </c>
      <c r="I31" s="968">
        <f t="shared" si="6"/>
        <v>45.075997032300947</v>
      </c>
      <c r="J31" s="968">
        <f t="shared" si="6"/>
        <v>59.45031594170154</v>
      </c>
      <c r="K31" s="968">
        <f>(K27+K29)/2/K30</f>
        <v>64.13947951138914</v>
      </c>
      <c r="L31" s="1152">
        <f>K31</f>
        <v>64.13947951138914</v>
      </c>
      <c r="M31" s="1152">
        <f>L31</f>
        <v>64.13947951138914</v>
      </c>
      <c r="N31" s="1152">
        <f>M31</f>
        <v>64.13947951138914</v>
      </c>
      <c r="O31" s="1152">
        <f>N31</f>
        <v>64.13947951138914</v>
      </c>
    </row>
    <row r="33" spans="2:15">
      <c r="B33" s="961" t="s">
        <v>1226</v>
      </c>
      <c r="C33" s="961" t="s">
        <v>894</v>
      </c>
      <c r="D33" s="978"/>
      <c r="E33" s="978"/>
      <c r="F33" s="978"/>
      <c r="G33" s="978"/>
      <c r="H33" s="979"/>
      <c r="I33" s="979"/>
      <c r="J33" s="979"/>
      <c r="K33" s="979"/>
      <c r="L33" s="979"/>
      <c r="M33" s="979"/>
      <c r="N33" s="979"/>
      <c r="O33" s="979"/>
    </row>
    <row r="34" spans="2:15" s="964" customFormat="1" ht="10.5" customHeight="1">
      <c r="B34" s="955" t="s">
        <v>1225</v>
      </c>
      <c r="C34" s="964" t="s">
        <v>888</v>
      </c>
      <c r="H34" s="983"/>
      <c r="I34" s="983"/>
      <c r="J34" s="983"/>
      <c r="K34" s="983"/>
      <c r="L34" s="983"/>
      <c r="M34" s="983"/>
      <c r="N34" s="983"/>
      <c r="O34" s="983"/>
    </row>
    <row r="35" spans="2:15">
      <c r="B35" s="955" t="s">
        <v>1220</v>
      </c>
      <c r="C35" s="955" t="s">
        <v>895</v>
      </c>
      <c r="D35" s="1149">
        <f>Wind!T100</f>
        <v>0</v>
      </c>
      <c r="E35" s="1149">
        <f>Wind!U100</f>
        <v>21.882400000000001</v>
      </c>
      <c r="F35" s="1149">
        <f>Wind!V100</f>
        <v>20.351342120000002</v>
      </c>
      <c r="G35" s="1149">
        <f>Wind!W100</f>
        <v>23.138811030000003</v>
      </c>
      <c r="H35" s="1149">
        <f>Wind!X100</f>
        <v>24.809067350000003</v>
      </c>
      <c r="I35" s="1149">
        <f>Wind!Y100</f>
        <v>23.59733482</v>
      </c>
      <c r="J35" s="1149">
        <f>Wind!Z100</f>
        <v>28.074852780000001</v>
      </c>
      <c r="K35" s="1149">
        <f>Wind!AA100</f>
        <v>32.552245399999997</v>
      </c>
      <c r="L35" s="982">
        <f>K37</f>
        <v>55.322003469999999</v>
      </c>
      <c r="M35" s="982">
        <f>L37</f>
        <v>77.329286367699424</v>
      </c>
      <c r="N35" s="982">
        <f>M37</f>
        <v>102.42839850072291</v>
      </c>
      <c r="O35" s="982">
        <f>N37</f>
        <v>130.12947366651733</v>
      </c>
    </row>
    <row r="36" spans="2:15">
      <c r="B36" s="965" t="s">
        <v>1221</v>
      </c>
      <c r="C36" s="965" t="s">
        <v>896</v>
      </c>
      <c r="D36" s="968">
        <f t="shared" ref="D36:J36" si="7">D37-D35</f>
        <v>21.882400000000001</v>
      </c>
      <c r="E36" s="968">
        <f t="shared" si="7"/>
        <v>-1.5310578799999988</v>
      </c>
      <c r="F36" s="968">
        <f t="shared" si="7"/>
        <v>2.7874689100000012</v>
      </c>
      <c r="G36" s="968">
        <f t="shared" si="7"/>
        <v>1.67025632</v>
      </c>
      <c r="H36" s="968">
        <f t="shared" si="7"/>
        <v>-1.2117325300000026</v>
      </c>
      <c r="I36" s="968">
        <f t="shared" si="7"/>
        <v>4.4775179600000001</v>
      </c>
      <c r="J36" s="968">
        <f t="shared" si="7"/>
        <v>4.4773926199999963</v>
      </c>
      <c r="K36" s="968">
        <f>K37-K35</f>
        <v>22.769758070000002</v>
      </c>
      <c r="L36" s="957">
        <f>L6</f>
        <v>30.177738183178654</v>
      </c>
      <c r="M36" s="957">
        <f>M6</f>
        <v>36.519802579780851</v>
      </c>
      <c r="N36" s="957">
        <f>N6</f>
        <v>42.828630160566632</v>
      </c>
      <c r="O36" s="957" t="e">
        <f>O6</f>
        <v>#REF!</v>
      </c>
    </row>
    <row r="37" spans="2:15">
      <c r="B37" s="955" t="s">
        <v>1222</v>
      </c>
      <c r="C37" s="955" t="s">
        <v>897</v>
      </c>
      <c r="D37" s="1149">
        <f>Wind!U100</f>
        <v>21.882400000000001</v>
      </c>
      <c r="E37" s="1149">
        <f>Wind!V100</f>
        <v>20.351342120000002</v>
      </c>
      <c r="F37" s="1149">
        <f>Wind!W100</f>
        <v>23.138811030000003</v>
      </c>
      <c r="G37" s="1149">
        <f>Wind!X100</f>
        <v>24.809067350000003</v>
      </c>
      <c r="H37" s="1149">
        <f>Wind!Y100</f>
        <v>23.59733482</v>
      </c>
      <c r="I37" s="1149">
        <f>Wind!Z100</f>
        <v>28.074852780000001</v>
      </c>
      <c r="J37" s="1149">
        <f>Wind!AA100</f>
        <v>32.552245399999997</v>
      </c>
      <c r="K37" s="1149">
        <f>Wind!AB100</f>
        <v>55.322003469999999</v>
      </c>
      <c r="L37" s="957">
        <f>L35+L36-L38</f>
        <v>77.329286367699424</v>
      </c>
      <c r="M37" s="957">
        <f>M35+M36-M38</f>
        <v>102.42839850072291</v>
      </c>
      <c r="N37" s="957">
        <f>N35+N36-N38</f>
        <v>130.12947366651733</v>
      </c>
      <c r="O37" s="957" t="e">
        <f>O35+O36-O38</f>
        <v>#REF!</v>
      </c>
    </row>
    <row r="38" spans="2:15">
      <c r="B38" s="965" t="s">
        <v>1223</v>
      </c>
      <c r="C38" s="965" t="s">
        <v>37</v>
      </c>
      <c r="D38" s="968"/>
      <c r="E38" s="1149">
        <f>Wind!V240</f>
        <v>3.03196428</v>
      </c>
      <c r="F38" s="1149">
        <f>Wind!W240</f>
        <v>2.94254682</v>
      </c>
      <c r="G38" s="1149">
        <f>Wind!X240</f>
        <v>2.8417045399999998</v>
      </c>
      <c r="H38" s="1149">
        <f>Wind!Y240</f>
        <v>3.07341504</v>
      </c>
      <c r="I38" s="1149">
        <f>Wind!Z240</f>
        <v>3.44539068</v>
      </c>
      <c r="J38" s="1149">
        <f>Wind!AA240</f>
        <v>4.3476773299999998</v>
      </c>
      <c r="K38" s="1149">
        <f>Wind!AB240</f>
        <v>6.4890330800000005</v>
      </c>
      <c r="L38" s="982">
        <f>L35/L39</f>
        <v>8.1704552854792407</v>
      </c>
      <c r="M38" s="982">
        <f>M35/M39</f>
        <v>11.420690446757378</v>
      </c>
      <c r="N38" s="982">
        <f>N35/N39</f>
        <v>15.127554994772234</v>
      </c>
      <c r="O38" s="982">
        <f>O35/O39</f>
        <v>19.218701045268347</v>
      </c>
    </row>
    <row r="39" spans="2:15">
      <c r="B39" s="965" t="s">
        <v>1224</v>
      </c>
      <c r="C39" s="955" t="s">
        <v>893</v>
      </c>
      <c r="D39" s="968"/>
      <c r="E39" s="968">
        <f t="shared" ref="E39:J39" si="8">(E35+E37)/2/E38</f>
        <v>6.9647492878774946</v>
      </c>
      <c r="F39" s="968">
        <f t="shared" si="8"/>
        <v>7.3898829501037477</v>
      </c>
      <c r="G39" s="968">
        <f t="shared" si="8"/>
        <v>8.4364644010457202</v>
      </c>
      <c r="H39" s="968">
        <f t="shared" si="8"/>
        <v>7.8750187560089522</v>
      </c>
      <c r="I39" s="968">
        <f t="shared" si="8"/>
        <v>7.498741419942542</v>
      </c>
      <c r="J39" s="968">
        <f t="shared" si="8"/>
        <v>6.9723548435458529</v>
      </c>
      <c r="K39" s="968">
        <f>(K35+K37)/2/K38</f>
        <v>6.7709817307634985</v>
      </c>
      <c r="L39" s="1152">
        <f>K39</f>
        <v>6.7709817307634985</v>
      </c>
      <c r="M39" s="1152">
        <f>L39</f>
        <v>6.7709817307634985</v>
      </c>
      <c r="N39" s="1152">
        <f>M39</f>
        <v>6.7709817307634985</v>
      </c>
      <c r="O39" s="1152">
        <f>N39</f>
        <v>6.7709817307634985</v>
      </c>
    </row>
  </sheetData>
  <pageMargins left="0.7" right="0.7" top="0.75" bottom="0.75" header="0.3" footer="0.3"/>
  <pageSetup paperSize="171" orientation="portrait" r:id="rId1"/>
  <customProperties>
    <customPr name="Qube.Worksheet.Visibility" r:id="rId2"/>
  </customProperties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9247-9E09-4889-953C-CE4D6D7E704D}">
  <dimension ref="B1:P10"/>
  <sheetViews>
    <sheetView workbookViewId="0"/>
  </sheetViews>
  <sheetFormatPr defaultRowHeight="14.25"/>
  <cols>
    <col min="2" max="2" width="17.75" bestFit="1" customWidth="1"/>
    <col min="10" max="10" width="19.25" bestFit="1" customWidth="1"/>
  </cols>
  <sheetData>
    <row r="1" spans="2:16">
      <c r="C1">
        <v>2023</v>
      </c>
      <c r="J1" t="s">
        <v>940</v>
      </c>
      <c r="K1">
        <v>2023</v>
      </c>
    </row>
    <row r="2" spans="2:16">
      <c r="B2" t="s">
        <v>1370</v>
      </c>
      <c r="C2" s="1369">
        <f>Segment!L11</f>
        <v>10336.009</v>
      </c>
      <c r="J2" t="s">
        <v>1370</v>
      </c>
      <c r="K2" s="1369">
        <f>Segment!L30</f>
        <v>4684.7677205190002</v>
      </c>
      <c r="L2" s="1369"/>
      <c r="M2" s="1369"/>
      <c r="N2" s="1369"/>
    </row>
    <row r="3" spans="2:16">
      <c r="B3" t="s">
        <v>1260</v>
      </c>
      <c r="C3" s="1369">
        <f>Segment!L188</f>
        <v>393.04205623208981</v>
      </c>
      <c r="J3" t="s">
        <v>1260</v>
      </c>
      <c r="K3" s="1369">
        <f>Segment!L773*Segment!L783</f>
        <v>74.677990684097068</v>
      </c>
      <c r="L3" s="1369"/>
      <c r="M3" s="1369"/>
      <c r="N3" s="1369"/>
    </row>
    <row r="4" spans="2:16">
      <c r="B4" t="s">
        <v>1371</v>
      </c>
      <c r="C4" s="1369">
        <f>Segment!L193</f>
        <v>182.48672142402921</v>
      </c>
      <c r="J4" t="s">
        <v>1371</v>
      </c>
      <c r="K4" s="1369">
        <f>Segment!L774*Segment!L784</f>
        <v>34.672477070565549</v>
      </c>
      <c r="L4" s="1369"/>
      <c r="M4" s="1369"/>
      <c r="N4" s="1369"/>
    </row>
    <row r="5" spans="2:16">
      <c r="B5" t="s">
        <v>1337</v>
      </c>
      <c r="C5" s="1369">
        <f>Segment!L9-C2-C3-C4</f>
        <v>351.25630563388125</v>
      </c>
      <c r="D5" s="1369">
        <f>+SUM(C2:C5)</f>
        <v>11262.79408329</v>
      </c>
      <c r="J5" t="s">
        <v>1337</v>
      </c>
      <c r="K5" s="1369">
        <f>Segment!L29-K2-K3-K4</f>
        <v>57.022134906337584</v>
      </c>
      <c r="L5" s="1369">
        <f>+SUM(K$2:K5)</f>
        <v>4851.1403231800014</v>
      </c>
      <c r="M5" s="1369"/>
      <c r="N5" s="1369"/>
    </row>
    <row r="6" spans="2:16">
      <c r="B6" s="1370" t="s">
        <v>1372</v>
      </c>
      <c r="D6" s="1369">
        <f>Segment!O11-Segment!L11</f>
        <v>8309.5364339526004</v>
      </c>
      <c r="E6" s="1369">
        <f>+SUM(D5:D6)</f>
        <v>19572.330517242601</v>
      </c>
      <c r="J6" s="1370" t="s">
        <v>1372</v>
      </c>
      <c r="K6" s="1369"/>
      <c r="L6" s="1369">
        <f>Segment!O30-Segment!L30</f>
        <v>5028.310900512889</v>
      </c>
      <c r="M6" s="1369">
        <f>+SUM(L$2:L6)</f>
        <v>9879.4512236928895</v>
      </c>
      <c r="N6" s="1369"/>
    </row>
    <row r="7" spans="2:16">
      <c r="B7" s="1370" t="s">
        <v>1373</v>
      </c>
      <c r="E7" s="1369">
        <f>Segment!O188-Segment!L188</f>
        <v>4100.3722304259336</v>
      </c>
      <c r="F7" s="1369">
        <f>+SUM(E6:E7)</f>
        <v>23672.702747668533</v>
      </c>
      <c r="J7" s="1370" t="s">
        <v>1373</v>
      </c>
      <c r="K7" s="1369"/>
      <c r="L7" s="1369"/>
      <c r="M7" s="1369">
        <f>Segment!O783*Segment!O773-Segment!L773*Segment!L783</f>
        <v>1453.0828667796309</v>
      </c>
      <c r="N7" s="1369">
        <f>+SUM(M$2:M7)</f>
        <v>11332.53409047252</v>
      </c>
    </row>
    <row r="8" spans="2:16">
      <c r="B8" s="1370" t="s">
        <v>1374</v>
      </c>
      <c r="F8" s="1369">
        <f>Segment!O193-Segment!L193</f>
        <v>367.51327857597079</v>
      </c>
      <c r="G8" s="1369">
        <f>+SUM(F7:F8)</f>
        <v>24040.216026244503</v>
      </c>
      <c r="J8" s="1370" t="s">
        <v>1374</v>
      </c>
      <c r="K8" s="1369"/>
      <c r="L8" s="1369"/>
      <c r="M8" s="1369"/>
      <c r="N8" s="1369">
        <f>Segment!O774*Segment!O784-Segment!L774*Segment!L784</f>
        <v>119.32752292943448</v>
      </c>
      <c r="O8" s="1369">
        <f>+SUM(N7:N8)</f>
        <v>11451.861613401954</v>
      </c>
    </row>
    <row r="9" spans="2:16">
      <c r="B9" s="1370" t="s">
        <v>1375</v>
      </c>
      <c r="G9" s="1369">
        <f>Segment!O9-Segment!L9-D6-E7-F8</f>
        <v>1363.2924379462763</v>
      </c>
      <c r="J9" s="1370" t="s">
        <v>1375</v>
      </c>
      <c r="K9" s="1369"/>
      <c r="L9" s="1369"/>
      <c r="M9" s="1369"/>
      <c r="O9" s="1369">
        <f>Segment!O29-Segment!L29-N8-M7-L6</f>
        <v>204.34807636330243</v>
      </c>
      <c r="P9" s="1369"/>
    </row>
    <row r="10" spans="2:16">
      <c r="G10" s="1369"/>
      <c r="H10" s="1369">
        <f>+G8+G9</f>
        <v>25403.508464190778</v>
      </c>
      <c r="P10" s="1369">
        <f>+O8+O9</f>
        <v>11656.209689765255</v>
      </c>
    </row>
  </sheetData>
  <pageMargins left="0.7" right="0.7" top="0.75" bottom="0.75" header="0.3" footer="0.3"/>
  <pageSetup paperSize="0" orientation="portrait" r:id="rId1"/>
  <customProperties>
    <customPr name="Qube.Worksheet.Visibility" r:id="rId2"/>
  </customPropertie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22"/>
  <sheetViews>
    <sheetView workbookViewId="0"/>
  </sheetViews>
  <sheetFormatPr defaultColWidth="8.75" defaultRowHeight="14.25"/>
  <cols>
    <col min="1" max="16384" width="8.75" style="614"/>
  </cols>
  <sheetData>
    <row r="1" spans="1:1" s="1050" customFormat="1">
      <c r="A1" s="1050" t="s">
        <v>507</v>
      </c>
    </row>
    <row r="22" spans="1:1" s="1050" customFormat="1">
      <c r="A22" s="1050" t="s">
        <v>1243</v>
      </c>
    </row>
  </sheetData>
  <pageMargins left="0.7" right="0.7" top="0.75" bottom="0.75" header="0.3" footer="0.3"/>
  <customProperties>
    <customPr name="Qube.Worksheet.Visibility" r:id="rId1"/>
  </customPropertie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A5A5A5"/>
    <pageSetUpPr fitToPage="1"/>
  </sheetPr>
  <dimension ref="A1:W111"/>
  <sheetViews>
    <sheetView workbookViewId="0"/>
  </sheetViews>
  <sheetFormatPr defaultColWidth="9" defaultRowHeight="12.75"/>
  <cols>
    <col min="1" max="1" width="2" style="31" customWidth="1"/>
    <col min="2" max="2" width="41" style="31" bestFit="1" customWidth="1"/>
    <col min="3" max="3" width="7.25" style="233" customWidth="1"/>
    <col min="4" max="4" width="7.5" style="233" customWidth="1"/>
    <col min="5" max="19" width="7.25" style="233" customWidth="1"/>
    <col min="20" max="20" width="9" style="233"/>
    <col min="21" max="16384" width="9" style="192"/>
  </cols>
  <sheetData>
    <row r="1" spans="1:20" s="31" customFormat="1">
      <c r="A1" s="96" t="s">
        <v>136</v>
      </c>
      <c r="B1" s="96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</row>
    <row r="2" spans="1:20" s="31" customFormat="1" ht="15.75">
      <c r="A2" s="875" t="str">
        <f>'Act Vs Est'!C2</f>
        <v>605499.SS</v>
      </c>
      <c r="B2" s="875"/>
      <c r="C2" s="1186"/>
      <c r="D2" s="1186"/>
      <c r="E2" s="1186"/>
      <c r="F2" s="1186"/>
      <c r="G2" s="1186"/>
      <c r="H2" s="1186"/>
      <c r="I2" s="1186"/>
      <c r="J2" s="1186"/>
      <c r="K2" s="1186"/>
      <c r="L2" s="1186"/>
      <c r="T2" s="234"/>
    </row>
    <row r="3" spans="1:20" s="31" customFormat="1" ht="15.75">
      <c r="A3" s="875" t="str">
        <f>'Act Vs Est'!C3</f>
        <v>Eastroc Beverage</v>
      </c>
      <c r="B3" s="878"/>
      <c r="C3" s="1186"/>
      <c r="D3" s="1186"/>
      <c r="E3" s="1186"/>
      <c r="F3" s="1186"/>
      <c r="G3" s="1186"/>
      <c r="H3" s="1186"/>
      <c r="I3" s="1186"/>
      <c r="J3" s="1186"/>
      <c r="K3" s="1186"/>
      <c r="L3" s="1186"/>
      <c r="T3" s="234"/>
    </row>
    <row r="4" spans="1:20" s="31" customFormat="1">
      <c r="C4" s="234"/>
      <c r="D4" s="234"/>
      <c r="E4" s="234"/>
      <c r="F4" s="234"/>
      <c r="G4" s="234"/>
      <c r="H4" s="234"/>
      <c r="I4" s="234"/>
      <c r="J4" s="234"/>
      <c r="K4" s="234"/>
      <c r="L4" s="234"/>
      <c r="T4" s="234"/>
    </row>
    <row r="5" spans="1:20" s="31" customFormat="1">
      <c r="B5" s="1187"/>
      <c r="C5" s="1188" t="str">
        <f>Model!C4</f>
        <v>2017</v>
      </c>
      <c r="D5" s="1188" t="str">
        <f>Model!D4</f>
        <v>2018</v>
      </c>
      <c r="E5" s="1188" t="str">
        <f>Model!E4</f>
        <v>2019</v>
      </c>
      <c r="F5" s="1188" t="s">
        <v>979</v>
      </c>
      <c r="G5" s="1188" t="s">
        <v>980</v>
      </c>
      <c r="H5" s="1188" t="s">
        <v>981</v>
      </c>
      <c r="I5" s="1188" t="s">
        <v>982</v>
      </c>
      <c r="J5" s="1188" t="s">
        <v>1070</v>
      </c>
      <c r="K5" s="1188" t="s">
        <v>1071</v>
      </c>
      <c r="L5" s="1188" t="s">
        <v>1096</v>
      </c>
      <c r="T5" s="234"/>
    </row>
    <row r="6" spans="1:20" s="31" customFormat="1">
      <c r="B6" s="1189" t="s">
        <v>647</v>
      </c>
      <c r="C6" s="1190"/>
      <c r="D6" s="1190"/>
      <c r="E6" s="1190"/>
      <c r="F6" s="1190"/>
      <c r="G6" s="1190"/>
      <c r="H6" s="1190"/>
      <c r="I6" s="1190"/>
      <c r="J6" s="1190"/>
      <c r="K6" s="1190"/>
      <c r="L6" s="1190"/>
      <c r="T6" s="234"/>
    </row>
    <row r="7" spans="1:20">
      <c r="B7" s="179" t="s">
        <v>69</v>
      </c>
      <c r="C7" s="233" t="str">
        <f>IF(ISERROR(#REF!/(Model!C60/Ratios!C76))," ",#REF!/(Model!C60/Ratios!C76))</f>
        <v xml:space="preserve"> </v>
      </c>
      <c r="D7" s="233" t="str">
        <f>IF(ISERROR(#REF!/(Model!D60/Ratios!D76))," ",#REF!/(Model!D60/Ratios!D76))</f>
        <v xml:space="preserve"> </v>
      </c>
      <c r="E7" s="233" t="str">
        <f>IF(ISERROR(#REF!/(Model!E60/Ratios!E76))," ",#REF!/(Model!E60/Ratios!E76))</f>
        <v xml:space="preserve"> </v>
      </c>
      <c r="F7" s="233" t="str">
        <f>IF(ISERROR(#REF!/(Model!F60/Ratios!F76))," ",#REF!/(Model!F60/Ratios!F76))</f>
        <v xml:space="preserve"> </v>
      </c>
      <c r="G7" s="233" t="str">
        <f>IF(ISERROR(#REF!/(Model!G60/Ratios!G76))," ",#REF!/(Model!G60/Ratios!G76))</f>
        <v xml:space="preserve"> </v>
      </c>
      <c r="H7" s="233" t="str">
        <f>IF(ISERROR(#REF!/(Model!H60/Ratios!H76))," ",#REF!/(Model!H60/Ratios!H76))</f>
        <v xml:space="preserve"> </v>
      </c>
      <c r="I7" s="233" t="str">
        <f>IF(ISERROR(#REF!/(Model!I60/Ratios!I76))," ",#REF!/(Model!I60/Ratios!I76))</f>
        <v xml:space="preserve"> </v>
      </c>
      <c r="J7" s="233" t="str">
        <f>IF(ISERROR(#REF!/(Model!J60/Ratios!J76))," ",#REF!/(Model!J60/Ratios!J76))</f>
        <v xml:space="preserve"> </v>
      </c>
      <c r="K7" s="233" t="str">
        <f>IF(ISERROR(#REF!/(Model!K60/Ratios!K76))," ",#REF!/(Model!K60/Ratios!K76))</f>
        <v xml:space="preserve"> </v>
      </c>
      <c r="L7" s="233" t="str">
        <f>IF(ISERROR(#REF!/(Model!L60/Ratios!L76))," ",#REF!/(Model!L60/Ratios!L76))</f>
        <v xml:space="preserve"> </v>
      </c>
    </row>
    <row r="8" spans="1:20">
      <c r="B8" s="179" t="s">
        <v>646</v>
      </c>
      <c r="C8" s="247" t="str">
        <f>IF(ISERROR(C7/(((Model!E60/Model!C60)^0.5-1)*100))," ",(C7/(((Model!E60/Model!C60)^0.5-1)*100)))</f>
        <v xml:space="preserve"> </v>
      </c>
      <c r="D8" s="247" t="str">
        <f>IF(ISERROR(D7/(((Model!L60/Model!D60)^0.5-1)*100))," ",(D7/(((Model!L60/Model!D60)^0.5-1)*100)))</f>
        <v xml:space="preserve"> </v>
      </c>
      <c r="E8" s="247" t="str">
        <f>IF(ISERROR(E7/(((Model!#REF!/Model!E60)^0.5-1)*100))," ",(E7/(((Model!#REF!/Model!E60)^0.5-1)*100)))</f>
        <v xml:space="preserve"> </v>
      </c>
      <c r="F8" s="247" t="str">
        <f>IF(ISERROR(F7/(((Model!#REF!/Model!F60)^0.5-1)*100))," ",(F7/(((Model!#REF!/Model!F60)^0.5-1)*100)))</f>
        <v xml:space="preserve"> </v>
      </c>
      <c r="G8" s="247" t="str">
        <f>IF(ISERROR(G7/(((Model!#REF!/Model!G60)^0.5-1)*100))," ",(G7/(((Model!#REF!/Model!G60)^0.5-1)*100)))</f>
        <v xml:space="preserve"> </v>
      </c>
      <c r="H8" s="247" t="str">
        <f>IF(ISERROR(H7/(((Model!S60/Model!H60)^0.5-1)*100))," ",(H7/(((Model!S60/Model!H60)^0.5-1)*100)))</f>
        <v xml:space="preserve"> </v>
      </c>
      <c r="I8" s="247" t="str">
        <f>IF(ISERROR(I7/(((Model!T60/Model!I60)^0.5-1)*100))," ",(I7/(((Model!T60/Model!I60)^0.5-1)*100)))</f>
        <v xml:space="preserve"> </v>
      </c>
      <c r="J8" s="247" t="str">
        <f>IF(ISERROR(J7/(((Model!U60/Model!J60)^0.5-1)*100))," ",(J7/(((Model!U60/Model!J60)^0.5-1)*100)))</f>
        <v xml:space="preserve"> </v>
      </c>
      <c r="K8" s="247" t="str">
        <f>IF(ISERROR(K7/(((Model!V60/Model!K60)^0.5-1)*100))," ",(K7/(((Model!V60/Model!K60)^0.5-1)*100)))</f>
        <v xml:space="preserve"> </v>
      </c>
      <c r="L8" s="247" t="str">
        <f>IF(ISERROR(L7/(((Model!Z60/Model!L60)^0.5-1)*100))," ",(L7/(((Model!Z60/Model!L60)^0.5-1)*100)))</f>
        <v xml:space="preserve"> </v>
      </c>
    </row>
    <row r="9" spans="1:20">
      <c r="B9" s="179" t="s">
        <v>645</v>
      </c>
      <c r="C9" s="243" t="str">
        <f>IF(ISERROR(#REF!/(Ratios!C38/Ratios!C76))," ",#REF!/(Ratios!C38/Ratios!C76))</f>
        <v xml:space="preserve"> </v>
      </c>
      <c r="D9" s="243" t="str">
        <f>IF(ISERROR(#REF!/(Ratios!D38/Ratios!D76))," ",#REF!/(Ratios!D38/Ratios!D76))</f>
        <v xml:space="preserve"> </v>
      </c>
      <c r="E9" s="243" t="str">
        <f>IF(ISERROR(#REF!/(Ratios!E38/Ratios!E76))," ",#REF!/(Ratios!E38/Ratios!E76))</f>
        <v xml:space="preserve"> </v>
      </c>
      <c r="F9" s="243" t="str">
        <f>IF(ISERROR(#REF!/(Ratios!F38/Ratios!F76))," ",#REF!/(Ratios!F38/Ratios!F76))</f>
        <v xml:space="preserve"> </v>
      </c>
      <c r="G9" s="243" t="str">
        <f>IF(ISERROR(#REF!/(Ratios!G38/Ratios!G76))," ",#REF!/(Ratios!G38/Ratios!G76))</f>
        <v xml:space="preserve"> </v>
      </c>
      <c r="H9" s="243" t="str">
        <f>IF(ISERROR(#REF!/(Ratios!H38/Ratios!H76))," ",#REF!/(Ratios!H38/Ratios!H76))</f>
        <v xml:space="preserve"> </v>
      </c>
      <c r="I9" s="243" t="str">
        <f>IF(ISERROR(#REF!/(Ratios!I38/Ratios!I76))," ",#REF!/(Ratios!I38/Ratios!I76))</f>
        <v xml:space="preserve"> </v>
      </c>
      <c r="J9" s="243" t="str">
        <f>IF(ISERROR(#REF!/(Ratios!J38/Ratios!J76))," ",#REF!/(Ratios!J38/Ratios!J76))</f>
        <v xml:space="preserve"> </v>
      </c>
      <c r="K9" s="243" t="str">
        <f>IF(ISERROR(#REF!/(Ratios!K38/Ratios!K76))," ",#REF!/(Ratios!K38/Ratios!K76))</f>
        <v xml:space="preserve"> </v>
      </c>
      <c r="L9" s="243" t="str">
        <f>IF(ISERROR(#REF!/(Ratios!L38/Ratios!L76))," ",#REF!/(Ratios!L38/Ratios!L76))</f>
        <v xml:space="preserve"> </v>
      </c>
    </row>
    <row r="10" spans="1:20">
      <c r="B10" s="31" t="s">
        <v>644</v>
      </c>
      <c r="C10" s="243" t="str">
        <f>IF(ISERROR(#REF!/(Model!C13/(Ratios!C76*Ratios!C91)))," ",#REF!/(Model!C13/(Ratios!C76*Ratios!C91)))</f>
        <v xml:space="preserve"> </v>
      </c>
      <c r="D10" s="243" t="str">
        <f>IF(ISERROR(#REF!/(Model!D13/(Ratios!D76*Ratios!D91)))," ",#REF!/(Model!D13/(Ratios!D76*Ratios!D91)))</f>
        <v xml:space="preserve"> </v>
      </c>
      <c r="E10" s="243" t="str">
        <f>IF(ISERROR(#REF!/(Model!E13/(Ratios!E76*Ratios!E91)))," ",#REF!/(Model!E13/(Ratios!E76*Ratios!E91)))</f>
        <v xml:space="preserve"> </v>
      </c>
      <c r="F10" s="243" t="str">
        <f>IF(ISERROR(#REF!/(Model!F13/(Ratios!F76*Ratios!F91)))," ",#REF!/(Model!F13/(Ratios!F76*Ratios!F91)))</f>
        <v xml:space="preserve"> </v>
      </c>
      <c r="G10" s="243" t="str">
        <f>IF(ISERROR(#REF!/(Model!G13/(Ratios!G76*Ratios!G91)))," ",#REF!/(Model!G13/(Ratios!G76*Ratios!G91)))</f>
        <v xml:space="preserve"> </v>
      </c>
      <c r="H10" s="243" t="str">
        <f>IF(ISERROR(#REF!/(Model!H13/(Ratios!H76*Ratios!H91)))," ",#REF!/(Model!H13/(Ratios!H76*Ratios!H91)))</f>
        <v xml:space="preserve"> </v>
      </c>
      <c r="I10" s="243" t="str">
        <f>IF(ISERROR(#REF!/(Model!I13/(Ratios!I76*Ratios!I91)))," ",#REF!/(Model!I13/(Ratios!I76*Ratios!I91)))</f>
        <v xml:space="preserve"> </v>
      </c>
      <c r="J10" s="243" t="str">
        <f>IF(ISERROR(#REF!/(Model!J13/(Ratios!J76*Ratios!J91)))," ",#REF!/(Model!J13/(Ratios!J76*Ratios!J91)))</f>
        <v xml:space="preserve"> </v>
      </c>
      <c r="K10" s="243" t="str">
        <f>IF(ISERROR(#REF!/(Model!K13/(Ratios!K76*Ratios!K91)))," ",#REF!/(Model!K13/(Ratios!K76*Ratios!K91)))</f>
        <v xml:space="preserve"> </v>
      </c>
      <c r="L10" s="243" t="str">
        <f>IF(ISERROR(#REF!/(Model!L13/(Ratios!L76*Ratios!L91)))," ",#REF!/(Model!L13/(Ratios!L76*Ratios!L91)))</f>
        <v xml:space="preserve"> </v>
      </c>
    </row>
    <row r="11" spans="1:20" s="204" customFormat="1">
      <c r="A11" s="31"/>
      <c r="B11" s="31" t="s">
        <v>643</v>
      </c>
      <c r="C11" s="175" t="str">
        <f>IF(ISERROR((Model!C69/C76)/#REF!)," ",(Model!C69/C76)/#REF!)</f>
        <v xml:space="preserve"> </v>
      </c>
      <c r="D11" s="175" t="str">
        <f>IF(ISERROR((Model!D69/D76)/#REF!)," ",(Model!D69/D76)/#REF!)</f>
        <v xml:space="preserve"> </v>
      </c>
      <c r="E11" s="175" t="str">
        <f>IF(ISERROR((Model!E69/E76)/#REF!)," ",(Model!E69/E76)/#REF!)</f>
        <v xml:space="preserve"> </v>
      </c>
      <c r="F11" s="175" t="str">
        <f>IF(ISERROR((Model!F69/F76)/#REF!)," ",(Model!F69/F76)/#REF!)</f>
        <v xml:space="preserve"> </v>
      </c>
      <c r="G11" s="175" t="str">
        <f>IF(ISERROR((Model!G69/G76)/#REF!)," ",(Model!G69/G76)/#REF!)</f>
        <v xml:space="preserve"> </v>
      </c>
      <c r="H11" s="175" t="str">
        <f>IF(ISERROR((Model!H69/H76)/#REF!)," ",(Model!H69/H76)/#REF!)</f>
        <v xml:space="preserve"> </v>
      </c>
      <c r="I11" s="175" t="str">
        <f>IF(ISERROR((Model!I69/I76)/#REF!)," ",(Model!I69/I76)/#REF!)</f>
        <v xml:space="preserve"> </v>
      </c>
      <c r="J11" s="175" t="str">
        <f>IF(ISERROR((Model!J69/J76)/#REF!)," ",(Model!J69/J76)/#REF!)</f>
        <v xml:space="preserve"> </v>
      </c>
      <c r="K11" s="175" t="str">
        <f>IF(ISERROR((Model!K69/K76)/#REF!)," ",(Model!K69/K76)/#REF!)</f>
        <v xml:space="preserve"> </v>
      </c>
      <c r="L11" s="175" t="str">
        <f>IF(ISERROR((Model!L69/L76)/#REF!)," ",(Model!L69/L76)/#REF!)</f>
        <v xml:space="preserve"> </v>
      </c>
      <c r="T11" s="242"/>
    </row>
    <row r="12" spans="1:20">
      <c r="B12" s="179" t="s">
        <v>642</v>
      </c>
    </row>
    <row r="13" spans="1:20">
      <c r="B13" s="179" t="s">
        <v>514</v>
      </c>
      <c r="C13" s="243">
        <f>IF(ISERROR(C12/(Model!C13/C76))," ",C12/(Model!C13/C76))</f>
        <v>0</v>
      </c>
      <c r="D13" s="243">
        <f>IF(ISERROR(D12/(Model!D13/D76))," ",D12/(Model!D13/D76))</f>
        <v>0</v>
      </c>
      <c r="E13" s="243">
        <f>IF(ISERROR(E12/(Model!E13/E76))," ",E12/(Model!E13/E76))</f>
        <v>0</v>
      </c>
      <c r="F13" s="243">
        <f>IF(ISERROR(F12/(Model!F13/F76))," ",F12/(Model!F13/F76))</f>
        <v>0</v>
      </c>
      <c r="G13" s="243">
        <f>IF(ISERROR(G12/(Model!G13/G76))," ",G12/(Model!G13/G76))</f>
        <v>0</v>
      </c>
      <c r="H13" s="243">
        <f>IF(ISERROR(H12/(Model!H13/H76))," ",H12/(Model!H13/H76))</f>
        <v>0</v>
      </c>
      <c r="I13" s="243">
        <f>IF(ISERROR(I12/(Model!I13/I76))," ",I12/(Model!I13/I76))</f>
        <v>0</v>
      </c>
      <c r="J13" s="243">
        <f>IF(ISERROR(J12/(Model!J13/J76))," ",J12/(Model!J13/J76))</f>
        <v>0</v>
      </c>
      <c r="K13" s="243">
        <f>IF(ISERROR(K12/(Model!K13/K76))," ",K12/(Model!K13/K76))</f>
        <v>0</v>
      </c>
      <c r="L13" s="243">
        <f>IF(ISERROR(L12/(Model!L13/L76))," ",L12/(Model!L13/L76))</f>
        <v>0</v>
      </c>
    </row>
    <row r="14" spans="1:20">
      <c r="B14" s="179" t="s">
        <v>513</v>
      </c>
      <c r="C14" s="233">
        <f>IF(ISERROR(C12/(Model!C30/C76))," ",C12/(Model!C30/C76))</f>
        <v>0</v>
      </c>
      <c r="D14" s="233">
        <f>IF(ISERROR(D12/(Model!D30/D76))," ",D12/(Model!D30/D76))</f>
        <v>0</v>
      </c>
      <c r="E14" s="233">
        <f>IF(ISERROR(E12/(Model!E30/E76))," ",E12/(Model!E30/E76))</f>
        <v>0</v>
      </c>
      <c r="F14" s="233">
        <f>IF(ISERROR(F12/(Model!F30/F76))," ",F12/(Model!F30/F76))</f>
        <v>0</v>
      </c>
      <c r="G14" s="233">
        <f>IF(ISERROR(G12/(Model!G30/G76))," ",G12/(Model!G30/G76))</f>
        <v>0</v>
      </c>
      <c r="H14" s="233">
        <f>IF(ISERROR(H12/(Model!H30/H76))," ",H12/(Model!H30/H76))</f>
        <v>0</v>
      </c>
      <c r="I14" s="233">
        <f>IF(ISERROR(I12/(Model!I30/I76))," ",I12/(Model!I30/I76))</f>
        <v>0</v>
      </c>
      <c r="J14" s="233">
        <f>IF(ISERROR(J12/(Model!J30/J76))," ",J12/(Model!J30/J76))</f>
        <v>0</v>
      </c>
      <c r="K14" s="233">
        <f>IF(ISERROR(K12/(Model!K30/K76))," ",K12/(Model!K30/K76))</f>
        <v>0</v>
      </c>
      <c r="L14" s="233">
        <f>IF(ISERROR(L12/(Model!L30/L76))," ",L12/(Model!L30/L76))</f>
        <v>0</v>
      </c>
    </row>
    <row r="15" spans="1:20">
      <c r="B15" s="179" t="s">
        <v>512</v>
      </c>
      <c r="C15" s="233">
        <f>IF(ISERROR(C12/(Model!C35/C76))," ",C12/(Model!C35/C76))</f>
        <v>0</v>
      </c>
      <c r="D15" s="233">
        <f>IF(ISERROR(D12/(Model!D35/D76))," ",D12/(Model!D35/D76))</f>
        <v>0</v>
      </c>
      <c r="E15" s="233">
        <f>IF(ISERROR(E12/(Model!E35/E76))," ",E12/(Model!E35/E76))</f>
        <v>0</v>
      </c>
      <c r="F15" s="233">
        <f>IF(ISERROR(F12/(Model!F35/F76))," ",F12/(Model!F35/F76))</f>
        <v>0</v>
      </c>
      <c r="G15" s="233">
        <f>IF(ISERROR(G12/(Model!G35/G76))," ",G12/(Model!G35/G76))</f>
        <v>0</v>
      </c>
      <c r="H15" s="233">
        <f>IF(ISERROR(H12/(Model!H35/H76))," ",H12/(Model!H35/H76))</f>
        <v>0</v>
      </c>
      <c r="I15" s="233">
        <f>IF(ISERROR(I12/(Model!I35/I76))," ",I12/(Model!I35/I76))</f>
        <v>0</v>
      </c>
      <c r="J15" s="233">
        <f>IF(ISERROR(J12/(Model!J35/J76))," ",J12/(Model!J35/J76))</f>
        <v>0</v>
      </c>
      <c r="K15" s="233">
        <f>IF(ISERROR(K12/(Model!K35/K76))," ",K12/(Model!K35/K76))</f>
        <v>0</v>
      </c>
      <c r="L15" s="233">
        <f>IF(ISERROR(L12/(Model!L35/L76))," ",L12/(Model!L35/L76))</f>
        <v>0</v>
      </c>
    </row>
    <row r="16" spans="1:20">
      <c r="B16" s="31" t="s">
        <v>41</v>
      </c>
    </row>
    <row r="17" spans="1:20">
      <c r="B17" s="1189" t="s">
        <v>641</v>
      </c>
      <c r="C17" s="1191"/>
      <c r="D17" s="1191"/>
      <c r="E17" s="1191"/>
      <c r="F17" s="1191"/>
      <c r="G17" s="1191"/>
      <c r="H17" s="1191"/>
      <c r="I17" s="1191"/>
      <c r="J17" s="1191"/>
      <c r="K17" s="1191"/>
      <c r="L17" s="1191"/>
    </row>
    <row r="18" spans="1:20" s="204" customFormat="1">
      <c r="A18" s="31"/>
      <c r="B18" s="31" t="s">
        <v>640</v>
      </c>
      <c r="C18" s="175">
        <f>IF(ISERROR(Model!C20/Model!C$13)," ",Model!C20/Model!C$13)</f>
        <v>0.47922116812684518</v>
      </c>
      <c r="D18" s="175">
        <f>IF(ISERROR(Model!D20/Model!D$13)," ",Model!D20/Model!D$13)</f>
        <v>0.45967980049773188</v>
      </c>
      <c r="E18" s="175">
        <f>IF(ISERROR(Model!E20/Model!E$13)," ",Model!E20/Model!E$13)</f>
        <v>0.46736424775522128</v>
      </c>
      <c r="F18" s="175">
        <f>IF(ISERROR(Model!F20/Model!F$13)," ",Model!F20/Model!F$13)</f>
        <v>0.46599856658577676</v>
      </c>
      <c r="G18" s="175">
        <f>IF(ISERROR(Model!G20/Model!G$13)," ",Model!G20/Model!G$13)</f>
        <v>0.44372835410975392</v>
      </c>
      <c r="H18" s="175">
        <f>IF(ISERROR(Model!H20/Model!H$13)," ",Model!H20/Model!H$13)</f>
        <v>0.42325260991401664</v>
      </c>
      <c r="I18" s="175">
        <f>IF(ISERROR(Model!I20/Model!I$13)," ",Model!I20/Model!I$13)</f>
        <v>0.4307226330611314</v>
      </c>
      <c r="J18" s="175">
        <f>IF(ISERROR(Model!J20/Model!J$13)," ",Model!J20/Model!J$13)</f>
        <v>0.44809376983705279</v>
      </c>
      <c r="K18" s="175">
        <f>IF(ISERROR(Model!K20/Model!K$13)," ",Model!K20/Model!K$13)</f>
        <v>0.44910211677057787</v>
      </c>
      <c r="L18" s="175">
        <f>IF(ISERROR(Model!L20/Model!L$13)," ",Model!L20/Model!L$13)</f>
        <v>0.45884251406438797</v>
      </c>
      <c r="T18" s="242"/>
    </row>
    <row r="19" spans="1:20" s="204" customFormat="1">
      <c r="A19" s="31"/>
      <c r="B19" s="179" t="s">
        <v>8</v>
      </c>
      <c r="C19" s="175">
        <f>IF(ISERROR(Model!C30/Model!C$13)," ",Model!C30/Model!C$13)</f>
        <v>0.13372711993596192</v>
      </c>
      <c r="D19" s="175">
        <f>IF(ISERROR(Model!D30/Model!D$13)," ",Model!D30/Model!D$13)</f>
        <v>0.10743348018289324</v>
      </c>
      <c r="E19" s="175">
        <f>IF(ISERROR(Model!E30/Model!E$13)," ",Model!E30/Model!E$13)</f>
        <v>0.19317370570101897</v>
      </c>
      <c r="F19" s="175">
        <f>IF(ISERROR(Model!F30/Model!F$13)," ",Model!F30/Model!F$13)</f>
        <v>0.22901501226812893</v>
      </c>
      <c r="G19" s="175">
        <f>IF(ISERROR(Model!G30/Model!G$13)," ",Model!G30/Model!G$13)</f>
        <v>0.23755535656991009</v>
      </c>
      <c r="H19" s="175">
        <f>IF(ISERROR(Model!H30/Model!H$13)," ",Model!H30/Model!H$13)</f>
        <v>0.23456942802346048</v>
      </c>
      <c r="I19" s="175">
        <f>IF(ISERROR(Model!I30/Model!I$13)," ",Model!I30/Model!I$13)</f>
        <v>0.23379563869828054</v>
      </c>
      <c r="J19" s="175">
        <f>IF(ISERROR(Model!J30/Model!J$13)," ",Model!J30/Model!J$13)</f>
        <v>0.26158054899062316</v>
      </c>
      <c r="K19" s="175">
        <f>IF(ISERROR(Model!K30/Model!K$13)," ",Model!K30/Model!K$13)</f>
        <v>0.27876718865102856</v>
      </c>
      <c r="L19" s="175">
        <f>IF(ISERROR(Model!L30/Model!L$13)," ",Model!L30/Model!L$13)</f>
        <v>0.28629874876348455</v>
      </c>
      <c r="T19" s="242"/>
    </row>
    <row r="20" spans="1:20" s="204" customFormat="1">
      <c r="A20" s="31"/>
      <c r="B20" s="179" t="s">
        <v>639</v>
      </c>
      <c r="C20" s="175">
        <f>IF(ISERROR(Model!C35/Model!C$13)," ",Model!C35/Model!C$13)</f>
        <v>0.13372711993596192</v>
      </c>
      <c r="D20" s="175">
        <f>IF(ISERROR(Model!D35/Model!D$13)," ",Model!D35/Model!D$13)</f>
        <v>7.945965927323817E-2</v>
      </c>
      <c r="E20" s="175">
        <f>IF(ISERROR(Model!E35/Model!E$13)," ",Model!E35/Model!E$13)</f>
        <v>0.16710301341938438</v>
      </c>
      <c r="F20" s="175">
        <f>IF(ISERROR(Model!F35/Model!F$13)," ",Model!F35/Model!F$13)</f>
        <v>0.20190143388417031</v>
      </c>
      <c r="G20" s="175">
        <f>IF(ISERROR(Model!G35/Model!G$13)," ",Model!G35/Model!G$13)</f>
        <v>0.21102662147971965</v>
      </c>
      <c r="H20" s="175">
        <f>IF(ISERROR(Model!H35/Model!H$13)," ",Model!H35/Model!H$13)</f>
        <v>0.20824007940032155</v>
      </c>
      <c r="I20" s="175">
        <f>IF(ISERROR(Model!I35/Model!I$13)," ",Model!I35/Model!I$13)</f>
        <v>0.21124003445466716</v>
      </c>
      <c r="J20" s="175">
        <f>IF(ISERROR(Model!J35/Model!J$13)," ",Model!J35/Model!J$13)</f>
        <v>0.23992167559503375</v>
      </c>
      <c r="K20" s="175">
        <f>IF(ISERROR(Model!K35/Model!K$13)," ",Model!K35/Model!K$13)</f>
        <v>0.25893974798083536</v>
      </c>
      <c r="L20" s="175">
        <f>IF(ISERROR(Model!L35/Model!L$13)," ",Model!L35/Model!L$13)</f>
        <v>0.26638118499888003</v>
      </c>
      <c r="T20" s="242"/>
    </row>
    <row r="21" spans="1:20" s="204" customFormat="1">
      <c r="A21" s="31"/>
      <c r="B21" s="31" t="s">
        <v>638</v>
      </c>
      <c r="C21" s="175">
        <f>IF(ISERROR(Model!C50/Model!C$13)," ",Model!C50/Model!C$13)</f>
        <v>0.13707154450251841</v>
      </c>
      <c r="D21" s="175">
        <f>IF(ISERROR(Model!D50/Model!D$13)," ",Model!D50/Model!D$13)</f>
        <v>8.9983412293448944E-2</v>
      </c>
      <c r="E21" s="175">
        <f>IF(ISERROR(Model!E50/Model!E$13)," ",Model!E50/Model!E$13)</f>
        <v>0.17499416945465335</v>
      </c>
      <c r="F21" s="175">
        <f>IF(ISERROR(Model!F50/Model!F$13)," ",Model!F50/Model!F$13)</f>
        <v>0.20763317751230603</v>
      </c>
      <c r="G21" s="175">
        <f>IF(ISERROR(Model!G50/Model!G$13)," ",Model!G50/Model!G$13)</f>
        <v>0.21690388655781517</v>
      </c>
      <c r="H21" s="175">
        <f>IF(ISERROR(Model!H50/Model!H$13)," ",Model!H50/Model!H$13)</f>
        <v>0.21586427049264295</v>
      </c>
      <c r="I21" s="175">
        <f>IF(ISERROR(Model!I50/Model!I$13)," ",Model!I50/Model!I$13)</f>
        <v>0.22900808773701423</v>
      </c>
      <c r="J21" s="175">
        <f>IF(ISERROR(Model!J50/Model!J$13)," ",Model!J50/Model!J$13)</f>
        <v>0.25931881573442461</v>
      </c>
      <c r="K21" s="175">
        <f>IF(ISERROR(Model!K50/Model!K$13)," ",Model!K50/Model!K$13)</f>
        <v>0.27339479816694745</v>
      </c>
      <c r="L21" s="175">
        <f>IF(ISERROR(Model!L50/Model!L$13)," ",Model!L50/Model!L$13)</f>
        <v>0.28003459385913165</v>
      </c>
      <c r="T21" s="242"/>
    </row>
    <row r="22" spans="1:20" s="204" customFormat="1">
      <c r="A22" s="31"/>
      <c r="B22" s="31" t="s">
        <v>636</v>
      </c>
      <c r="C22" s="175">
        <f>IF(ISERROR(Model!C57/Model!C$13)," ",Model!C57/Model!C$13)</f>
        <v>0.10414410595147156</v>
      </c>
      <c r="D22" s="175">
        <f>IF(ISERROR(Model!D57/Model!D$13)," ",Model!D57/Model!D$13)</f>
        <v>7.1054611529542636E-2</v>
      </c>
      <c r="E22" s="175">
        <f>IF(ISERROR(Model!E57/Model!E$13)," ",Model!E57/Model!E$13)</f>
        <v>0.13556918975180965</v>
      </c>
      <c r="F22" s="175">
        <f>IF(ISERROR(Model!F57/Model!F$13)," ",Model!F57/Model!F$13)</f>
        <v>0.16377192436130864</v>
      </c>
      <c r="G22" s="175">
        <f>IF(ISERROR(Model!G57/Model!G$13)," ",Model!G57/Model!G$13)</f>
        <v>0.17096456838289925</v>
      </c>
      <c r="H22" s="175">
        <f>IF(ISERROR(Model!H57/Model!H$13)," ",Model!H57/Model!H$13)</f>
        <v>0.16936561603924488</v>
      </c>
      <c r="I22" s="175">
        <f>IF(ISERROR(Model!I57/Model!I$13)," ",Model!I57/Model!I$13)</f>
        <v>0.18110717365829335</v>
      </c>
      <c r="J22" s="175">
        <f>IF(ISERROR(Model!J57/Model!J$13)," ",Model!J57/Model!J$13)</f>
        <v>0.21003472275069338</v>
      </c>
      <c r="K22" s="175">
        <f>IF(ISERROR(Model!K57/Model!K$13)," ",Model!K57/Model!K$13)</f>
        <v>0.21736219576143012</v>
      </c>
      <c r="L22" s="175">
        <f>IF(ISERROR(Model!L57/Model!L$13)," ",Model!L57/Model!L$13)</f>
        <v>0.22263851822432407</v>
      </c>
      <c r="T22" s="242"/>
    </row>
    <row r="23" spans="1:20">
      <c r="B23" s="31" t="s">
        <v>41</v>
      </c>
    </row>
    <row r="24" spans="1:20">
      <c r="B24" s="1189" t="s">
        <v>637</v>
      </c>
      <c r="C24" s="1191"/>
      <c r="D24" s="1191"/>
      <c r="E24" s="1191"/>
      <c r="F24" s="1191"/>
      <c r="G24" s="1191"/>
      <c r="H24" s="1191"/>
      <c r="I24" s="1191"/>
      <c r="J24" s="1191"/>
      <c r="K24" s="1191"/>
      <c r="L24" s="1191"/>
    </row>
    <row r="25" spans="1:20">
      <c r="B25" s="31" t="s">
        <v>636</v>
      </c>
      <c r="C25" s="175">
        <f t="shared" ref="C25:L25" si="0">C22</f>
        <v>0.10414410595147156</v>
      </c>
      <c r="D25" s="175">
        <f t="shared" si="0"/>
        <v>7.1054611529542636E-2</v>
      </c>
      <c r="E25" s="175">
        <f t="shared" si="0"/>
        <v>0.13556918975180965</v>
      </c>
      <c r="F25" s="175">
        <f t="shared" si="0"/>
        <v>0.16377192436130864</v>
      </c>
      <c r="G25" s="175">
        <f t="shared" si="0"/>
        <v>0.17096456838289925</v>
      </c>
      <c r="H25" s="175">
        <f t="shared" si="0"/>
        <v>0.16936561603924488</v>
      </c>
      <c r="I25" s="175">
        <f t="shared" si="0"/>
        <v>0.18110717365829335</v>
      </c>
      <c r="J25" s="175">
        <f t="shared" si="0"/>
        <v>0.21003472275069338</v>
      </c>
      <c r="K25" s="175">
        <f t="shared" si="0"/>
        <v>0.21736219576143012</v>
      </c>
      <c r="L25" s="175">
        <f t="shared" si="0"/>
        <v>0.22263851822432407</v>
      </c>
    </row>
    <row r="26" spans="1:20" s="246" customFormat="1">
      <c r="A26" s="31"/>
      <c r="B26" s="179" t="s">
        <v>635</v>
      </c>
      <c r="C26" s="251">
        <f>IF(ISERROR(Model!C13/AVERAGE(Model!C145:C145))," ",Model!C13/AVERAGE(Model!C145:C145))</f>
        <v>1.3865399596745056</v>
      </c>
      <c r="D26" s="251">
        <f>IF(ISERROR(Model!D13/AVERAGE(Model!C145:D145))," ",Model!D13/AVERAGE(Model!C145:D145))</f>
        <v>1.4608679836842817</v>
      </c>
      <c r="E26" s="251">
        <f>IF(ISERROR(Model!E13/AVERAGE(Model!D145:E145))," ",Model!E13/AVERAGE(Model!D145:E145))</f>
        <v>1.5449904139377657</v>
      </c>
      <c r="F26" s="251">
        <f>IF(ISERROR(Model!F13/AVERAGE(Model!E145:F145))," ",Model!F13/AVERAGE(Model!E145:F145))</f>
        <v>1.2875905426534846</v>
      </c>
      <c r="G26" s="251">
        <f>IF(ISERROR(Model!G13/AVERAGE(Model!F145:G145))," ",Model!G13/AVERAGE(Model!F145:G145))</f>
        <v>1.1484447321013997</v>
      </c>
      <c r="H26" s="251">
        <f>IF(ISERROR(Model!H13/AVERAGE(Model!G145:H145))," ",Model!H13/AVERAGE(Model!G145:H145))</f>
        <v>0.86524205531332832</v>
      </c>
      <c r="I26" s="251">
        <f>IF(ISERROR(Model!I13/AVERAGE(Model!H145:I145))," ",Model!I13/AVERAGE(Model!H145:I145))</f>
        <v>0.84747343624186766</v>
      </c>
      <c r="J26" s="251">
        <f>IF(ISERROR(Model!J13/AVERAGE(Model!I145:J145))," ",Model!J13/AVERAGE(Model!I145:J145))</f>
        <v>0.84730675787166332</v>
      </c>
      <c r="K26" s="251">
        <f>IF(ISERROR(Model!K13/AVERAGE(Model!J145:K145))," ",Model!K13/AVERAGE(Model!J145:K145))</f>
        <v>0.84590437801191876</v>
      </c>
      <c r="L26" s="251">
        <f>IF(ISERROR(Model!L13/AVERAGE(Model!K145:L145))," ",Model!L13/AVERAGE(Model!K145:L145))</f>
        <v>0.88826225445704665</v>
      </c>
      <c r="T26" s="243"/>
    </row>
    <row r="27" spans="1:20" s="248" customFormat="1">
      <c r="A27" s="31"/>
      <c r="B27" s="179" t="s">
        <v>634</v>
      </c>
      <c r="C27" s="250">
        <f>IF(ISERROR(AVERAGE(Model!C145:C145)/AVERAGE(Model!C163:C163))," ",AVERAGE(Model!C145:C145)/AVERAGE(Model!C163:C163))</f>
        <v>2.3544708895401629</v>
      </c>
      <c r="D27" s="250">
        <f>IF(ISERROR(AVERAGE(Model!C145:D145)/AVERAGE(Model!C163:D163))," ",AVERAGE(Model!C145:D145)/AVERAGE(Model!C163:D163))</f>
        <v>2.1238074264707696</v>
      </c>
      <c r="E27" s="250">
        <f>IF(ISERROR(AVERAGE(Model!D145:E145)/AVERAGE(Model!D163:E163))," ",AVERAGE(Model!D145:E145)/AVERAGE(Model!D163:E163))</f>
        <v>2.0014607511359821</v>
      </c>
      <c r="F27" s="250">
        <f>IF(ISERROR(AVERAGE(Model!E145:F145)/AVERAGE(Model!E163:F163))," ",AVERAGE(Model!E145:F145)/AVERAGE(Model!E163:F163))</f>
        <v>2.1705310526727386</v>
      </c>
      <c r="G27" s="250">
        <f>IF(ISERROR(AVERAGE(Model!F145:G145)/AVERAGE(Model!F163:G163))," ",AVERAGE(Model!F145:G145)/AVERAGE(Model!F163:G163))</f>
        <v>1.9754558691018926</v>
      </c>
      <c r="H27" s="250">
        <f>IF(ISERROR(AVERAGE(Model!G145:H145)/AVERAGE(Model!G163:H163))," ",AVERAGE(Model!G145:H145)/AVERAGE(Model!G163:H163))</f>
        <v>2.1134443223069472</v>
      </c>
      <c r="I27" s="250">
        <f>IF(ISERROR(AVERAGE(Model!H145:I145)/AVERAGE(Model!H163:I163))," ",AVERAGE(Model!H145:I145)/AVERAGE(Model!H163:I163))</f>
        <v>2.3339993116339492</v>
      </c>
      <c r="J27" s="250">
        <f>IF(ISERROR(AVERAGE(Model!I145:J145)/AVERAGE(Model!I163:J163))," ",AVERAGE(Model!I145:J145)/AVERAGE(Model!I163:J163))</f>
        <v>2.6682498508878023</v>
      </c>
      <c r="K27" s="250">
        <f>IF(ISERROR(AVERAGE(Model!J145:K145)/AVERAGE(Model!J163:K163))," ",AVERAGE(Model!J145:K145)/AVERAGE(Model!J163:K163))</f>
        <v>2.9571401855023076</v>
      </c>
      <c r="L27" s="250">
        <f>IF(ISERROR(AVERAGE(Model!K145:L145)/AVERAGE(Model!K163:L163))," ",AVERAGE(Model!K145:L145)/AVERAGE(Model!K163:L163))</f>
        <v>2.8689041485625233</v>
      </c>
      <c r="T27" s="249"/>
    </row>
    <row r="28" spans="1:20" s="204" customFormat="1">
      <c r="A28" s="31"/>
      <c r="B28" s="179" t="s">
        <v>630</v>
      </c>
      <c r="C28" s="175">
        <f t="shared" ref="C28:L28" si="1">IF(ISERROR(C25*C26*C27)," ",C25*C26*C27)</f>
        <v>0.33998551278651562</v>
      </c>
      <c r="D28" s="175">
        <f t="shared" si="1"/>
        <v>0.22045419922746837</v>
      </c>
      <c r="E28" s="175">
        <f t="shared" si="1"/>
        <v>0.41921215603541484</v>
      </c>
      <c r="F28" s="175">
        <f t="shared" si="1"/>
        <v>0.45770244638698099</v>
      </c>
      <c r="G28" s="175">
        <f t="shared" si="1"/>
        <v>0.38786763879252167</v>
      </c>
      <c r="H28" s="175">
        <f t="shared" si="1"/>
        <v>0.30970889410514324</v>
      </c>
      <c r="I28" s="175">
        <f t="shared" si="1"/>
        <v>0.35823042719892367</v>
      </c>
      <c r="J28" s="175">
        <f t="shared" si="1"/>
        <v>0.47485198947501661</v>
      </c>
      <c r="K28" s="175">
        <f t="shared" si="1"/>
        <v>0.54372236638374205</v>
      </c>
      <c r="L28" s="175">
        <f t="shared" si="1"/>
        <v>0.56735847829840458</v>
      </c>
      <c r="T28" s="242"/>
    </row>
    <row r="29" spans="1:20">
      <c r="B29" s="31" t="s">
        <v>41</v>
      </c>
    </row>
    <row r="30" spans="1:20">
      <c r="B30" s="1189" t="s">
        <v>633</v>
      </c>
      <c r="C30" s="1191"/>
      <c r="D30" s="1191"/>
      <c r="E30" s="1191"/>
      <c r="F30" s="1191"/>
      <c r="G30" s="1191"/>
      <c r="H30" s="1191"/>
      <c r="I30" s="1191"/>
      <c r="J30" s="1191"/>
      <c r="K30" s="1191"/>
      <c r="L30" s="1191"/>
    </row>
    <row r="31" spans="1:20" s="204" customFormat="1">
      <c r="A31" s="31"/>
      <c r="B31" s="31" t="s">
        <v>632</v>
      </c>
      <c r="C31" s="175">
        <f>IF(ISERROR(Model!C57/AVERAGE(Model!C145:C145))," ",Model!C57/AVERAGE(Model!C145:C145))</f>
        <v>0.14439996446629083</v>
      </c>
      <c r="D31" s="175">
        <f>IF(ISERROR(Model!D57/AVERAGE(Model!C145:D145))," ",Model!D57/AVERAGE(Model!C145:D145))</f>
        <v>0.10380140707663285</v>
      </c>
      <c r="E31" s="175">
        <f>IF(ISERROR(Model!E57/AVERAGE(Model!D145:E145))," ",Model!E57/AVERAGE(Model!D145:E145))</f>
        <v>0.2094530985918559</v>
      </c>
      <c r="F31" s="175">
        <f>IF(ISERROR(Model!F57/AVERAGE(Model!E145:F145))," ",Model!F57/AVERAGE(Model!E145:F145))</f>
        <v>0.21087118095978283</v>
      </c>
      <c r="G31" s="175">
        <f>IF(ISERROR(Model!G57/AVERAGE(Model!F145:G145))," ",Model!G57/AVERAGE(Model!F145:G145))</f>
        <v>0.19634335793533017</v>
      </c>
      <c r="H31" s="175">
        <f>IF(ISERROR(Model!H57/AVERAGE(Model!G145:H145))," ",Model!H57/AVERAGE(Model!G145:H145))</f>
        <v>0.14654225372120425</v>
      </c>
      <c r="I31" s="175">
        <f>IF(ISERROR(Model!I57/AVERAGE(Model!H145:I145))," ",Model!I57/AVERAGE(Model!H145:I145))</f>
        <v>0.15348351878824654</v>
      </c>
      <c r="J31" s="175">
        <f>IF(ISERROR(Model!J57/AVERAGE(Model!I145:J145))," ",Model!J57/AVERAGE(Model!I145:J145))</f>
        <v>0.17796383997436369</v>
      </c>
      <c r="K31" s="175">
        <f>IF(ISERROR(Model!K57/AVERAGE(Model!J145:K145))," ",Model!K57/AVERAGE(Model!J145:K145))</f>
        <v>0.18386763300887748</v>
      </c>
      <c r="L31" s="175">
        <f>IF(ISERROR(Model!L57/AVERAGE(Model!K145:L145))," ",Model!L57/AVERAGE(Model!K145:L145))</f>
        <v>0.19776139212691435</v>
      </c>
      <c r="T31" s="175"/>
    </row>
    <row r="32" spans="1:20" s="204" customFormat="1">
      <c r="A32" s="31"/>
      <c r="B32" s="31" t="s">
        <v>631</v>
      </c>
      <c r="C32" s="175" t="str">
        <f>IF(ISERROR(Model!C35*(1-Model!C89)/(AVERAGE((Model!C139+Model!C134-Model!C151),(Model!#REF!+Model!#REF!-Model!#REF!))))," ",Model!C35*(1-Model!C89)/(AVERAGE((Model!C139+Model!C134-Model!C151),(Model!#REF!+Model!#REF!-Model!#REF!))))</f>
        <v xml:space="preserve"> </v>
      </c>
      <c r="D32" s="175">
        <f>IF(ISERROR(Model!D35*(1-Model!D89)/(AVERAGE((Model!D139+Model!D134-Model!D151),(Model!C139+Model!C134-Model!C151))))," ",Model!D35*(1-Model!D89)/(AVERAGE((Model!D139+Model!D134-Model!D151),(Model!C139+Model!C134-Model!C151))))</f>
        <v>0.25872743804997306</v>
      </c>
      <c r="E32" s="175">
        <f>IF(ISERROR(Model!E35*(1-Model!E89)/(AVERAGE((Model!E139+Model!E134-Model!E151),(Model!D139+Model!D134-Model!D151))))," ",Model!E35*(1-Model!E89)/(AVERAGE((Model!E139+Model!E134-Model!E151),(Model!D139+Model!D134-Model!D151))))</f>
        <v>0.4902588859459226</v>
      </c>
      <c r="F32" s="175">
        <f>IF(ISERROR(Model!F35*(1-Model!F89)/(AVERAGE((Model!F139+Model!F134-Model!F151),(Model!E139+Model!E134-Model!E151))))," ",Model!F35*(1-Model!F89)/(AVERAGE((Model!F139+Model!F134-Model!F151),(Model!E139+Model!E134-Model!E151))))</f>
        <v>0.51297288267207908</v>
      </c>
      <c r="G32" s="175">
        <f>IF(ISERROR(Model!G35*(1-Model!G89)/(AVERAGE((Model!G139+Model!G134-Model!G151),(Model!F139+Model!F134-Model!F151))))," ",Model!G35*(1-Model!G89)/(AVERAGE((Model!G139+Model!G134-Model!G151),(Model!F139+Model!F134-Model!F151))))</f>
        <v>0.72037263530760065</v>
      </c>
      <c r="H32" s="175">
        <f>IF(ISERROR(Model!H35*(1-Model!H89)/(AVERAGE((Model!H139+Model!H134-Model!H151),(Model!G139+Model!G134-Model!G151))))," ",Model!H35*(1-Model!H89)/(AVERAGE((Model!H139+Model!H134-Model!H151),(Model!G139+Model!G134-Model!G151))))</f>
        <v>0.57485396927174148</v>
      </c>
      <c r="I32" s="175">
        <f>IF(ISERROR(Model!I35*(1-Model!I89)/(AVERAGE((Model!I139+Model!I134-Model!I151),(Model!H139+Model!H134-Model!H151))))," ",Model!I35*(1-Model!I89)/(AVERAGE((Model!I139+Model!I134-Model!I151),(Model!H139+Model!H134-Model!H151))))</f>
        <v>0.51375478903407601</v>
      </c>
      <c r="J32" s="175">
        <f>IF(ISERROR(Model!J35*(1-Model!J89)/(AVERAGE((Model!J139+Model!J134-Model!J151),(Model!I139+Model!I134-Model!I151))))," ",Model!J35*(1-Model!J89)/(AVERAGE((Model!J139+Model!J134-Model!J151),(Model!I139+Model!I134-Model!I151))))</f>
        <v>1.0079293369494362</v>
      </c>
      <c r="K32" s="175">
        <f>IF(ISERROR(Model!K35*(1-Model!K89)/(AVERAGE((Model!K139+Model!K134-Model!K151),(Model!J139+Model!J134-Model!J151))))," ",Model!K35*(1-Model!K89)/(AVERAGE((Model!K139+Model!K134-Model!K151),(Model!J139+Model!J134-Model!J151))))</f>
        <v>1.689585820762201</v>
      </c>
      <c r="L32" s="175">
        <f>IF(ISERROR(Model!L35*(1-Model!L89)/(AVERAGE((Model!L139+Model!L134-Model!L151),(Model!K139+Model!K134-Model!K151))))," ",Model!L35*(1-Model!L89)/(AVERAGE((Model!L139+Model!L134-Model!L151),(Model!K139+Model!K134-Model!K151))))</f>
        <v>1.473620972174374</v>
      </c>
      <c r="T32" s="175"/>
    </row>
    <row r="33" spans="1:20" s="204" customFormat="1">
      <c r="A33" s="31"/>
      <c r="B33" s="31" t="s">
        <v>630</v>
      </c>
      <c r="C33" s="175">
        <f>IF(ISERROR(Model!C57/AVERAGE(Model!C163:C163))," ",Model!C57/AVERAGE(Model!C163:C163))</f>
        <v>0.33998551278651568</v>
      </c>
      <c r="D33" s="175">
        <f>IF(ISERROR(Model!D57/AVERAGE(Model!C163:D163))," ",Model!D57/AVERAGE(Model!C163:D163))</f>
        <v>0.22045419922746837</v>
      </c>
      <c r="E33" s="175">
        <f>IF(ISERROR(Model!E57/AVERAGE(Model!D163:E163))," ",Model!E57/AVERAGE(Model!D163:E163))</f>
        <v>0.41921215603541478</v>
      </c>
      <c r="F33" s="175">
        <f>IF(ISERROR(Model!F57/AVERAGE(Model!E163:F163))," ",Model!F57/AVERAGE(Model!E163:F163))</f>
        <v>0.45770244638698093</v>
      </c>
      <c r="G33" s="175">
        <f>IF(ISERROR(Model!G57/AVERAGE(Model!F163:G163))," ",Model!G57/AVERAGE(Model!F163:G163))</f>
        <v>0.38786763879252167</v>
      </c>
      <c r="H33" s="175">
        <f>IF(ISERROR(Model!H57/AVERAGE(Model!G163:H163))," ",Model!H57/AVERAGE(Model!G163:H163))</f>
        <v>0.30970889410514324</v>
      </c>
      <c r="I33" s="175">
        <f>IF(ISERROR(Model!I57/AVERAGE(Model!H163:I163))," ",Model!I57/AVERAGE(Model!H163:I163))</f>
        <v>0.35823042719892373</v>
      </c>
      <c r="J33" s="175">
        <f>IF(ISERROR(Model!J57/AVERAGE(Model!I163:J163))," ",Model!J57/AVERAGE(Model!I163:J163))</f>
        <v>0.47485198947501656</v>
      </c>
      <c r="K33" s="175">
        <f>IF(ISERROR(Model!K57/AVERAGE(Model!J163:K163))," ",Model!K57/AVERAGE(Model!J163:K163))</f>
        <v>0.54372236638374216</v>
      </c>
      <c r="L33" s="175">
        <f>IF(ISERROR(Model!L57/AVERAGE(Model!K163:L163))," ",Model!L57/AVERAGE(Model!K163:L163))</f>
        <v>0.56735847829840458</v>
      </c>
      <c r="T33" s="175"/>
    </row>
    <row r="34" spans="1:20">
      <c r="B34" s="31" t="s">
        <v>41</v>
      </c>
    </row>
    <row r="35" spans="1:20">
      <c r="B35" s="1189" t="s">
        <v>629</v>
      </c>
      <c r="C35" s="1191"/>
      <c r="D35" s="1191"/>
      <c r="E35" s="1191"/>
      <c r="F35" s="1191"/>
      <c r="G35" s="1191"/>
      <c r="H35" s="1191"/>
      <c r="I35" s="1191"/>
      <c r="J35" s="1191"/>
      <c r="K35" s="1191"/>
      <c r="L35" s="1191"/>
    </row>
    <row r="36" spans="1:20">
      <c r="B36" s="179" t="s">
        <v>14</v>
      </c>
      <c r="C36" s="247">
        <f>IF(ISERROR(Model!C57/Model!C70)," ",Model!C57/Model!C70)</f>
        <v>1.9637076588801066</v>
      </c>
      <c r="D36" s="247">
        <f>IF(ISERROR(Model!D57/Model!D70)," ",Model!D57/Model!D70)</f>
        <v>0.47435371529670339</v>
      </c>
      <c r="E36" s="247">
        <f>IF(ISERROR(Model!E57/Model!E70)," ",Model!E57/Model!E70)</f>
        <v>1.2191750209829058</v>
      </c>
      <c r="F36" s="247">
        <f>IF(ISERROR(Model!F57/Model!F70)," ",Model!F57/Model!F70)</f>
        <v>1.7351784526068383</v>
      </c>
      <c r="G36" s="247">
        <f>IF(ISERROR(Model!G57/Model!G70)," ",Model!G57/Model!G70)</f>
        <v>2.29409727754883</v>
      </c>
      <c r="H36" s="247">
        <f>IF(ISERROR(Model!H57/Model!H70)," ",Model!H57/Model!H70)</f>
        <v>2.7701626139346502</v>
      </c>
      <c r="I36" s="247">
        <f>IF(ISERROR(Model!I57/Model!I70)," ",Model!I57/Model!I70)</f>
        <v>3.9225419439898634</v>
      </c>
      <c r="J36" s="247">
        <f>IF(ISERROR(Model!J57/Model!J70)," ",Model!J57/Model!J70)</f>
        <v>6.3973570899958307</v>
      </c>
      <c r="K36" s="247">
        <f>IF(ISERROR(Model!K57/Model!K70)," ",Model!K57/Model!K70)</f>
        <v>8.7744878691599482</v>
      </c>
      <c r="L36" s="247">
        <f>IF(ISERROR(Model!L57/Model!L70)," ",Model!L57/Model!L70)</f>
        <v>10.87626555906585</v>
      </c>
    </row>
    <row r="37" spans="1:20">
      <c r="B37" s="179" t="s">
        <v>628</v>
      </c>
      <c r="C37" s="247">
        <f>IF(ISERROR(Model!C57/Model!C71)," ",Model!C57/Model!C71)</f>
        <v>1.9637076588801066</v>
      </c>
      <c r="D37" s="247">
        <f>IF(ISERROR(Model!D57/Model!D71)," ",Model!D57/Model!D71)</f>
        <v>0.47435371529670339</v>
      </c>
      <c r="E37" s="247">
        <f>IF(ISERROR(Model!E57/Model!E71)," ",Model!E57/Model!E71)</f>
        <v>1.2191750209829058</v>
      </c>
      <c r="F37" s="247">
        <f>IF(ISERROR(Model!F57/Model!F71)," ",Model!F57/Model!F71)</f>
        <v>1.7351784526068383</v>
      </c>
      <c r="G37" s="247">
        <f>IF(ISERROR(Model!G57/Model!G71)," ",Model!G57/Model!G71)</f>
        <v>2.29409727754883</v>
      </c>
      <c r="H37" s="247">
        <f>IF(ISERROR(Model!H57/Model!H71)," ",Model!H57/Model!H71)</f>
        <v>2.7701626139346502</v>
      </c>
      <c r="I37" s="247">
        <f>IF(ISERROR(Model!I57/Model!I71)," ",Model!I57/Model!I71)</f>
        <v>3.9225419439898634</v>
      </c>
      <c r="J37" s="247">
        <f>IF(ISERROR(Model!J57/Model!J71)," ",Model!J57/Model!J71)</f>
        <v>6.3973570899958307</v>
      </c>
      <c r="K37" s="247">
        <f>IF(ISERROR(Model!K57/Model!K71)," ",Model!K57/Model!K71)</f>
        <v>8.7744878691599482</v>
      </c>
      <c r="L37" s="247">
        <f>IF(ISERROR(Model!L57/Model!L71)," ",Model!L57/Model!L71)</f>
        <v>10.87626555906585</v>
      </c>
    </row>
    <row r="38" spans="1:20">
      <c r="B38" s="179" t="s">
        <v>627</v>
      </c>
      <c r="C38" s="243">
        <f>IF(ISERROR(Model!C163/Model!C72)," ",Model!C163/Model!C72)</f>
        <v>5.7758568675047091</v>
      </c>
      <c r="D38" s="243">
        <f>IF(ISERROR(Model!D163/Model!D72)," ",Model!D163/Model!D72)</f>
        <v>2.3888878417362633</v>
      </c>
      <c r="E38" s="243">
        <f>IF(ISERROR(Model!E163/Model!E72)," ",Model!E163/Model!E72)</f>
        <v>3.4939762042307687</v>
      </c>
      <c r="F38" s="243">
        <f>IF(ISERROR(Model!F163/Model!F72)," ",Model!F163/Model!F72)</f>
        <v>4.0881482362393156</v>
      </c>
      <c r="G38" s="243">
        <f>IF(ISERROR(Model!G163/Model!G72)," ",Model!G163/Model!G72)</f>
        <v>8.1500376734812399</v>
      </c>
      <c r="H38" s="243">
        <f>IF(ISERROR(Model!H163/Model!H72)," ",Model!H163/Model!H72)</f>
        <v>9.7387777054804392</v>
      </c>
      <c r="I38" s="243">
        <f>IF(ISERROR(Model!I163/Model!I72)," ",Model!I163/Model!I72)</f>
        <v>12.16076876610777</v>
      </c>
      <c r="J38" s="243">
        <f>IF(ISERROR(Model!J163/Model!J72)," ",Model!J163/Model!J72)</f>
        <v>14.783867591290985</v>
      </c>
      <c r="K38" s="243">
        <f>IF(ISERROR(Model!K163/Model!K72)," ",Model!K163/Model!K72)</f>
        <v>17.491751039292218</v>
      </c>
      <c r="L38" s="243">
        <f>IF(ISERROR(Model!L163/Model!L72)," ",Model!L163/Model!L72)</f>
        <v>20.848261404640748</v>
      </c>
    </row>
    <row r="39" spans="1:20">
      <c r="B39" s="179" t="s">
        <v>626</v>
      </c>
      <c r="C39" s="243">
        <f>IF(ISERROR(-Model!C68/Model!C70)," ",-Model!C68/Model!C70)</f>
        <v>0</v>
      </c>
      <c r="D39" s="243">
        <f>IF(ISERROR(-Model!D68/Model!D70)," ",-Model!D68/Model!D70)</f>
        <v>0</v>
      </c>
      <c r="E39" s="243">
        <f>IF(ISERROR(-Model!E68/Model!E70)," ",-Model!E68/Model!E70)</f>
        <v>0</v>
      </c>
      <c r="F39" s="243">
        <f>IF(ISERROR(-Model!F68/Model!F70)," ",-Model!F68/Model!F70)</f>
        <v>0</v>
      </c>
      <c r="G39" s="243">
        <f>IF(ISERROR(-Model!G68/Model!G70)," ",-Model!G68/Model!G70)</f>
        <v>2.3076923076923075</v>
      </c>
      <c r="H39" s="243">
        <f>IF(ISERROR(-Model!H68/Model!H70)," ",-Model!H68/Model!H70)</f>
        <v>1.5384615384615383</v>
      </c>
      <c r="I39" s="243">
        <f>IF(ISERROR(-Model!I68/Model!I70)," ",-Model!I68/Model!I70)</f>
        <v>1.9230769230769229</v>
      </c>
      <c r="J39" s="243">
        <f>IF(ISERROR(-Model!J68/Model!J70)," ",-Model!J68/Model!J70)</f>
        <v>4.4230769230769225</v>
      </c>
      <c r="K39" s="243">
        <f>IF(ISERROR(-Model!K68/Model!K70)," ",-Model!K68/Model!K70)</f>
        <v>6.0666044211587167</v>
      </c>
      <c r="L39" s="243">
        <f>IF(ISERROR(-Model!L68/Model!L70)," ",-Model!L68/Model!L70)</f>
        <v>7.5197551937173213</v>
      </c>
    </row>
    <row r="40" spans="1:20">
      <c r="B40" s="31" t="s">
        <v>41</v>
      </c>
    </row>
    <row r="41" spans="1:20">
      <c r="B41" s="1189" t="s">
        <v>625</v>
      </c>
      <c r="C41" s="1191"/>
      <c r="D41" s="1191"/>
      <c r="E41" s="1191"/>
      <c r="F41" s="1191"/>
      <c r="G41" s="1191"/>
      <c r="H41" s="1191"/>
      <c r="I41" s="1191"/>
      <c r="J41" s="1191"/>
      <c r="K41" s="1191"/>
      <c r="L41" s="1191"/>
    </row>
    <row r="42" spans="1:20" s="204" customFormat="1">
      <c r="A42" s="31"/>
      <c r="B42" s="179" t="s">
        <v>49</v>
      </c>
      <c r="C42" s="175">
        <f>IF(ISERROR(-Model!C18/Model!C13)," ",-Model!C18/Model!C13)</f>
        <v>0.52077883187315477</v>
      </c>
      <c r="D42" s="175">
        <f>IF(ISERROR(-Model!D18/Model!D13)," ",-Model!D18/Model!D13)</f>
        <v>0.54032019950226817</v>
      </c>
      <c r="E42" s="175">
        <f>IF(ISERROR(-Model!E18/Model!E13)," ",-Model!E18/Model!E13)</f>
        <v>0.53263575224477866</v>
      </c>
      <c r="F42" s="175">
        <f>IF(ISERROR(-Model!F18/Model!F13)," ",-Model!F18/Model!F13)</f>
        <v>0.53400143341422324</v>
      </c>
      <c r="G42" s="175">
        <f>IF(ISERROR(-Model!G18/Model!G13)," ",-Model!G18/Model!G13)</f>
        <v>0.55627164589024602</v>
      </c>
      <c r="H42" s="175">
        <f>IF(ISERROR(-Model!H18/Model!H13)," ",-Model!H18/Model!H13)</f>
        <v>0.57674739008598341</v>
      </c>
      <c r="I42" s="175">
        <f>IF(ISERROR(-Model!I18/Model!I13)," ",-Model!I18/Model!I13)</f>
        <v>0.56927736693886866</v>
      </c>
      <c r="J42" s="175">
        <f>IF(ISERROR(-Model!J18/Model!J13)," ",-Model!J18/Model!J13)</f>
        <v>0.55190623016294715</v>
      </c>
      <c r="K42" s="175">
        <f>IF(ISERROR(-Model!K18/Model!K13)," ",-Model!K18/Model!K13)</f>
        <v>0.55089788322942213</v>
      </c>
      <c r="L42" s="175">
        <f>IF(ISERROR(-Model!L18/Model!L13)," ",-Model!L18/Model!L13)</f>
        <v>0.54115748593561208</v>
      </c>
      <c r="T42" s="242"/>
    </row>
    <row r="43" spans="1:20" s="204" customFormat="1">
      <c r="A43" s="31"/>
      <c r="B43" s="31" t="s">
        <v>47</v>
      </c>
      <c r="C43" s="175">
        <f>IF(ISERROR(-Model!C23/Model!C13)," ",-Model!C23/Model!C13)</f>
        <v>0.3453057794767832</v>
      </c>
      <c r="D43" s="175">
        <f>IF(ISERROR(-Model!D23/Model!D13)," ",-Model!D23/Model!D13)</f>
        <v>0.37946801486935394</v>
      </c>
      <c r="E43" s="175">
        <f>IF(ISERROR(-Model!E23/Model!E13)," ",-Model!E23/Model!E13)</f>
        <v>0.29870233479353669</v>
      </c>
      <c r="F43" s="175">
        <f>IF(ISERROR(-Model!F23/Model!F13)," ",-Model!F23/Model!F13)</f>
        <v>0.2642216704396057</v>
      </c>
      <c r="G43" s="175">
        <f>IF(ISERROR(-Model!G23/Model!G13)," ",-Model!G23/Model!G13)</f>
        <v>0.24930935713108587</v>
      </c>
      <c r="H43" s="175">
        <f>IF(ISERROR(-Model!H23/Model!H13)," ",-Model!H23/Model!H13)</f>
        <v>0.21647392034342006</v>
      </c>
      <c r="I43" s="175">
        <f>IF(ISERROR(-Model!I23/Model!I13)," ",-Model!I23/Model!I13)</f>
        <v>0.22194024926715311</v>
      </c>
      <c r="J43" s="175">
        <f>IF(ISERROR(-Model!J23/Model!J13)," ",-Model!J23/Model!J13)</f>
        <v>0.21019185267759596</v>
      </c>
      <c r="K43" s="175">
        <f>IF(ISERROR(-Model!K23/Model!K13)," ",-Model!K23/Model!K13)</f>
        <v>0.19969185267759598</v>
      </c>
      <c r="L43" s="175">
        <f>IF(ISERROR(-Model!L23/Model!L13)," ",-Model!L23/Model!L13)</f>
        <v>0.19439185267759598</v>
      </c>
      <c r="T43" s="242"/>
    </row>
    <row r="44" spans="1:20" s="204" customFormat="1">
      <c r="A44" s="31"/>
      <c r="B44" s="179" t="s">
        <v>226</v>
      </c>
      <c r="C44" s="175">
        <f>IF(ISERROR(-Model!C27/Model!C13)," ",-Model!C27/Model!C13)</f>
        <v>1.882687141000678E-4</v>
      </c>
      <c r="D44" s="175">
        <f>IF(ISERROR(-Model!D27/Model!D13)," ",-Model!D27/Model!D13)</f>
        <v>7.5212635513976058E-4</v>
      </c>
      <c r="E44" s="175">
        <f>IF(ISERROR(-Model!E27/Model!E13)," ",-Model!E27/Model!E13)</f>
        <v>1.5588995423002428E-3</v>
      </c>
      <c r="F44" s="175">
        <f>IF(ISERROR(-Model!F27/Model!F13)," ",-Model!F27/Model!F13)</f>
        <v>-1.2453773799925164E-4</v>
      </c>
      <c r="G44" s="175">
        <f>IF(ISERROR(-Model!G27/Model!G13)," ",-Model!G27/Model!G13)</f>
        <v>-1.6607624501051597E-2</v>
      </c>
      <c r="H44" s="175">
        <f>IF(ISERROR(-Model!H27/Model!H13)," ",-Model!H27/Model!H13)</f>
        <v>-1.4613898297249814E-3</v>
      </c>
      <c r="I44" s="175">
        <f>IF(ISERROR(-Model!I27/Model!I13)," ",-Model!I27/Model!I13)</f>
        <v>-2.4576506606888374E-3</v>
      </c>
      <c r="J44" s="175">
        <f>IF(ISERROR(-Model!J27/Model!J13)," ",-Model!J27/Model!J13)</f>
        <v>-2.0197584355768411E-3</v>
      </c>
      <c r="K44" s="175">
        <f>IF(ISERROR(-Model!K27/Model!K13)," ",-Model!K27/Model!K13)</f>
        <v>-9.5294838878534766E-3</v>
      </c>
      <c r="L44" s="175">
        <f>IF(ISERROR(-Model!L27/Model!L13)," ",-Model!L27/Model!L13)</f>
        <v>-1.9305236120880918E-3</v>
      </c>
      <c r="T44" s="242"/>
    </row>
    <row r="45" spans="1:20" s="204" customFormat="1">
      <c r="A45" s="31"/>
      <c r="B45" s="179" t="s">
        <v>35</v>
      </c>
      <c r="C45" s="175">
        <f t="shared" ref="C45:L45" si="2">IF(ISERROR(1-C44-C43-C42)," ",1-C44-C43-C42)</f>
        <v>0.13372711993596198</v>
      </c>
      <c r="D45" s="175">
        <f t="shared" si="2"/>
        <v>7.945965927323817E-2</v>
      </c>
      <c r="E45" s="175">
        <f t="shared" si="2"/>
        <v>0.16710301341938438</v>
      </c>
      <c r="F45" s="175">
        <f t="shared" si="2"/>
        <v>0.20190143388417037</v>
      </c>
      <c r="G45" s="175">
        <f t="shared" si="2"/>
        <v>0.21102662147971973</v>
      </c>
      <c r="H45" s="175">
        <f t="shared" si="2"/>
        <v>0.20824007940032141</v>
      </c>
      <c r="I45" s="175">
        <f t="shared" si="2"/>
        <v>0.21124003445466699</v>
      </c>
      <c r="J45" s="175">
        <f t="shared" si="2"/>
        <v>0.23992167559503363</v>
      </c>
      <c r="K45" s="175">
        <f t="shared" si="2"/>
        <v>0.25893974798083541</v>
      </c>
      <c r="L45" s="175">
        <f t="shared" si="2"/>
        <v>0.26638118499888008</v>
      </c>
      <c r="T45" s="242"/>
    </row>
    <row r="46" spans="1:20">
      <c r="B46" s="31" t="s">
        <v>41</v>
      </c>
    </row>
    <row r="47" spans="1:20">
      <c r="B47" s="1189" t="s">
        <v>624</v>
      </c>
      <c r="C47" s="1191"/>
      <c r="D47" s="1191"/>
      <c r="E47" s="1191"/>
      <c r="F47" s="1191"/>
      <c r="G47" s="1191"/>
      <c r="H47" s="1191"/>
      <c r="I47" s="1191"/>
      <c r="J47" s="1191"/>
      <c r="K47" s="1191"/>
      <c r="L47" s="1191"/>
    </row>
    <row r="48" spans="1:20">
      <c r="B48" s="31" t="s">
        <v>623</v>
      </c>
      <c r="C48" s="233" t="str">
        <f>IF(ISERROR(-Model!C18/AVERAGE(Model!C132,Model!#REF!))," ",-Model!C18/AVERAGE(Model!C132,Model!#REF!))</f>
        <v xml:space="preserve"> </v>
      </c>
      <c r="D48" s="233">
        <f>IF(ISERROR(-Model!D18/AVERAGE(Model!D132,Model!C132))," ",-Model!D18/AVERAGE(Model!D132,Model!C132))</f>
        <v>12.903904975734568</v>
      </c>
      <c r="E48" s="233">
        <f>IF(ISERROR(-Model!E18/AVERAGE(Model!E132,Model!D132))," ",-Model!E18/AVERAGE(Model!E132,Model!D132))</f>
        <v>13.429227470851332</v>
      </c>
      <c r="F48" s="233">
        <f>IF(ISERROR(-Model!F18/AVERAGE(Model!F132,Model!E132))," ",-Model!F18/AVERAGE(Model!F132,Model!E132))</f>
        <v>10.875692973721566</v>
      </c>
      <c r="G48" s="233">
        <f>IF(ISERROR(-Model!G18/AVERAGE(Model!G132,Model!F132))," ",-Model!G18/AVERAGE(Model!G132,Model!F132))</f>
        <v>12.66958807814672</v>
      </c>
      <c r="H48" s="233">
        <f>IF(ISERROR(-Model!H18/AVERAGE(Model!H132,Model!G132))," ",-Model!H18/AVERAGE(Model!H132,Model!G132))</f>
        <v>13.361720931953155</v>
      </c>
      <c r="I48" s="233">
        <f>IF(ISERROR(-Model!I18/AVERAGE(Model!I132,Model!H132))," ",-Model!I18/AVERAGE(Model!I132,Model!H132))</f>
        <v>13.318473954477373</v>
      </c>
      <c r="J48" s="233">
        <f>IF(ISERROR(-Model!J18/AVERAGE(Model!J132,Model!I132))," ",-Model!J18/AVERAGE(Model!J132,Model!I132))</f>
        <v>10.682032851738905</v>
      </c>
      <c r="K48" s="233">
        <f>IF(ISERROR(-Model!K18/AVERAGE(Model!K132,Model!J132))," ",-Model!K18/AVERAGE(Model!K132,Model!J132))</f>
        <v>9.3220888980958083</v>
      </c>
      <c r="L48" s="233">
        <f>IF(ISERROR(-Model!L18/AVERAGE(Model!L132,Model!K132))," ",-Model!L18/AVERAGE(Model!L132,Model!K132))</f>
        <v>8.8901644002016411</v>
      </c>
    </row>
    <row r="49" spans="1:20">
      <c r="B49" s="31" t="s">
        <v>622</v>
      </c>
      <c r="C49" s="233" t="str">
        <f>IF(ISERROR(Model!C13/AVERAGE(Model!C131,Model!#REF!))," ",Model!C13/AVERAGE(Model!C131,Model!#REF!))</f>
        <v xml:space="preserve"> </v>
      </c>
      <c r="D49" s="233">
        <f>IF(ISERROR(Model!D13/AVERAGE(Model!D131,Model!C131))," ",Model!D13/AVERAGE(Model!D131,Model!C131))</f>
        <v>57.034940720991912</v>
      </c>
      <c r="E49" s="233">
        <f>IF(ISERROR(Model!E13/AVERAGE(Model!E131,Model!D131))," ",Model!E13/AVERAGE(Model!E131,Model!D131))</f>
        <v>75.207429869218529</v>
      </c>
      <c r="F49" s="233">
        <f>IF(ISERROR(Model!F13/AVERAGE(Model!F131,Model!E131))," ",Model!F13/AVERAGE(Model!F131,Model!E131))</f>
        <v>139.8624379432122</v>
      </c>
      <c r="G49" s="233">
        <f>IF(ISERROR(Model!G13/AVERAGE(Model!G131,Model!F131))," ",Model!G13/AVERAGE(Model!G131,Model!F131))</f>
        <v>196.75107720561184</v>
      </c>
      <c r="H49" s="233">
        <f>IF(ISERROR(Model!H13/AVERAGE(Model!H131,Model!G131))," ",Model!H13/AVERAGE(Model!H131,Model!G131))</f>
        <v>202.91770255567343</v>
      </c>
      <c r="I49" s="233">
        <f>IF(ISERROR(Model!I13/AVERAGE(Model!I131,Model!H131))," ",Model!I13/AVERAGE(Model!I131,Model!H131))</f>
        <v>174.07142592132865</v>
      </c>
      <c r="J49" s="233">
        <f>IF(ISERROR(Model!J13/AVERAGE(Model!J131,Model!I131))," ",Model!J13/AVERAGE(Model!J131,Model!I131))</f>
        <v>159.68884820553069</v>
      </c>
      <c r="K49" s="233">
        <f>IF(ISERROR(Model!K13/AVERAGE(Model!K131,Model!J131))," ",Model!K13/AVERAGE(Model!K131,Model!J131))</f>
        <v>164.52317951295478</v>
      </c>
      <c r="L49" s="233">
        <f>IF(ISERROR(Model!L13/AVERAGE(Model!L131,Model!K131))," ",Model!L13/AVERAGE(Model!L131,Model!K131))</f>
        <v>158.05361587803534</v>
      </c>
    </row>
    <row r="50" spans="1:20">
      <c r="B50" s="179" t="s">
        <v>621</v>
      </c>
      <c r="C50" s="233" t="str">
        <f>IF(ISERROR(AVERAGE(Model!#REF!,Model!C132)/(-Model!C18/365))," ",AVERAGE(Model!#REF!,Model!C132)/(-Model!C18/365))</f>
        <v xml:space="preserve"> </v>
      </c>
      <c r="D50" s="233">
        <f>IF(ISERROR(AVERAGE(Model!C132,Model!D132)/(-Model!D18/365))," ",AVERAGE(Model!C132,Model!D132)/(-Model!D18/365))</f>
        <v>28.286011148282036</v>
      </c>
      <c r="E50" s="233">
        <f>IF(ISERROR(AVERAGE(Model!D132,Model!E132)/(-Model!E18/365))," ",AVERAGE(Model!D132,Model!E132)/(-Model!E18/365))</f>
        <v>27.17952322963081</v>
      </c>
      <c r="F50" s="233">
        <f>IF(ISERROR(AVERAGE(Model!E132,Model!F132)/(-Model!F18/365))," ",AVERAGE(Model!E132,Model!F132)/(-Model!F18/365))</f>
        <v>33.561079821022226</v>
      </c>
      <c r="G50" s="233">
        <f>IF(ISERROR(AVERAGE(Model!F132,Model!G132)/(-Model!G18/365))," ",AVERAGE(Model!F132,Model!G132)/(-Model!G18/365))</f>
        <v>28.809144997347964</v>
      </c>
      <c r="H50" s="233">
        <f>IF(ISERROR(AVERAGE(Model!G132,Model!H132)/(-Model!H18/365))," ",AVERAGE(Model!G132,Model!H132)/(-Model!H18/365))</f>
        <v>27.316840537145239</v>
      </c>
      <c r="I50" s="233">
        <f>IF(ISERROR(AVERAGE(Model!H132,Model!I132)/(-Model!I18/365))," ",AVERAGE(Model!H132,Model!I132)/(-Model!I18/365))</f>
        <v>27.405542200072794</v>
      </c>
      <c r="J50" s="233">
        <f>IF(ISERROR(AVERAGE(Model!I132,Model!J132)/(-Model!J18/365))," ",AVERAGE(Model!I132,Model!J132)/(-Model!J18/365))</f>
        <v>34.16952606924275</v>
      </c>
      <c r="K50" s="233">
        <f>IF(ISERROR(AVERAGE(Model!J132,Model!K132)/(-Model!K18/365))," ",AVERAGE(Model!J132,Model!K132)/(-Model!K18/365))</f>
        <v>39.154314444969231</v>
      </c>
      <c r="L50" s="233">
        <f>IF(ISERROR(AVERAGE(Model!K132,Model!L132)/(-Model!L18/365))," ",AVERAGE(Model!K132,Model!L132)/(-Model!L18/365))</f>
        <v>41.056608581020313</v>
      </c>
    </row>
    <row r="51" spans="1:20">
      <c r="B51" s="179" t="s">
        <v>620</v>
      </c>
      <c r="C51" s="233" t="str">
        <f>IF(ISERROR(AVERAGE(Model!#REF!,Model!C131)/(Model!C13/365))," ",AVERAGE(Model!#REF!,Model!C131)/(Model!C13/365))</f>
        <v xml:space="preserve"> </v>
      </c>
      <c r="D51" s="233">
        <f>IF(ISERROR(AVERAGE(Model!C131,Model!D131)/(Model!D13/365))," ",AVERAGE(Model!C131,Model!D131)/(Model!D13/365))</f>
        <v>6.3995858571246034</v>
      </c>
      <c r="E51" s="233">
        <f>IF(ISERROR(AVERAGE(Model!D131,Model!E131)/(Model!E13/365))," ",AVERAGE(Model!D131,Model!E131)/(Model!E13/365))</f>
        <v>4.8532438967095981</v>
      </c>
      <c r="F51" s="233">
        <f>IF(ISERROR(AVERAGE(Model!E131,Model!F131)/(Model!F13/365))," ",AVERAGE(Model!E131,Model!F131)/(Model!F13/365))</f>
        <v>2.6097071191351571</v>
      </c>
      <c r="G51" s="233">
        <f>IF(ISERROR(AVERAGE(Model!F131,Model!G131)/(Model!G13/365))," ",AVERAGE(Model!F131,Model!G131)/(Model!G13/365))</f>
        <v>1.8551359676601014</v>
      </c>
      <c r="H51" s="233">
        <f>IF(ISERROR(AVERAGE(Model!G131,Model!H131)/(Model!H13/365))," ",AVERAGE(Model!G131,Model!H131)/(Model!H13/365))</f>
        <v>1.7987587844873067</v>
      </c>
      <c r="I51" s="233">
        <f>IF(ISERROR(AVERAGE(Model!H131,Model!I131)/(Model!I13/365))," ",AVERAGE(Model!H131,Model!I131)/(Model!I13/365))</f>
        <v>2.0968404094360742</v>
      </c>
      <c r="J51" s="233">
        <f>IF(ISERROR(AVERAGE(Model!I131,Model!J131)/(Model!J13/365))," ",AVERAGE(Model!I131,Model!J131)/(Model!J13/365))</f>
        <v>2.2856949881072439</v>
      </c>
      <c r="K51" s="233">
        <f>IF(ISERROR(AVERAGE(Model!J131,Model!K131)/(Model!K13/365))," ",AVERAGE(Model!J131,Model!K131)/(Model!K13/365))</f>
        <v>2.2185323738607869</v>
      </c>
      <c r="L51" s="233">
        <f>IF(ISERROR(AVERAGE(Model!K131,Model!L131)/(Model!L13/365))," ",AVERAGE(Model!K131,Model!L131)/(Model!L13/365))</f>
        <v>2.30934292753959</v>
      </c>
    </row>
    <row r="52" spans="1:20">
      <c r="B52" s="179" t="s">
        <v>619</v>
      </c>
      <c r="C52" s="233" t="str">
        <f>IF(ISERROR(AVERAGE(Model!#REF!,Model!C147)/(-Model!C18/365))," ",AVERAGE(Model!#REF!,Model!C147)/(-Model!C18/365))</f>
        <v xml:space="preserve"> </v>
      </c>
      <c r="D52" s="233">
        <f>IF(ISERROR(AVERAGE(Model!C147,Model!D147)/(-Model!D18/365))," ",AVERAGE(Model!C147,Model!D147)/(-Model!D18/365))</f>
        <v>73.021465716186171</v>
      </c>
      <c r="E52" s="233">
        <f>IF(ISERROR(AVERAGE(Model!D147,Model!E147)/(-Model!E18/365))," ",AVERAGE(Model!D147,Model!E147)/(-Model!E18/365))</f>
        <v>75.41746741386693</v>
      </c>
      <c r="F52" s="233">
        <f>IF(ISERROR(AVERAGE(Model!E147,Model!F147)/(-Model!F18/365))," ",AVERAGE(Model!E147,Model!F147)/(-Model!F18/365))</f>
        <v>77.958815145963555</v>
      </c>
      <c r="G52" s="233">
        <f>IF(ISERROR(AVERAGE(Model!F147,Model!G147)/(-Model!G18/365))," ",AVERAGE(Model!F147,Model!G147)/(-Model!G18/365))</f>
        <v>91.71063124917687</v>
      </c>
      <c r="H52" s="233">
        <f>IF(ISERROR(AVERAGE(Model!G147,Model!H147)/(-Model!H18/365))," ",AVERAGE(Model!G147,Model!H147)/(-Model!H18/365))</f>
        <v>120.10249196900307</v>
      </c>
      <c r="I52" s="233">
        <f>IF(ISERROR(AVERAGE(Model!H147,Model!I147)/(-Model!I18/365))," ",AVERAGE(Model!H147,Model!I147)/(-Model!I18/365))</f>
        <v>115.27476906240017</v>
      </c>
      <c r="J52" s="233">
        <f>IF(ISERROR(AVERAGE(Model!I147,Model!J147)/(-Model!J18/365))," ",AVERAGE(Model!I147,Model!J147)/(-Model!J18/365))</f>
        <v>112.72022626163867</v>
      </c>
      <c r="K52" s="233">
        <f>IF(ISERROR(AVERAGE(Model!J147,Model!K147)/(-Model!K18/365))," ",AVERAGE(Model!J147,Model!K147)/(-Model!K18/365))</f>
        <v>115.42256753617467</v>
      </c>
      <c r="L52" s="233">
        <f>IF(ISERROR(AVERAGE(Model!K147,Model!L147)/(-Model!L18/365))," ",AVERAGE(Model!K147,Model!L147)/(-Model!L18/365))</f>
        <v>121.03031923619801</v>
      </c>
    </row>
    <row r="53" spans="1:20">
      <c r="B53" s="31" t="s">
        <v>618</v>
      </c>
      <c r="C53" s="233" t="str">
        <f t="shared" ref="C53:L53" si="3">IF(ISERROR(C50+C51-C52)," ",C50+C51-C52)</f>
        <v xml:space="preserve"> </v>
      </c>
      <c r="D53" s="233">
        <f t="shared" si="3"/>
        <v>-38.335868710779529</v>
      </c>
      <c r="E53" s="233">
        <f t="shared" si="3"/>
        <v>-43.38470028752652</v>
      </c>
      <c r="F53" s="233">
        <f t="shared" si="3"/>
        <v>-41.788028205806171</v>
      </c>
      <c r="G53" s="233">
        <f t="shared" si="3"/>
        <v>-61.04635028416881</v>
      </c>
      <c r="H53" s="233">
        <f t="shared" si="3"/>
        <v>-90.986892647370524</v>
      </c>
      <c r="I53" s="233">
        <f t="shared" si="3"/>
        <v>-85.772386452891297</v>
      </c>
      <c r="J53" s="233">
        <f t="shared" si="3"/>
        <v>-76.265005204288684</v>
      </c>
      <c r="K53" s="233">
        <f t="shared" si="3"/>
        <v>-74.049720717344655</v>
      </c>
      <c r="L53" s="233">
        <f t="shared" si="3"/>
        <v>-77.664367727638108</v>
      </c>
    </row>
    <row r="54" spans="1:20">
      <c r="B54" s="31" t="s">
        <v>41</v>
      </c>
    </row>
    <row r="55" spans="1:20">
      <c r="B55" s="1189" t="s">
        <v>617</v>
      </c>
      <c r="C55" s="1191"/>
      <c r="D55" s="1191"/>
      <c r="E55" s="1191"/>
      <c r="F55" s="1191"/>
      <c r="G55" s="1191"/>
      <c r="H55" s="1191"/>
      <c r="I55" s="1191"/>
      <c r="J55" s="1191"/>
      <c r="K55" s="1191"/>
      <c r="L55" s="1191"/>
    </row>
    <row r="56" spans="1:20" s="204" customFormat="1">
      <c r="A56" s="31"/>
      <c r="B56" s="179" t="s">
        <v>616</v>
      </c>
      <c r="C56" s="175" t="str">
        <f>IF(ISERROR(Model!C13/Model!#REF!-1)," ",(Model!C13/Model!#REF!-1))</f>
        <v xml:space="preserve"> </v>
      </c>
      <c r="D56" s="175">
        <f>IF(ISERROR(Model!D13/Model!C13-1)," ",(Model!D13/Model!C13-1))</f>
        <v>6.8122892568400095E-2</v>
      </c>
      <c r="E56" s="175">
        <f>IF(ISERROR(Model!E13/Model!D13-1)," ",(Model!E13/Model!D13-1))</f>
        <v>0.38557320136996509</v>
      </c>
      <c r="F56" s="175">
        <f>IF(ISERROR(Model!F13/Model!E13-1)," ",(Model!F13/Model!E13-1))</f>
        <v>0.17814742460888033</v>
      </c>
      <c r="G56" s="175">
        <f>IF(ISERROR(Model!G13/Model!F13-1)," ",(Model!G13/Model!F13-1))</f>
        <v>0.40724388206478346</v>
      </c>
      <c r="H56" s="175">
        <f>IF(ISERROR(Model!H13/Model!G13-1)," ",(Model!H13/Model!G13-1))</f>
        <v>0.21891747198959233</v>
      </c>
      <c r="I56" s="175">
        <f>IF(ISERROR(Model!I13/Model!H13-1)," ",(Model!I13/Model!H13-1))</f>
        <v>0.32419494463634702</v>
      </c>
      <c r="J56" s="175">
        <f>IF(ISERROR(Model!J13/Model!I13-1)," ",(Model!J13/Model!I13-1))</f>
        <v>0.40629862458102206</v>
      </c>
      <c r="K56" s="175">
        <f>IF(ISERROR(Model!K13/Model!J13-1)," ",(Model!K13/Model!J13-1))</f>
        <v>0.32534294349569493</v>
      </c>
      <c r="L56" s="175">
        <f>IF(ISERROR(Model!L13/Model!K13-1)," ",(Model!L13/Model!K13-1))</f>
        <v>0.2101570488187654</v>
      </c>
      <c r="T56" s="242"/>
    </row>
    <row r="57" spans="1:20" s="204" customFormat="1">
      <c r="A57" s="31"/>
      <c r="B57" s="179" t="s">
        <v>615</v>
      </c>
      <c r="C57" s="175" t="str">
        <f>IF(ISERROR(Model!C20/Model!#REF!-1)," ",(Model!C20/Model!#REF!-1))</f>
        <v xml:space="preserve"> </v>
      </c>
      <c r="D57" s="175">
        <f>IF(ISERROR(Model!D20/Model!C20-1)," ",(Model!D20/Model!C20-1))</f>
        <v>2.4567675259580701E-2</v>
      </c>
      <c r="E57" s="175">
        <f>IF(ISERROR(Model!E20/Model!D20-1)," ",(Model!E20/Model!D20-1))</f>
        <v>0.4087357683911601</v>
      </c>
      <c r="F57" s="175">
        <f>IF(ISERROR(Model!F20/Model!E20-1)," ",(Model!F20/Model!E20-1))</f>
        <v>0.17470476984796113</v>
      </c>
      <c r="G57" s="175">
        <f>IF(ISERROR(Model!G20/Model!F20-1)," ",(Model!G20/Model!F20-1))</f>
        <v>0.33999127120638239</v>
      </c>
      <c r="H57" s="175">
        <f>IF(ISERROR(Model!H20/Model!G20-1)," ",(Model!H20/Model!G20-1))</f>
        <v>0.16267080187934657</v>
      </c>
      <c r="I57" s="175">
        <f>IF(ISERROR(Model!I20/Model!H20-1)," ",(Model!I20/Model!H20-1))</f>
        <v>0.34756577958461898</v>
      </c>
      <c r="J57" s="175">
        <f>IF(ISERROR(Model!J20/Model!I20-1)," ",(Model!J20/Model!I20-1))</f>
        <v>0.46301495170265716</v>
      </c>
      <c r="K57" s="175">
        <f>IF(ISERROR(Model!K20/Model!J20-1)," ",(Model!K20/Model!J20-1))</f>
        <v>0.3283253672268458</v>
      </c>
      <c r="L57" s="175">
        <f>IF(ISERROR(Model!L20/Model!K20-1)," ",(Model!L20/Model!K20-1))</f>
        <v>0.23640366401657587</v>
      </c>
      <c r="T57" s="242"/>
    </row>
    <row r="58" spans="1:20" s="204" customFormat="1">
      <c r="A58" s="31"/>
      <c r="B58" s="179" t="s">
        <v>614</v>
      </c>
      <c r="C58" s="175" t="str">
        <f>IF(ISERROR(Model!C30/Model!#REF!-1)," ",(Model!C30/Model!#REF!-1))</f>
        <v xml:space="preserve"> </v>
      </c>
      <c r="D58" s="175">
        <f>IF(ISERROR(Model!D30/Model!C30-1)," ",(Model!D30/Model!C30-1))</f>
        <v>-0.14189313531471148</v>
      </c>
      <c r="E58" s="175">
        <f>IF(ISERROR(Model!E30/Model!D30-1)," ",(Model!E30/Model!D30-1))</f>
        <v>1.491367768902264</v>
      </c>
      <c r="F58" s="175">
        <f>IF(ISERROR(Model!F30/Model!E30-1)," ",(Model!F30/Model!E30-1))</f>
        <v>0.39674002691684129</v>
      </c>
      <c r="G58" s="175">
        <f>IF(ISERROR(Model!G30/Model!F30-1)," ",(Model!G30/Model!F30-1))</f>
        <v>0.45972230760719879</v>
      </c>
      <c r="H58" s="175">
        <f>IF(ISERROR(Model!H30/Model!G30-1)," ",(Model!H30/Model!G30-1))</f>
        <v>0.20359640944681279</v>
      </c>
      <c r="I58" s="175">
        <f>IF(ISERROR(Model!I30/Model!H30-1)," ",(Model!I30/Model!H30-1))</f>
        <v>0.31982673723075816</v>
      </c>
      <c r="J58" s="175">
        <f>IF(ISERROR(Model!J30/Model!I30-1)," ",(Model!J30/Model!I30-1))</f>
        <v>0.57342698226032995</v>
      </c>
      <c r="K58" s="175">
        <f>IF(ISERROR(Model!K30/Model!J30-1)," ",(Model!K30/Model!J30-1))</f>
        <v>0.41242201601931017</v>
      </c>
      <c r="L58" s="175">
        <f>IF(ISERROR(Model!L30/Model!K30-1)," ",(Model!L30/Model!K30-1))</f>
        <v>0.24285232620343833</v>
      </c>
      <c r="T58" s="242"/>
    </row>
    <row r="59" spans="1:20" s="204" customFormat="1">
      <c r="A59" s="31"/>
      <c r="B59" s="179" t="s">
        <v>613</v>
      </c>
      <c r="C59" s="175" t="str">
        <f>IF(ISERROR(Model!C35/Model!#REF!-1)," ",(Model!C35/Model!#REF!-1))</f>
        <v xml:space="preserve"> </v>
      </c>
      <c r="D59" s="175">
        <f>IF(ISERROR(Model!D35/Model!C35-1)," ",(Model!D35/Model!C35-1))</f>
        <v>-0.36532932776781746</v>
      </c>
      <c r="E59" s="175">
        <f>IF(ISERROR(Model!E35/Model!D35-1)," ",(Model!E35/Model!D35-1))</f>
        <v>1.9138491075816204</v>
      </c>
      <c r="F59" s="175">
        <f>IF(ISERROR(Model!F35/Model!E35-1)," ",(Model!F35/Model!E35-1))</f>
        <v>0.42349111178794496</v>
      </c>
      <c r="G59" s="175">
        <f>IF(ISERROR(Model!G35/Model!F35-1)," ",(Model!G35/Model!F35-1))</f>
        <v>0.47084602777266027</v>
      </c>
      <c r="H59" s="175">
        <f>IF(ISERROR(Model!H35/Model!G35-1)," ",(Model!H35/Model!G35-1))</f>
        <v>0.20282203908546004</v>
      </c>
      <c r="I59" s="175">
        <f>IF(ISERROR(Model!I35/Model!H35-1)," ",(Model!I35/Model!H35-1))</f>
        <v>0.34327160523185074</v>
      </c>
      <c r="J59" s="175">
        <f>IF(ISERROR(Model!J35/Model!I35-1)," ",(Model!J35/Model!I35-1))</f>
        <v>0.59724231851930343</v>
      </c>
      <c r="K59" s="175">
        <f>IF(ISERROR(Model!K35/Model!J35-1)," ",(Model!K35/Model!J35-1))</f>
        <v>0.43040001252832805</v>
      </c>
      <c r="L59" s="175">
        <f>IF(ISERROR(Model!L35/Model!K35-1)," ",(Model!L35/Model!K35-1))</f>
        <v>0.24493466612529868</v>
      </c>
      <c r="T59" s="242"/>
    </row>
    <row r="60" spans="1:20" s="204" customFormat="1">
      <c r="A60" s="31"/>
      <c r="B60" s="179" t="s">
        <v>612</v>
      </c>
      <c r="C60" s="175" t="str">
        <f>IF(ISERROR(Model!C57/Model!#REF!-1)," ",(Model!C57/Model!#REF!-1))</f>
        <v xml:space="preserve"> </v>
      </c>
      <c r="D60" s="175">
        <f>IF(ISERROR(Model!D57/Model!C57-1)," ",(Model!D57/Model!C57-1))</f>
        <v>-0.27124961605965303</v>
      </c>
      <c r="E60" s="175">
        <f>IF(ISERROR(Model!E57/Model!D57-1)," ",(Model!E57/Model!D57-1))</f>
        <v>1.6436149914555203</v>
      </c>
      <c r="F60" s="175">
        <f>IF(ISERROR(Model!F57/Model!E57-1)," ",(Model!F57/Model!E57-1))</f>
        <v>0.42323983246304353</v>
      </c>
      <c r="G60" s="175">
        <f>IF(ISERROR(Model!G57/Model!F57-1)," ",(Model!G57/Model!F57-1))</f>
        <v>0.46904815245317311</v>
      </c>
      <c r="H60" s="175">
        <f>IF(ISERROR(Model!H57/Model!G57-1)," ",(Model!H57/Model!G57-1))</f>
        <v>0.20751750200169417</v>
      </c>
      <c r="I60" s="175">
        <f>IF(ISERROR(Model!I57/Model!H57-1)," ",(Model!I57/Model!H57-1))</f>
        <v>0.41599699752586394</v>
      </c>
      <c r="J60" s="175">
        <f>IF(ISERROR(Model!J57/Model!I57-1)," ",(Model!J57/Model!I57-1))</f>
        <v>0.63092127027421352</v>
      </c>
      <c r="K60" s="175">
        <f>IF(ISERROR(Model!K57/Model!J57-1)," ",(Model!K57/Model!J57-1))</f>
        <v>0.37158013000110124</v>
      </c>
      <c r="L60" s="175">
        <f>IF(ISERROR(Model!L57/Model!K57-1)," ",(Model!L57/Model!K57-1))</f>
        <v>0.23953280479116112</v>
      </c>
      <c r="T60" s="242"/>
    </row>
    <row r="61" spans="1:20" s="204" customFormat="1">
      <c r="A61" s="31"/>
      <c r="B61" s="179" t="s">
        <v>611</v>
      </c>
      <c r="C61" s="175" t="str">
        <f>IF(ISERROR(Model!C60/Model!#REF!-1)," ",Model!C60/Model!#REF!-1)</f>
        <v xml:space="preserve"> </v>
      </c>
      <c r="D61" s="175">
        <f>IF(ISERROR(Model!D60/Model!C60-1)," ",Model!D60/Model!C60-1)</f>
        <v>-0.75843974883347698</v>
      </c>
      <c r="E61" s="175">
        <f>IF(ISERROR(Model!E60/Model!D60-1)," ",Model!E60/Model!D60-1)</f>
        <v>1.5701812416928669</v>
      </c>
      <c r="F61" s="175">
        <f>IF(ISERROR(Model!F60/Model!E60-1)," ",Model!F60/Model!E60-1)</f>
        <v>0.42323983246304353</v>
      </c>
      <c r="G61" s="175">
        <f>IF(ISERROR(Model!G60/Model!F60-1)," ",Model!G60/Model!F60-1)</f>
        <v>0.32211028445074463</v>
      </c>
      <c r="H61" s="175">
        <f>IF(ISERROR(Model!H60/Model!G60-1)," ",Model!H60/Model!G60-1)</f>
        <v>0.20751750200169417</v>
      </c>
      <c r="I61" s="175">
        <f>IF(ISERROR(Model!I60/Model!H60-1)," ",Model!I60/Model!H60-1)</f>
        <v>0.41599699752586394</v>
      </c>
      <c r="J61" s="175">
        <f>IF(ISERROR(Model!J60/Model!I60-1)," ",Model!J60/Model!I60-1)</f>
        <v>0.63092127027421352</v>
      </c>
      <c r="K61" s="175">
        <f>IF(ISERROR(Model!K60/Model!J60-1)," ",Model!K60/Model!J60-1)</f>
        <v>0.37158013000110124</v>
      </c>
      <c r="L61" s="175">
        <f>IF(ISERROR(Model!L60/Model!K60-1)," ",Model!L60/Model!K60-1)</f>
        <v>0.23953280479116112</v>
      </c>
      <c r="T61" s="242"/>
    </row>
    <row r="62" spans="1:20" s="204" customFormat="1">
      <c r="A62" s="31"/>
      <c r="B62" s="31" t="s">
        <v>41</v>
      </c>
      <c r="C62" s="242"/>
      <c r="D62" s="242"/>
      <c r="E62" s="242"/>
      <c r="F62" s="242"/>
      <c r="G62" s="242"/>
      <c r="H62" s="242"/>
      <c r="I62" s="242"/>
      <c r="J62" s="242"/>
      <c r="K62" s="242"/>
      <c r="L62" s="242"/>
      <c r="T62" s="242"/>
    </row>
    <row r="63" spans="1:20">
      <c r="B63" s="1189" t="s">
        <v>610</v>
      </c>
      <c r="C63" s="1191"/>
      <c r="D63" s="1191"/>
      <c r="E63" s="1191"/>
      <c r="F63" s="1191"/>
      <c r="G63" s="1191"/>
      <c r="H63" s="1191"/>
      <c r="I63" s="1191"/>
      <c r="J63" s="1191"/>
      <c r="K63" s="1191"/>
      <c r="L63" s="1191"/>
    </row>
    <row r="64" spans="1:20" s="246" customFormat="1">
      <c r="A64" s="31"/>
      <c r="B64" s="31" t="s">
        <v>609</v>
      </c>
      <c r="C64" s="243">
        <f>IF(ISERROR(Model!C134/Model!C151)," ",Model!C134/Model!C151)</f>
        <v>0.88219248006034046</v>
      </c>
      <c r="D64" s="243">
        <f>IF(ISERROR(Model!D134/Model!D151)," ",Model!D134/Model!D151)</f>
        <v>0.71332274335793344</v>
      </c>
      <c r="E64" s="243">
        <f>IF(ISERROR(Model!E134/Model!E151)," ",Model!E134/Model!E151)</f>
        <v>0.99967533619270477</v>
      </c>
      <c r="F64" s="243">
        <f>IF(ISERROR(Model!F134/Model!F151)," ",Model!F134/Model!F151)</f>
        <v>0.91970626080541074</v>
      </c>
      <c r="G64" s="243">
        <f>IF(ISERROR(Model!G134/Model!G151)," ",Model!G134/Model!G151)</f>
        <v>0.83497903999481471</v>
      </c>
      <c r="H64" s="243">
        <f>IF(ISERROR(Model!H134/Model!H151)," ",Model!H134/Model!H151)</f>
        <v>1.0806019118756089</v>
      </c>
      <c r="I64" s="243">
        <f>IF(ISERROR(Model!I134/Model!I151)," ",Model!I134/Model!I151)</f>
        <v>1.0896224026537538</v>
      </c>
      <c r="J64" s="243">
        <f>IF(ISERROR(Model!J134/Model!J151)," ",Model!J134/Model!J151)</f>
        <v>0.85588330829338755</v>
      </c>
      <c r="K64" s="243">
        <f>IF(ISERROR(Model!K134/Model!K151)," ",Model!K134/Model!K151)</f>
        <v>0.83634459441573483</v>
      </c>
      <c r="L64" s="243">
        <f>IF(ISERROR(Model!L134/Model!L151)," ",Model!L134/Model!L151)</f>
        <v>0.80648139064214719</v>
      </c>
      <c r="T64" s="243"/>
    </row>
    <row r="65" spans="1:20" s="246" customFormat="1">
      <c r="A65" s="31"/>
      <c r="B65" s="179" t="s">
        <v>608</v>
      </c>
      <c r="C65" s="243">
        <f>IF(ISERROR((Model!C134-Model!C132)/Model!C151)," ",(Model!C134-Model!C132)/Model!C151)</f>
        <v>0.76392805301667077</v>
      </c>
      <c r="D65" s="243">
        <f>IF(ISERROR((Model!D134-Model!D132)/Model!D151)," ",(Model!D134-Model!D132)/Model!D151)</f>
        <v>0.58828906503509493</v>
      </c>
      <c r="E65" s="243">
        <f>IF(ISERROR((Model!E134-Model!E132)/Model!E151)," ",(Model!E134-Model!E132)/Model!E151)</f>
        <v>0.85213644932615129</v>
      </c>
      <c r="F65" s="243">
        <f>IF(ISERROR((Model!F134-Model!F132)/Model!F151)," ",(Model!F134-Model!F132)/Model!F151)</f>
        <v>0.79167767076322093</v>
      </c>
      <c r="G65" s="243">
        <f>IF(ISERROR((Model!G134-Model!G132)/Model!G151)," ",(Model!G134-Model!G132)/Model!G151)</f>
        <v>0.73541028732880098</v>
      </c>
      <c r="H65" s="243">
        <f>IF(ISERROR((Model!H134-Model!H132)/Model!H151)," ",(Model!H134-Model!H132)/Model!H151)</f>
        <v>1.0218131292147363</v>
      </c>
      <c r="I65" s="243">
        <f>IF(ISERROR((Model!I134-Model!I132)/Model!I151)," ",(Model!I134-Model!I132)/Model!I151)</f>
        <v>1.0189653634594411</v>
      </c>
      <c r="J65" s="243">
        <f>IF(ISERROR((Model!J134-Model!J132)/Model!J151)," ",(Model!J134-Model!J132)/Model!J151)</f>
        <v>0.78393445669484363</v>
      </c>
      <c r="K65" s="243">
        <f>IF(ISERROR((Model!K134-Model!K132)/Model!K151)," ",(Model!K134-Model!K132)/Model!K151)</f>
        <v>0.75658881541961154</v>
      </c>
      <c r="L65" s="243">
        <f>IF(ISERROR((Model!L134-Model!L132)/Model!L151)," ",(Model!L134-Model!L132)/Model!L151)</f>
        <v>0.71926181993976734</v>
      </c>
      <c r="T65" s="243"/>
    </row>
    <row r="66" spans="1:20" s="246" customFormat="1">
      <c r="A66" s="31"/>
      <c r="B66" s="31" t="s">
        <v>607</v>
      </c>
      <c r="C66" s="243">
        <f>IF(ISERROR(Model!C130/Model!C151)," ",Model!C130/Model!C151)</f>
        <v>0.16988825962012816</v>
      </c>
      <c r="D66" s="243">
        <f>IF(ISERROR(Model!D130/Model!D151)," ",Model!D130/Model!D151)</f>
        <v>0.35462502286799075</v>
      </c>
      <c r="E66" s="243">
        <f>IF(ISERROR(Model!E130/Model!E151)," ",Model!E130/Model!E151)</f>
        <v>0.65088725880876663</v>
      </c>
      <c r="F66" s="243">
        <f>IF(ISERROR(Model!F130/Model!F151)," ",Model!F130/Model!F151)</f>
        <v>0.57504785140433623</v>
      </c>
      <c r="G66" s="243">
        <f>IF(ISERROR(Model!G130/Model!G151)," ",Model!G130/Model!G151)</f>
        <v>0.29841224603474092</v>
      </c>
      <c r="H66" s="243">
        <f>IF(ISERROR(Model!H130/Model!H151)," ",Model!H130/Model!H151)</f>
        <v>0.32175027290358388</v>
      </c>
      <c r="I66" s="243">
        <f>IF(ISERROR(Model!I130/Model!I151)," ",Model!I130/Model!I151)</f>
        <v>0.75275706878792303</v>
      </c>
      <c r="J66" s="243">
        <f>IF(ISERROR(Model!J130/Model!J151)," ",Model!J130/Model!J151)</f>
        <v>0.38077017313640621</v>
      </c>
      <c r="K66" s="243">
        <f>IF(ISERROR(Model!K130/Model!K151)," ",Model!K130/Model!K151)</f>
        <v>0.41675284236387522</v>
      </c>
      <c r="L66" s="243">
        <f>IF(ISERROR(Model!L130/Model!L151)," ",Model!L130/Model!L151)</f>
        <v>0.4050474110106061</v>
      </c>
      <c r="T66" s="243"/>
    </row>
    <row r="67" spans="1:20">
      <c r="B67" s="31" t="s">
        <v>41</v>
      </c>
    </row>
    <row r="68" spans="1:20">
      <c r="B68" s="1189" t="s">
        <v>606</v>
      </c>
      <c r="C68" s="1191"/>
      <c r="D68" s="1191"/>
      <c r="E68" s="1191"/>
      <c r="F68" s="1191"/>
      <c r="G68" s="1191"/>
      <c r="H68" s="1191"/>
      <c r="I68" s="1191"/>
      <c r="J68" s="1191"/>
      <c r="K68" s="1191"/>
      <c r="L68" s="1191"/>
    </row>
    <row r="69" spans="1:20">
      <c r="B69" s="179" t="s">
        <v>605</v>
      </c>
      <c r="C69" s="233">
        <f>IF(ISERROR((Model!C148+Model!C153+Model!C154)/(Model!C166))," ",(Model!C148+Model!C153+Model!C154)/(Model!C166))</f>
        <v>8.0692412495982482E-2</v>
      </c>
      <c r="D69" s="233">
        <f>IF(ISERROR((Model!D148+Model!D153+Model!D154)/(Model!D166))," ",(Model!D148+Model!D153+Model!D154)/(Model!D166))</f>
        <v>0.1037274701623756</v>
      </c>
      <c r="E69" s="233">
        <f>IF(ISERROR((Model!E148+Model!E153+Model!E154)/(Model!E166))," ",(Model!E148+Model!E153+Model!E154)/(Model!E166))</f>
        <v>7.8878093900182397E-2</v>
      </c>
      <c r="F69" s="233">
        <f>IF(ISERROR((Model!F148+Model!F153+Model!F154)/(Model!F166))," ",(Model!F148+Model!F153+Model!F154)/(Model!F166))</f>
        <v>9.8143058306612851E-2</v>
      </c>
      <c r="G69" s="233">
        <f>IF(ISERROR((Model!G148+Model!G153+Model!G154)/(Model!G166))," ",(Model!G148+Model!G153+Model!G154)/(Model!G166))</f>
        <v>9.7654657588958471E-2</v>
      </c>
      <c r="H69" s="233">
        <f>IF(ISERROR((Model!H148+Model!H153+Model!H154)/(Model!H166))," ",(Model!H148+Model!H153+Model!H154)/(Model!H166))</f>
        <v>0.27644104441652889</v>
      </c>
      <c r="I69" s="233">
        <f>IF(ISERROR((Model!I148+Model!I153+Model!I154)/(Model!I166))," ",(Model!I148+Model!I153+Model!I154)/(Model!I166))</f>
        <v>0.22669248735572314</v>
      </c>
      <c r="J69" s="233">
        <f>IF(ISERROR((Model!J148+Model!J153+Model!J154)/(Model!J166))," ",(Model!J148+Model!J153+Model!J154)/(Model!J166))</f>
        <v>0.29506632298968427</v>
      </c>
      <c r="K69" s="233">
        <f>IF(ISERROR((Model!K148+Model!K153+Model!K154)/(Model!K166))," ",(Model!K148+Model!K153+Model!K154)/(Model!K166))</f>
        <v>0.24822361112998925</v>
      </c>
      <c r="L69" s="233">
        <f>IF(ISERROR((Model!L148+Model!L153+Model!L154)/(Model!L166))," ",(Model!L148+Model!L153+Model!L154)/(Model!L166))</f>
        <v>0.22124430827136132</v>
      </c>
    </row>
    <row r="70" spans="1:20">
      <c r="B70" s="31" t="s">
        <v>604</v>
      </c>
      <c r="C70" s="243">
        <f>IF(ISERROR((Model!C148+Model!C153-Model!C130)/Model!C165)," ",(Model!C148+Model!C153-Model!C130)/Model!C165)</f>
        <v>-3.8537709803435356E-2</v>
      </c>
      <c r="D70" s="243">
        <f>IF(ISERROR((Model!D148+Model!D153-Model!D130)/Model!D165)," ",(Model!D148+Model!D153-Model!D130)/Model!D165)</f>
        <v>-0.12373883829422695</v>
      </c>
      <c r="E70" s="243">
        <f>IF(ISERROR((Model!E148+Model!E153-Model!E130)/Model!E165)," ",(Model!E148+Model!E153-Model!E130)/Model!E165)</f>
        <v>-0.42699906578611946</v>
      </c>
      <c r="F70" s="243">
        <f>IF(ISERROR((Model!F148+Model!F153-Model!F130)/Model!F165)," ",(Model!F148+Model!F153-Model!F130)/Model!F165)</f>
        <v>-0.42499705644946206</v>
      </c>
      <c r="G70" s="243">
        <f>IF(ISERROR((Model!G148+Model!G153-Model!G130)/Model!G165)," ",(Model!G148+Model!G153-Model!G130)/Model!G165)</f>
        <v>-8.7250610829929465E-2</v>
      </c>
      <c r="H70" s="243">
        <f>IF(ISERROR((Model!H148+Model!H153-Model!H130)/Model!H165)," ",(Model!H148+Model!H153-Model!H130)/Model!H165)</f>
        <v>0.20220780504196989</v>
      </c>
      <c r="I70" s="243">
        <f>IF(ISERROR((Model!I148+Model!I153-Model!I130)/Model!I165)," ",(Model!I148+Model!I153-Model!I130)/Model!I165)</f>
        <v>-0.44941416807611401</v>
      </c>
      <c r="J70" s="243">
        <f>IF(ISERROR((Model!J148+Model!J153-Model!J130)/Model!J165)," ",(Model!J148+Model!J153-Model!J130)/Model!J165)</f>
        <v>0.1168534685494533</v>
      </c>
      <c r="K70" s="243">
        <f>IF(ISERROR((Model!K148+Model!K153-Model!K130)/Model!K165)," ",(Model!K148+Model!K153-Model!K130)/Model!K165)</f>
        <v>-9.1440023843594787E-2</v>
      </c>
      <c r="L70" s="243">
        <f>IF(ISERROR((Model!L148+Model!L153-Model!L130)/Model!L165)," ",(Model!L148+Model!L153-Model!L130)/Model!L165)</f>
        <v>-0.11519294380057155</v>
      </c>
    </row>
    <row r="71" spans="1:20">
      <c r="B71" s="179" t="s">
        <v>603</v>
      </c>
      <c r="C71" s="233" t="str">
        <f>IF(ISERROR(Model!C35/-Model!C40)," ",Model!C35/-Model!C40)</f>
        <v xml:space="preserve"> </v>
      </c>
      <c r="D71" s="233">
        <f>IF(ISERROR(Model!D35/-Model!D40)," ",Model!D35/-Model!D40)</f>
        <v>34.945264326977302</v>
      </c>
      <c r="E71" s="233">
        <f>IF(ISERROR(Model!E35/-Model!E40)," ",Model!E35/-Model!E40)</f>
        <v>130.18777683435556</v>
      </c>
      <c r="F71" s="233">
        <f>IF(ISERROR(Model!F35/-Model!F40)," ",Model!F35/-Model!F40)</f>
        <v>102.40830468903722</v>
      </c>
      <c r="G71" s="233">
        <f>IF(ISERROR(Model!G35/-Model!G40)," ",Model!G35/-Model!G40)</f>
        <v>108.14608305824819</v>
      </c>
      <c r="H71" s="233">
        <f>IF(ISERROR(Model!H35/-Model!H40)," ",Model!H35/-Model!H40)</f>
        <v>33.620191062879236</v>
      </c>
      <c r="I71" s="233">
        <f>IF(ISERROR(Model!I35/-Model!I40)," ",Model!I35/-Model!I40)</f>
        <v>29.707303622187837</v>
      </c>
      <c r="J71" s="233">
        <f>IF(ISERROR(Model!J35/-Model!J40)," ",Model!J35/-Model!J40)</f>
        <v>38.810491187760448</v>
      </c>
      <c r="K71" s="233">
        <f>IF(ISERROR(Model!K35/-Model!K40)," ",Model!K35/-Model!K40)</f>
        <v>41.38183941325903</v>
      </c>
      <c r="L71" s="233">
        <f>IF(ISERROR(Model!L35/-Model!L40)," ",Model!L35/-Model!L40)</f>
        <v>51.51768643359636</v>
      </c>
    </row>
    <row r="72" spans="1:20">
      <c r="B72" s="31" t="s">
        <v>602</v>
      </c>
      <c r="C72" s="233" t="str">
        <f>IF(ISERROR(Model!C30/-Model!C40)," ",Model!C30/-Model!C40)</f>
        <v xml:space="preserve"> </v>
      </c>
      <c r="D72" s="233">
        <f>IF(ISERROR(Model!D30/-Model!D40)," ",Model!D30/-Model!D40)</f>
        <v>47.24776568256339</v>
      </c>
      <c r="E72" s="233">
        <f>IF(ISERROR(Model!E30/-Model!E40)," ",Model!E30/-Model!E40)</f>
        <v>150.49911293312684</v>
      </c>
      <c r="F72" s="233">
        <f>IF(ISERROR(Model!F30/-Model!F40)," ",Model!F30/-Model!F40)</f>
        <v>116.16083503484685</v>
      </c>
      <c r="G72" s="233">
        <f>IF(ISERROR(Model!G30/-Model!G40)," ",Model!G30/-Model!G40)</f>
        <v>121.74142362891507</v>
      </c>
      <c r="H72" s="233">
        <f>IF(ISERROR(Model!H30/-Model!H40)," ",Model!H30/-Model!H40)</f>
        <v>37.871042934527722</v>
      </c>
      <c r="I72" s="233">
        <f>IF(ISERROR(Model!I30/-Model!I40)," ",Model!I30/-Model!I40)</f>
        <v>32.87936419004734</v>
      </c>
      <c r="J72" s="233">
        <f>IF(ISERROR(Model!J30/-Model!J40)," ",Model!J30/-Model!J40)</f>
        <v>42.314099242228963</v>
      </c>
      <c r="K72" s="233">
        <f>IF(ISERROR(Model!K30/-Model!K40)," ",Model!K30/-Model!K40)</f>
        <v>44.550514644419692</v>
      </c>
      <c r="L72" s="233">
        <f>IF(ISERROR(Model!L30/-Model!L40)," ",Model!L30/-Model!L40)</f>
        <v>55.369710759377362</v>
      </c>
    </row>
    <row r="73" spans="1:20">
      <c r="B73" s="31" t="s">
        <v>41</v>
      </c>
    </row>
    <row r="74" spans="1:20">
      <c r="B74" s="1189" t="s">
        <v>601</v>
      </c>
      <c r="C74" s="1191"/>
      <c r="D74" s="1191"/>
      <c r="E74" s="1191"/>
      <c r="F74" s="1191"/>
      <c r="G74" s="1191"/>
      <c r="H74" s="1191"/>
      <c r="I74" s="1191"/>
      <c r="J74" s="1191"/>
      <c r="K74" s="1191"/>
      <c r="L74" s="1191"/>
    </row>
    <row r="75" spans="1:20">
      <c r="A75" s="244"/>
      <c r="B75" s="245" t="s">
        <v>600</v>
      </c>
      <c r="C75" s="233" t="str">
        <f>IF(ISERROR(#REF!)," ",#REF!)</f>
        <v xml:space="preserve"> </v>
      </c>
      <c r="D75" s="233" t="str">
        <f>IF(ISERROR(#REF!)," ",#REF!)</f>
        <v xml:space="preserve"> </v>
      </c>
      <c r="E75" s="233" t="str">
        <f>IF(ISERROR(#REF!)," ",#REF!)</f>
        <v xml:space="preserve"> </v>
      </c>
      <c r="F75" s="233" t="str">
        <f>IF(ISERROR(#REF!)," ",#REF!)</f>
        <v xml:space="preserve"> </v>
      </c>
      <c r="G75" s="233" t="str">
        <f>IF(ISERROR(#REF!)," ",#REF!)</f>
        <v xml:space="preserve"> </v>
      </c>
      <c r="H75" s="233" t="str">
        <f>IF(ISERROR(#REF!)," ",#REF!)</f>
        <v xml:space="preserve"> </v>
      </c>
      <c r="I75" s="233" t="str">
        <f>IF(ISERROR(#REF!)," ",#REF!)</f>
        <v xml:space="preserve"> </v>
      </c>
      <c r="J75" s="233" t="str">
        <f>IF(ISERROR(#REF!)," ",#REF!)</f>
        <v xml:space="preserve"> </v>
      </c>
      <c r="K75" s="233" t="str">
        <f>IF(ISERROR(#REF!)," ",#REF!)</f>
        <v xml:space="preserve"> </v>
      </c>
      <c r="L75" s="233" t="str">
        <f>IF(ISERROR(#REF!)," ",#REF!)</f>
        <v xml:space="preserve"> </v>
      </c>
    </row>
    <row r="76" spans="1:20">
      <c r="A76" s="244"/>
      <c r="B76" s="179" t="s">
        <v>599</v>
      </c>
      <c r="C76" s="243">
        <f t="shared" ref="C76:L76" si="4">IF(ISERROR(1/C97)," ",1/C97)</f>
        <v>1</v>
      </c>
      <c r="D76" s="243">
        <f t="shared" si="4"/>
        <v>1</v>
      </c>
      <c r="E76" s="243">
        <f t="shared" si="4"/>
        <v>1</v>
      </c>
      <c r="F76" s="243">
        <f t="shared" si="4"/>
        <v>1</v>
      </c>
      <c r="G76" s="243">
        <f t="shared" si="4"/>
        <v>1</v>
      </c>
      <c r="H76" s="243">
        <f t="shared" si="4"/>
        <v>1</v>
      </c>
      <c r="I76" s="243">
        <f t="shared" si="4"/>
        <v>1</v>
      </c>
      <c r="J76" s="243">
        <f t="shared" si="4"/>
        <v>1</v>
      </c>
      <c r="K76" s="243">
        <f t="shared" si="4"/>
        <v>1</v>
      </c>
      <c r="L76" s="243">
        <f t="shared" si="4"/>
        <v>1</v>
      </c>
    </row>
    <row r="77" spans="1:20" s="204" customFormat="1">
      <c r="A77" s="31"/>
      <c r="B77" s="31" t="s">
        <v>510</v>
      </c>
      <c r="C77" s="242">
        <f>IF(ISERROR(-Model!C68/Model!C57)," ",-Model!C68/Model!C57)</f>
        <v>0</v>
      </c>
      <c r="D77" s="242">
        <f>IF(ISERROR(-Model!D68/Model!D57)," ",-Model!D68/Model!D57)</f>
        <v>0</v>
      </c>
      <c r="E77" s="242">
        <f>IF(ISERROR(-Model!E68/Model!E57)," ",-Model!E68/Model!E57)</f>
        <v>0</v>
      </c>
      <c r="F77" s="242">
        <f>IF(ISERROR(-Model!F68/Model!F57)," ",-Model!F68/Model!F57)</f>
        <v>0</v>
      </c>
      <c r="G77" s="242">
        <f>IF(ISERROR(-Model!G68/Model!G57)," ",-Model!G68/Model!G57)</f>
        <v>1.0059260913983576</v>
      </c>
      <c r="H77" s="242">
        <f>IF(ISERROR(-Model!H68/Model!H57)," ",-Model!H68/Model!H57)</f>
        <v>0.55536867428744796</v>
      </c>
      <c r="I77" s="242">
        <f>IF(ISERROR(-Model!I68/Model!I57)," ",-Model!I68/Model!I57)</f>
        <v>0.49026293422393358</v>
      </c>
      <c r="J77" s="242">
        <f>IF(ISERROR(-Model!J68/Model!J57)," ",-Model!J68/Model!J57)</f>
        <v>0.69139128250222548</v>
      </c>
      <c r="K77" s="242">
        <f>IF(ISERROR(-Model!K68/Model!K57)," ",-Model!K68/Model!K57)</f>
        <v>0.69139128250222548</v>
      </c>
      <c r="L77" s="242">
        <f>IF(ISERROR(-Model!L68/Model!L57)," ",-Model!L68/Model!L57)</f>
        <v>0.69139128250222548</v>
      </c>
      <c r="T77" s="242"/>
    </row>
    <row r="78" spans="1:20">
      <c r="B78" s="31" t="s">
        <v>41</v>
      </c>
    </row>
    <row r="79" spans="1:20">
      <c r="B79" s="1189" t="s">
        <v>598</v>
      </c>
      <c r="C79" s="1191"/>
      <c r="D79" s="1191"/>
      <c r="E79" s="1191"/>
      <c r="F79" s="1191"/>
      <c r="G79" s="1191"/>
      <c r="H79" s="1191"/>
      <c r="I79" s="1191"/>
      <c r="J79" s="1191"/>
      <c r="K79" s="1191"/>
      <c r="L79" s="1191"/>
    </row>
    <row r="80" spans="1:20" s="204" customFormat="1">
      <c r="A80" s="31"/>
      <c r="B80" s="31" t="s">
        <v>597</v>
      </c>
      <c r="C80" s="175">
        <f>IF(ISERROR(-Model!C207/Model!C13)," ",-Model!C207/Model!C13)</f>
        <v>0.11795154496387168</v>
      </c>
      <c r="D80" s="175">
        <f>IF(ISERROR(-Model!D207/Model!D13)," ",-Model!D207/Model!D13)</f>
        <v>0.12901522211391925</v>
      </c>
      <c r="E80" s="175">
        <f>IF(ISERROR(-Model!E207/Model!E13)," ",-Model!E207/Model!E13)</f>
        <v>0.1207652052213543</v>
      </c>
      <c r="F80" s="175">
        <f>IF(ISERROR(-Model!F207/Model!F13)," ",-Model!F207/Model!F13)</f>
        <v>0.13015397427485792</v>
      </c>
      <c r="G80" s="175">
        <f>IF(ISERROR(-Model!G207/Model!G13)," ",-Model!G207/Model!G13)</f>
        <v>8.7345872395748245E-2</v>
      </c>
      <c r="H80" s="175">
        <f>IF(ISERROR(-Model!H207/Model!H13)," ",-Model!H207/Model!H13)</f>
        <v>9.3198841792920484E-2</v>
      </c>
      <c r="I80" s="175">
        <f>IF(ISERROR(-Model!I207/Model!I13)," ",-Model!I207/Model!I13)</f>
        <v>8.1482767180443894E-2</v>
      </c>
      <c r="J80" s="175">
        <f>IF(ISERROR(-Model!J207/Model!J13)," ",-Model!J207/Model!J13)</f>
        <v>0.10654059576452993</v>
      </c>
      <c r="K80" s="175">
        <f>IF(ISERROR(-Model!K207/Model!K13)," ",-Model!K207/Model!K13)</f>
        <v>0.11785723217114172</v>
      </c>
      <c r="L80" s="175">
        <f>IF(ISERROR(-Model!L207/Model!L13)," ",-Model!L207/Model!L13)</f>
        <v>0.11685723217114172</v>
      </c>
      <c r="T80" s="242"/>
    </row>
    <row r="81" spans="1:20" s="204" customFormat="1">
      <c r="A81" s="31"/>
      <c r="B81" s="31" t="s">
        <v>596</v>
      </c>
      <c r="C81" s="175">
        <f>IF(ISERROR((Model!C134-Model!C151)/Model!C13)," ",(Model!C134-Model!C151)/Model!C13)</f>
        <v>-4.7200767027980386E-2</v>
      </c>
      <c r="D81" s="175">
        <f>IF(ISERROR((Model!D134-Model!D151)/Model!D13)," ",(Model!D134-Model!D151)/Model!D13)</f>
        <v>-9.0298373090660827E-2</v>
      </c>
      <c r="E81" s="175">
        <f>IF(ISERROR((Model!E134-Model!E151)/Model!E13)," ",(Model!E134-Model!E151)/Model!E13)</f>
        <v>-1.120090170515631E-4</v>
      </c>
      <c r="F81" s="175">
        <f>IF(ISERROR((Model!F134-Model!F151)/Model!F13)," ",(Model!F134-Model!F151)/Model!F13)</f>
        <v>-3.4491443316773694E-2</v>
      </c>
      <c r="G81" s="175">
        <f>IF(ISERROR((Model!G134-Model!G151)/Model!G13)," ",(Model!G134-Model!G151)/Model!G13)</f>
        <v>-8.0764605456324717E-2</v>
      </c>
      <c r="H81" s="175">
        <f>IF(ISERROR((Model!H134-Model!H151)/Model!H13)," ",(Model!H134-Model!H151)/Model!H13)</f>
        <v>6.3547018075117298E-2</v>
      </c>
      <c r="I81" s="175">
        <f>IF(ISERROR((Model!I134-Model!I151)/Model!I13)," ",(Model!I134-Model!I151)/Model!I13)</f>
        <v>6.4035791222538538E-2</v>
      </c>
      <c r="J81" s="175">
        <f>IF(ISERROR((Model!J134-Model!J151)/Model!J13)," ",(Model!J134-Model!J151)/Model!J13)</f>
        <v>-0.13507407801059493</v>
      </c>
      <c r="K81" s="175">
        <f>IF(ISERROR((Model!K134-Model!K151)/Model!K13)," ",(Model!K134-Model!K151)/Model!K13)</f>
        <v>-0.13811968992193024</v>
      </c>
      <c r="L81" s="175">
        <f>IF(ISERROR((Model!L134-Model!L151)/Model!L13)," ",(Model!L134-Model!L151)/Model!L13)</f>
        <v>-0.14670629786845357</v>
      </c>
      <c r="T81" s="242"/>
    </row>
    <row r="82" spans="1:20" s="204" customFormat="1">
      <c r="A82" s="31"/>
      <c r="B82" s="179" t="s">
        <v>595</v>
      </c>
      <c r="C82" s="175">
        <f>IF(ISERROR(-Model!C33/Model!C13)," ",-Model!C33/Model!C13)</f>
        <v>0</v>
      </c>
      <c r="D82" s="175">
        <f>IF(ISERROR(-Model!D33/Model!D13)," ",-Model!D33/Model!D13)</f>
        <v>2.5632478094001303E-2</v>
      </c>
      <c r="E82" s="175">
        <f>IF(ISERROR(-Model!E33/Model!E13)," ",-Model!E33/Model!E13)</f>
        <v>2.4277145556731737E-2</v>
      </c>
      <c r="F82" s="175">
        <f>IF(ISERROR(-Model!F33/Model!F13)," ",-Model!F33/Model!F13)</f>
        <v>2.5125589910832698E-2</v>
      </c>
      <c r="G82" s="175">
        <f>IF(ISERROR(-Model!G33/Model!G13)," ",-Model!G33/Model!G13)</f>
        <v>2.4807867691508827E-2</v>
      </c>
      <c r="H82" s="175">
        <f>IF(ISERROR(-Model!H33/Model!H13)," ",-Model!H33/Model!H13)</f>
        <v>2.4924315994575577E-2</v>
      </c>
      <c r="I82" s="175">
        <f>IF(ISERROR(-Model!I33/Model!I13)," ",-Model!I33/Model!I13)</f>
        <v>2.1459962226300131E-2</v>
      </c>
      <c r="J82" s="175">
        <f>IF(ISERROR(-Model!J33/Model!J13)," ",-Model!J33/Model!J13)</f>
        <v>2.057798885890581E-2</v>
      </c>
      <c r="K82" s="175">
        <f>IF(ISERROR(-Model!K33/Model!K13)," ",-Model!K33/Model!K13)</f>
        <v>1.8701331471939305E-2</v>
      </c>
      <c r="L82" s="175">
        <f>IF(ISERROR(-Model!L33/Model!L13)," ",-Model!L33/Model!L13)</f>
        <v>1.863309646167511E-2</v>
      </c>
      <c r="T82" s="242"/>
    </row>
    <row r="83" spans="1:20">
      <c r="B83" s="179" t="s">
        <v>594</v>
      </c>
      <c r="C83" s="243">
        <f>IF(ISERROR((Model!C204-Model!C55)/Model!C70)," ",(Model!C204-Model!C55)/Model!C70)</f>
        <v>1.2578469523543674</v>
      </c>
      <c r="D83" s="243">
        <f>IF(ISERROR((Model!D204-Model!D55)/Model!D70)," ",(Model!D204-Model!D55)/Model!D70)</f>
        <v>0.4284388467912088</v>
      </c>
      <c r="E83" s="243">
        <f>IF(ISERROR((Model!E204-Model!E55)/Model!E70)," ",(Model!E204-Model!E55)/Model!E70)</f>
        <v>2.5875671691025643</v>
      </c>
      <c r="F83" s="243">
        <f>IF(ISERROR((Model!F204-Model!F55)/Model!F70)," ",(Model!F204-Model!F55)/Model!F70)</f>
        <v>2.8640238311324788</v>
      </c>
      <c r="G83" s="243">
        <f>IF(ISERROR((Model!G204-Model!G55)/Model!G70)," ",(Model!G204-Model!G55)/Model!G70)</f>
        <v>3.9938309958981795</v>
      </c>
      <c r="H83" s="243">
        <f>IF(ISERROR((Model!H204-Model!H55)/Model!H70)," ",(Model!H204-Model!H55)/Model!H70)</f>
        <v>3.8962586333995493</v>
      </c>
      <c r="I83" s="243">
        <f>IF(ISERROR((Model!I204-Model!I55)/Model!I70)," ",(Model!I204-Model!I55)/Model!I70)</f>
        <v>6.3099761979988962</v>
      </c>
      <c r="J83" s="243">
        <f>IF(ISERROR((Model!J204-Model!J55)/Model!J70)," ",(Model!J204-Model!J55)/Model!J70)</f>
        <v>11.133199571049184</v>
      </c>
      <c r="K83" s="243">
        <f>IF(ISERROR((Model!K204-Model!K55)/Model!K70)," ",(Model!K204-Model!K55)/Model!K70)</f>
        <v>10.797655627102305</v>
      </c>
      <c r="L83" s="243">
        <f>IF(ISERROR((Model!L204-Model!L55)/Model!L70)," ",(Model!L204-Model!L55)/Model!L70)</f>
        <v>12.789033864497631</v>
      </c>
    </row>
    <row r="84" spans="1:20" s="204" customFormat="1">
      <c r="A84" s="31"/>
      <c r="B84" s="179" t="s">
        <v>593</v>
      </c>
      <c r="C84" s="175">
        <f>IF(ISERROR(Model!C130/Model!C163)," ",Model!C130/Model!C163)</f>
        <v>0.22221078092050053</v>
      </c>
      <c r="D84" s="175">
        <f>IF(ISERROR(Model!D130/Model!D163)," ",Model!D130/Model!D163)</f>
        <v>0.31215503154907942</v>
      </c>
      <c r="E84" s="175">
        <f>IF(ISERROR(Model!E130/Model!E163)," ",Model!E130/Model!E163)</f>
        <v>0.57797624849329821</v>
      </c>
      <c r="F84" s="175">
        <f>IF(ISERROR(Model!F130/Model!F163)," ",Model!F130/Model!F163)</f>
        <v>0.64019419095585584</v>
      </c>
      <c r="G84" s="175">
        <f>IF(ISERROR(Model!G130/Model!G163)," ",Model!G130/Model!G163)</f>
        <v>0.24046103222125823</v>
      </c>
      <c r="H84" s="175">
        <f>IF(ISERROR(Model!H130/Model!H163)," ",Model!H130/Model!H163)</f>
        <v>0.42603406062974403</v>
      </c>
      <c r="I84" s="175">
        <f>IF(ISERROR(Model!I130/Model!I163)," ",Model!I130/Model!I163)</f>
        <v>0.95792598118402328</v>
      </c>
      <c r="J84" s="175">
        <f>IF(ISERROR(Model!J130/Model!J163)," ",Model!J130/Model!J163)</f>
        <v>0.73526193046638721</v>
      </c>
      <c r="K84" s="175">
        <f>IF(ISERROR(Model!K130/Model!K163)," ",Model!K130/Model!K163)</f>
        <v>0.81172381595566501</v>
      </c>
      <c r="L84" s="175">
        <f>IF(ISERROR(Model!L130/Model!L163)," ",Model!L130/Model!L163)</f>
        <v>0.71951779648656977</v>
      </c>
      <c r="T84" s="242"/>
    </row>
    <row r="85" spans="1:20">
      <c r="B85" s="179" t="s">
        <v>592</v>
      </c>
      <c r="C85" s="233">
        <f>IF(ISERROR(Model!C130/Model!C70)," ",Model!C130/Model!C70)</f>
        <v>1.2834576650132574</v>
      </c>
      <c r="D85" s="233">
        <f>IF(ISERROR(Model!D130/Model!D70)," ",Model!D130/Model!D70)</f>
        <v>0.7457033596043956</v>
      </c>
      <c r="E85" s="233">
        <f>IF(ISERROR(Model!E130/Model!E70)," ",Model!E130/Model!E70)</f>
        <v>2.0194352588461539</v>
      </c>
      <c r="F85" s="233">
        <f>IF(ISERROR(Model!F130/Model!F70)," ",Model!F130/Model!F70)</f>
        <v>2.6172087526068379</v>
      </c>
      <c r="G85" s="233">
        <f>IF(ISERROR(Model!G130/Model!G70)," ",Model!G130/Model!G70)</f>
        <v>1.9597664716074406</v>
      </c>
      <c r="H85" s="233">
        <f>IF(ISERROR(Model!H130/Model!H70)," ",Model!H130/Model!H70)</f>
        <v>4.1490510114362529</v>
      </c>
      <c r="I85" s="233">
        <f>IF(ISERROR(Model!I130/Model!I70)," ",Model!I130/Model!I70)</f>
        <v>11.649116352225809</v>
      </c>
      <c r="J85" s="233">
        <f>IF(ISERROR(Model!J130/Model!J70)," ",Model!J130/Model!J70)</f>
        <v>10.870015024932068</v>
      </c>
      <c r="K85" s="233">
        <f>IF(ISERROR(Model!K130/Model!K70)," ",Model!K130/Model!K70)</f>
        <v>14.198470901360748</v>
      </c>
      <c r="L85" s="233">
        <f>IF(ISERROR(Model!L130/Model!L70)," ",Model!L130/Model!L70)</f>
        <v>15.000695106443107</v>
      </c>
    </row>
    <row r="86" spans="1:20">
      <c r="B86" s="179" t="s">
        <v>591</v>
      </c>
      <c r="C86" s="233">
        <f>IF(ISERROR(Model!C13/Model!C139)," ",Model!C13/Model!C139)</f>
        <v>3.6745816359532784</v>
      </c>
      <c r="D86" s="233">
        <f>IF(ISERROR(Model!D13/Model!D139)," ",Model!D13/Model!D139)</f>
        <v>2.7417512324394382</v>
      </c>
      <c r="E86" s="233">
        <f>IF(ISERROR(Model!E13/Model!E139)," ",Model!E13/Model!E139)</f>
        <v>3.0288313038017178</v>
      </c>
      <c r="F86" s="233">
        <f>IF(ISERROR(Model!F13/Model!F139)," ",Model!F13/Model!F139)</f>
        <v>2.6649328778469359</v>
      </c>
      <c r="G86" s="233">
        <f>IF(ISERROR(Model!G13/Model!G139)," ",Model!G13/Model!G139)</f>
        <v>3.328702060632593</v>
      </c>
      <c r="H86" s="233">
        <f>IF(ISERROR(Model!H13/Model!H139)," ",Model!H13/Model!H139)</f>
        <v>3.0799043544486406</v>
      </c>
      <c r="I86" s="233">
        <f>IF(ISERROR(Model!I13/Model!I139)," ",Model!I13/Model!I139)</f>
        <v>3.411658820091533</v>
      </c>
      <c r="J86" s="233">
        <f>IF(ISERROR(Model!J13/Model!J139)," ",Model!J13/Model!J139)</f>
        <v>3.7499686580859777</v>
      </c>
      <c r="K86" s="233">
        <f>IF(ISERROR(Model!K13/Model!K139)," ",Model!K13/Model!K139)</f>
        <v>3.5397461408453115</v>
      </c>
      <c r="L86" s="233">
        <f>IF(ISERROR(Model!L13/Model!L139)," ",Model!L13/Model!L139)</f>
        <v>3.1764914383963525</v>
      </c>
    </row>
    <row r="87" spans="1:20">
      <c r="B87" s="179" t="s">
        <v>590</v>
      </c>
      <c r="C87" s="233">
        <f>IF(ISERROR(Model!C145/Model!C163)," ",Model!C145/Model!C163)</f>
        <v>2.3544708895401629</v>
      </c>
      <c r="D87" s="233">
        <f>IF(ISERROR(Model!D145/Model!D163)," ",Model!D145/Model!D163)</f>
        <v>1.9389460654234838</v>
      </c>
      <c r="E87" s="233">
        <f>IF(ISERROR(Model!E145/Model!E163)," ",Model!E145/Model!E163)</f>
        <v>2.0430157632202248</v>
      </c>
      <c r="F87" s="233">
        <f>IF(ISERROR(Model!F145/Model!F163)," ",Model!F145/Model!F163)</f>
        <v>2.2795132522596422</v>
      </c>
      <c r="G87" s="233">
        <f>IF(ISERROR(Model!G145/Model!G163)," ",Model!G145/Model!G163)</f>
        <v>1.8381926359107488</v>
      </c>
      <c r="H87" s="233">
        <f>IF(ISERROR(Model!H145/Model!H163)," ",Model!H145/Model!H163)</f>
        <v>2.3437926967806613</v>
      </c>
      <c r="I87" s="233">
        <f>IF(ISERROR(Model!I145/Model!I163)," ",Model!I145/Model!I163)</f>
        <v>2.3261564192344331</v>
      </c>
      <c r="J87" s="233">
        <f>IF(ISERROR(Model!J145/Model!J163)," ",Model!J145/Model!J163)</f>
        <v>2.9496457097895412</v>
      </c>
      <c r="K87" s="233">
        <f>IF(ISERROR(Model!K145/Model!K163)," ",Model!K145/Model!K163)</f>
        <v>2.9634744476556398</v>
      </c>
      <c r="L87" s="233">
        <f>IF(ISERROR(Model!L145/Model!L163)," ",Model!L145/Model!L163)</f>
        <v>2.7895593967224492</v>
      </c>
    </row>
    <row r="88" spans="1:20">
      <c r="B88" s="179" t="s">
        <v>589</v>
      </c>
      <c r="C88" s="233">
        <f>IF(ISERROR(Model!C148/Model!C153)," ",Model!C148/Model!C153)</f>
        <v>3.5714285714285716</v>
      </c>
      <c r="D88" s="233">
        <f>IF(ISERROR(Model!D148/Model!D153)," ",Model!D148/Model!D153)</f>
        <v>3.0959568945999996</v>
      </c>
      <c r="E88" s="233">
        <f>IF(ISERROR(Model!E148/Model!E153)," ",Model!E148/Model!E153)</f>
        <v>4.221635883905013E-2</v>
      </c>
      <c r="F88" s="233">
        <f>IF(ISERROR(Model!F148/Model!F153)," ",Model!F148/Model!F153)</f>
        <v>0.36456840078252867</v>
      </c>
      <c r="G88" s="233">
        <f>IF(ISERROR(Model!G148/Model!G153)," ",Model!G148/Model!G153)</f>
        <v>24.143272023233301</v>
      </c>
      <c r="H88" s="233" t="str">
        <f>IF(ISERROR(Model!H148/Model!H153)," ",Model!H148/Model!H153)</f>
        <v xml:space="preserve"> </v>
      </c>
      <c r="I88" s="233">
        <f>IF(ISERROR(Model!I148/Model!I153)," ",Model!I148/Model!I153)</f>
        <v>13.616843496045455</v>
      </c>
      <c r="J88" s="233" t="str">
        <f>IF(ISERROR(Model!J148/Model!J153)," ",Model!J148/Model!J153)</f>
        <v xml:space="preserve"> </v>
      </c>
      <c r="K88" s="233" t="str">
        <f>IF(ISERROR(Model!K148/Model!K153)," ",Model!K148/Model!K153)</f>
        <v xml:space="preserve"> </v>
      </c>
      <c r="L88" s="233" t="str">
        <f>IF(ISERROR(Model!L148/Model!L153)," ",Model!L148/Model!L153)</f>
        <v xml:space="preserve"> </v>
      </c>
    </row>
    <row r="89" spans="1:20" s="204" customFormat="1">
      <c r="A89" s="31"/>
      <c r="B89" s="179" t="s">
        <v>508</v>
      </c>
      <c r="C89" s="175">
        <f>+CROCI!C55</f>
        <v>0.18363725132611711</v>
      </c>
      <c r="D89" s="175">
        <f>+CROCI!D55</f>
        <v>0.2101159963478216</v>
      </c>
      <c r="E89" s="175">
        <f>+CROCI!E55</f>
        <v>0.27984259812761891</v>
      </c>
      <c r="F89" s="175">
        <f>+CROCI!F55</f>
        <v>0.25349967302981768</v>
      </c>
      <c r="G89" s="175">
        <f>+CROCI!G55</f>
        <v>0.22020910922365641</v>
      </c>
      <c r="H89" s="175">
        <f>+CROCI!H55</f>
        <v>0.17066402293225452</v>
      </c>
      <c r="I89" s="175">
        <f>+CROCI!I55</f>
        <v>0.1780861217034829</v>
      </c>
      <c r="J89" s="175">
        <f>+CROCI!J55</f>
        <v>0.18563710229031344</v>
      </c>
      <c r="K89" s="175">
        <f>+CROCI!K55</f>
        <v>0.21345807056292673</v>
      </c>
      <c r="L89" s="175">
        <f>+CROCI!L55</f>
        <v>0.22996383584724883</v>
      </c>
      <c r="T89" s="242"/>
    </row>
    <row r="91" spans="1:20">
      <c r="B91" s="31" t="str">
        <f>Model!B70</f>
        <v>Weighted avg. adj. shares outstanding (mn)</v>
      </c>
      <c r="C91" s="233">
        <f>Model!C70</f>
        <v>150.81970000000001</v>
      </c>
      <c r="D91" s="233">
        <f>Model!D70</f>
        <v>455</v>
      </c>
      <c r="E91" s="233">
        <f>Model!E70</f>
        <v>468</v>
      </c>
      <c r="F91" s="233">
        <f>Model!F70</f>
        <v>468</v>
      </c>
      <c r="G91" s="233">
        <f>Model!G70</f>
        <v>520.01300000000003</v>
      </c>
      <c r="H91" s="233">
        <f>Model!H70</f>
        <v>520.01300000000003</v>
      </c>
      <c r="I91" s="233">
        <f>Model!I70</f>
        <v>520.01300000000003</v>
      </c>
      <c r="J91" s="233">
        <f>Model!J70</f>
        <v>520.01300000000003</v>
      </c>
      <c r="K91" s="233">
        <f>Model!K70</f>
        <v>520.01300000000003</v>
      </c>
      <c r="L91" s="233">
        <f>Model!L70</f>
        <v>520.01300000000003</v>
      </c>
    </row>
    <row r="92" spans="1:20">
      <c r="B92" s="31" t="str">
        <f>Model!B71</f>
        <v>Fully diluted shares outstanding (mn)</v>
      </c>
      <c r="C92" s="233">
        <f>Model!C71</f>
        <v>150.81970000000001</v>
      </c>
      <c r="D92" s="233">
        <f>Model!D71</f>
        <v>455</v>
      </c>
      <c r="E92" s="233">
        <f>Model!E71</f>
        <v>468</v>
      </c>
      <c r="F92" s="233">
        <f>Model!F71</f>
        <v>468</v>
      </c>
      <c r="G92" s="233">
        <f>Model!G71</f>
        <v>520.01300000000003</v>
      </c>
      <c r="H92" s="233">
        <f>Model!H71</f>
        <v>520.01300000000003</v>
      </c>
      <c r="I92" s="233">
        <f>Model!I71</f>
        <v>520.01300000000003</v>
      </c>
      <c r="J92" s="233">
        <f>Model!J71</f>
        <v>520.01300000000003</v>
      </c>
      <c r="K92" s="233">
        <f>Model!K71</f>
        <v>520.01300000000003</v>
      </c>
      <c r="L92" s="233">
        <f>Model!L71</f>
        <v>520.01300000000003</v>
      </c>
    </row>
    <row r="93" spans="1:20">
      <c r="B93" s="179" t="s">
        <v>588</v>
      </c>
      <c r="C93" s="233" t="e">
        <f>#REF!</f>
        <v>#REF!</v>
      </c>
      <c r="D93" s="233" t="e">
        <f>#REF!</f>
        <v>#REF!</v>
      </c>
      <c r="E93" s="233" t="e">
        <f>#REF!</f>
        <v>#REF!</v>
      </c>
      <c r="F93" s="233" t="e">
        <f>#REF!</f>
        <v>#REF!</v>
      </c>
      <c r="G93" s="233" t="e">
        <f>#REF!</f>
        <v>#REF!</v>
      </c>
      <c r="H93" s="233" t="e">
        <f>#REF!</f>
        <v>#REF!</v>
      </c>
      <c r="I93" s="233" t="e">
        <f>#REF!</f>
        <v>#REF!</v>
      </c>
      <c r="J93" s="233" t="e">
        <f>#REF!</f>
        <v>#REF!</v>
      </c>
      <c r="K93" s="233" t="e">
        <f>#REF!</f>
        <v>#REF!</v>
      </c>
      <c r="L93" s="233" t="e">
        <f>#REF!</f>
        <v>#REF!</v>
      </c>
    </row>
    <row r="94" spans="1:20">
      <c r="B94" s="179"/>
    </row>
    <row r="95" spans="1:20" s="66" customFormat="1">
      <c r="A95" s="67"/>
      <c r="B95" s="1192" t="s">
        <v>587</v>
      </c>
      <c r="C95" s="1193" t="str">
        <f t="shared" ref="C95:L95" si="5">+C5</f>
        <v>2017</v>
      </c>
      <c r="D95" s="1193" t="str">
        <f t="shared" si="5"/>
        <v>2018</v>
      </c>
      <c r="E95" s="1193" t="str">
        <f t="shared" si="5"/>
        <v>2019</v>
      </c>
      <c r="F95" s="1193" t="str">
        <f t="shared" si="5"/>
        <v>2020E</v>
      </c>
      <c r="G95" s="1193" t="str">
        <f t="shared" si="5"/>
        <v>2021E</v>
      </c>
      <c r="H95" s="1193" t="str">
        <f t="shared" si="5"/>
        <v>2022E</v>
      </c>
      <c r="I95" s="1193" t="str">
        <f t="shared" si="5"/>
        <v>2023E</v>
      </c>
      <c r="J95" s="1193" t="str">
        <f t="shared" si="5"/>
        <v>2024E</v>
      </c>
      <c r="K95" s="1193" t="str">
        <f t="shared" si="5"/>
        <v>2025E</v>
      </c>
      <c r="L95" s="1193" t="str">
        <f t="shared" si="5"/>
        <v>2026E</v>
      </c>
      <c r="T95" s="235"/>
    </row>
    <row r="96" spans="1:20">
      <c r="B96" s="239" t="s">
        <v>586</v>
      </c>
    </row>
    <row r="97" spans="1:23" s="66" customFormat="1">
      <c r="A97" s="240"/>
      <c r="B97" s="240" t="s">
        <v>585</v>
      </c>
      <c r="C97" s="238">
        <v>1</v>
      </c>
      <c r="D97" s="238">
        <v>1</v>
      </c>
      <c r="E97" s="238">
        <v>1</v>
      </c>
      <c r="F97" s="238">
        <v>1</v>
      </c>
      <c r="G97" s="238">
        <v>1</v>
      </c>
      <c r="H97" s="238">
        <v>1</v>
      </c>
      <c r="I97" s="238">
        <v>1</v>
      </c>
      <c r="J97" s="238">
        <v>1</v>
      </c>
      <c r="K97" s="238">
        <v>1</v>
      </c>
      <c r="L97" s="238">
        <v>1</v>
      </c>
      <c r="T97" s="235"/>
    </row>
    <row r="98" spans="1:23" s="66" customFormat="1">
      <c r="A98" s="240"/>
      <c r="B98" s="240" t="s">
        <v>584</v>
      </c>
      <c r="C98" s="238">
        <v>1</v>
      </c>
      <c r="D98" s="238">
        <v>1</v>
      </c>
      <c r="E98" s="238">
        <v>1</v>
      </c>
      <c r="F98" s="238">
        <v>1</v>
      </c>
      <c r="G98" s="238">
        <v>1</v>
      </c>
      <c r="H98" s="238">
        <v>1</v>
      </c>
      <c r="I98" s="238">
        <v>1</v>
      </c>
      <c r="J98" s="238">
        <v>1</v>
      </c>
      <c r="K98" s="238">
        <v>1</v>
      </c>
      <c r="L98" s="238">
        <v>1</v>
      </c>
      <c r="T98" s="235"/>
    </row>
    <row r="99" spans="1:23" s="66" customFormat="1">
      <c r="A99" s="240"/>
      <c r="B99" s="240" t="s">
        <v>583</v>
      </c>
      <c r="C99" s="238">
        <v>1</v>
      </c>
      <c r="D99" s="238">
        <v>1</v>
      </c>
      <c r="E99" s="238">
        <v>1</v>
      </c>
      <c r="F99" s="238">
        <v>1</v>
      </c>
      <c r="G99" s="238">
        <v>1</v>
      </c>
      <c r="H99" s="238">
        <v>1</v>
      </c>
      <c r="I99" s="238">
        <v>1</v>
      </c>
      <c r="J99" s="238">
        <v>1</v>
      </c>
      <c r="K99" s="238">
        <v>1</v>
      </c>
      <c r="L99" s="238">
        <v>1</v>
      </c>
      <c r="T99" s="235"/>
    </row>
    <row r="100" spans="1:23" s="66" customFormat="1">
      <c r="A100" s="67"/>
      <c r="B100" s="67" t="s">
        <v>582</v>
      </c>
      <c r="C100" s="241" t="e">
        <f>#REF!</f>
        <v>#REF!</v>
      </c>
      <c r="D100" s="241" t="e">
        <f t="shared" ref="D100:L100" si="6">C100</f>
        <v>#REF!</v>
      </c>
      <c r="E100" s="241" t="e">
        <f t="shared" si="6"/>
        <v>#REF!</v>
      </c>
      <c r="F100" s="241" t="e">
        <f t="shared" si="6"/>
        <v>#REF!</v>
      </c>
      <c r="G100" s="241" t="e">
        <f t="shared" si="6"/>
        <v>#REF!</v>
      </c>
      <c r="H100" s="241" t="e">
        <f t="shared" si="6"/>
        <v>#REF!</v>
      </c>
      <c r="I100" s="241" t="e">
        <f t="shared" si="6"/>
        <v>#REF!</v>
      </c>
      <c r="J100" s="241" t="e">
        <f t="shared" si="6"/>
        <v>#REF!</v>
      </c>
      <c r="K100" s="241" t="e">
        <f t="shared" si="6"/>
        <v>#REF!</v>
      </c>
      <c r="L100" s="241" t="e">
        <f t="shared" si="6"/>
        <v>#REF!</v>
      </c>
      <c r="T100" s="235"/>
    </row>
    <row r="101" spans="1:23" s="66" customFormat="1">
      <c r="A101" s="240"/>
      <c r="B101" s="240"/>
      <c r="C101" s="237"/>
      <c r="D101" s="237"/>
      <c r="E101" s="237"/>
      <c r="F101" s="237"/>
      <c r="G101" s="237"/>
      <c r="H101" s="237"/>
      <c r="I101" s="237"/>
      <c r="J101" s="237"/>
      <c r="K101" s="237"/>
      <c r="L101" s="237"/>
      <c r="T101" s="235"/>
    </row>
    <row r="102" spans="1:23" s="66" customFormat="1">
      <c r="A102" s="240"/>
      <c r="B102" s="239" t="s">
        <v>581</v>
      </c>
      <c r="C102" s="237"/>
      <c r="D102" s="237"/>
      <c r="E102" s="237"/>
      <c r="F102" s="237"/>
      <c r="G102" s="237"/>
      <c r="H102" s="237"/>
      <c r="I102" s="237"/>
      <c r="J102" s="237"/>
      <c r="K102" s="237"/>
      <c r="L102" s="237"/>
      <c r="T102" s="235"/>
    </row>
    <row r="103" spans="1:23" s="66" customFormat="1">
      <c r="A103" s="67"/>
      <c r="B103" s="67" t="s">
        <v>580</v>
      </c>
      <c r="C103" s="238"/>
      <c r="D103" s="238"/>
      <c r="E103" s="238"/>
      <c r="F103" s="238"/>
      <c r="G103" s="238"/>
      <c r="H103" s="238"/>
      <c r="I103" s="238"/>
      <c r="J103" s="238"/>
      <c r="K103" s="238"/>
      <c r="L103" s="238"/>
      <c r="T103" s="235"/>
    </row>
    <row r="104" spans="1:23" s="66" customFormat="1">
      <c r="A104" s="67"/>
      <c r="B104" s="67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6"/>
      <c r="N104" s="236"/>
      <c r="O104" s="236"/>
      <c r="P104" s="236"/>
      <c r="Q104" s="236"/>
      <c r="R104" s="236"/>
      <c r="S104" s="236"/>
      <c r="T104" s="235"/>
    </row>
    <row r="105" spans="1:23" ht="14.25">
      <c r="B105" s="1189" t="s">
        <v>579</v>
      </c>
      <c r="C105" s="1191"/>
      <c r="D105" s="1191"/>
      <c r="E105" s="1191"/>
      <c r="F105" s="1191"/>
      <c r="G105" s="1191"/>
      <c r="H105" s="1191"/>
      <c r="I105" s="1191"/>
      <c r="J105" s="1191"/>
      <c r="K105" s="1191"/>
      <c r="L105" s="1191"/>
      <c r="M105"/>
      <c r="N105"/>
      <c r="O105"/>
      <c r="P105"/>
      <c r="Q105"/>
      <c r="R105"/>
      <c r="S105"/>
    </row>
    <row r="106" spans="1:23" ht="14.25">
      <c r="M106"/>
      <c r="N106"/>
      <c r="O106"/>
      <c r="P106"/>
      <c r="Q106"/>
      <c r="R106"/>
      <c r="S106"/>
    </row>
    <row r="107" spans="1:23" ht="14.25">
      <c r="M107"/>
      <c r="N107"/>
      <c r="O107"/>
      <c r="P107"/>
      <c r="Q107"/>
      <c r="R107"/>
      <c r="S107"/>
    </row>
    <row r="111" spans="1:23">
      <c r="U111" s="233"/>
      <c r="V111" s="233"/>
      <c r="W111" s="233"/>
    </row>
  </sheetData>
  <dataValidations count="1">
    <dataValidation allowBlank="1" sqref="A1:A3" xr:uid="{00000000-0002-0000-0E00-000000000000}"/>
  </dataValidations>
  <hyperlinks>
    <hyperlink ref="A1" location="'Cover Sheet'!A1" display="Back to Cover Sheet" xr:uid="{00000000-0004-0000-0E00-000000000000}"/>
  </hyperlinks>
  <printOptions horizontalCentered="1" verticalCentered="1"/>
  <pageMargins left="0.3" right="0.3" top="0.3" bottom="0.3" header="0.3" footer="0.3"/>
  <pageSetup paperSize="9" scale="24" fitToHeight="2" orientation="landscape" errors="blank" r:id="rId1"/>
  <headerFooter alignWithMargins="0"/>
  <customProperties>
    <customPr name="Qube.Worksheet.ID" r:id="rId2"/>
    <customPr name="Qube.Worksheet.Visibility" r:id="rId3"/>
  </customProperties>
  <legacy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9394-A6F7-4D44-82F0-ABEB3EF31FE1}">
  <dimension ref="C3:K21"/>
  <sheetViews>
    <sheetView workbookViewId="0"/>
  </sheetViews>
  <sheetFormatPr defaultRowHeight="14.25"/>
  <cols>
    <col min="3" max="5" width="15" customWidth="1"/>
    <col min="6" max="6" width="24" customWidth="1"/>
    <col min="7" max="8" width="15" customWidth="1"/>
  </cols>
  <sheetData>
    <row r="3" spans="3:11">
      <c r="C3" t="s">
        <v>1397</v>
      </c>
      <c r="D3" t="s">
        <v>656</v>
      </c>
      <c r="E3" t="s">
        <v>1396</v>
      </c>
      <c r="F3" t="s">
        <v>1395</v>
      </c>
      <c r="G3" t="s">
        <v>1394</v>
      </c>
      <c r="H3" t="s">
        <v>1383</v>
      </c>
      <c r="I3" t="s">
        <v>1393</v>
      </c>
      <c r="J3" t="s">
        <v>1392</v>
      </c>
    </row>
    <row r="4" spans="3:11">
      <c r="C4" t="s">
        <v>1391</v>
      </c>
      <c r="D4" s="1402">
        <v>42853</v>
      </c>
      <c r="E4" t="s">
        <v>1388</v>
      </c>
      <c r="F4" s="1399">
        <v>297.5</v>
      </c>
      <c r="G4">
        <f>F4/H4</f>
        <v>12.817750969409737</v>
      </c>
      <c r="H4" s="1399">
        <v>23.21</v>
      </c>
      <c r="I4" s="1399"/>
      <c r="J4" s="1403">
        <v>8.5000000000000006E-2</v>
      </c>
    </row>
    <row r="5" spans="3:11">
      <c r="C5" t="s">
        <v>1390</v>
      </c>
      <c r="D5" s="1402">
        <v>42998</v>
      </c>
      <c r="E5" t="s">
        <v>1388</v>
      </c>
      <c r="F5" s="1399">
        <v>52.5</v>
      </c>
      <c r="G5">
        <f>F5/H5</f>
        <v>2.2619560534252479</v>
      </c>
      <c r="H5" s="1399">
        <v>23.21</v>
      </c>
      <c r="I5" s="1399">
        <v>35</v>
      </c>
      <c r="J5" s="1401">
        <v>0.1</v>
      </c>
    </row>
    <row r="6" spans="3:11">
      <c r="C6" t="s">
        <v>1389</v>
      </c>
      <c r="D6" s="1402">
        <v>43583</v>
      </c>
      <c r="E6" t="s">
        <v>1388</v>
      </c>
      <c r="F6" s="1399">
        <v>5.7142999999999997</v>
      </c>
      <c r="G6">
        <f>F6/H6</f>
        <v>1.0007530647985989</v>
      </c>
      <c r="H6" s="1399">
        <v>5.71</v>
      </c>
      <c r="I6" s="1399">
        <v>36</v>
      </c>
      <c r="J6" s="1401">
        <v>0.1</v>
      </c>
      <c r="K6" t="s">
        <v>1387</v>
      </c>
    </row>
    <row r="7" spans="3:11">
      <c r="F7" t="s">
        <v>1386</v>
      </c>
      <c r="K7" t="s">
        <v>1385</v>
      </c>
    </row>
    <row r="8" spans="3:11">
      <c r="F8" s="1400">
        <f>SUM(F4:F6)</f>
        <v>355.71429999999998</v>
      </c>
    </row>
    <row r="9" spans="3:11">
      <c r="F9" t="s">
        <v>1384</v>
      </c>
    </row>
    <row r="10" spans="3:11">
      <c r="F10" s="1399">
        <f>I6</f>
        <v>36</v>
      </c>
    </row>
    <row r="11" spans="3:11">
      <c r="F11" t="s">
        <v>1383</v>
      </c>
    </row>
    <row r="12" spans="3:11">
      <c r="F12" s="1398">
        <f>F8/F10</f>
        <v>9.880952777777777</v>
      </c>
    </row>
    <row r="13" spans="3:11">
      <c r="F13" t="s">
        <v>1382</v>
      </c>
    </row>
    <row r="14" spans="3:11">
      <c r="F14" s="1398">
        <v>46.27</v>
      </c>
    </row>
    <row r="17" spans="3:4" ht="15">
      <c r="C17" s="1454" t="s">
        <v>1498</v>
      </c>
    </row>
    <row r="21" spans="3:4" ht="15">
      <c r="C21" s="1454" t="s">
        <v>1388</v>
      </c>
      <c r="D21" t="s">
        <v>1512</v>
      </c>
    </row>
  </sheetData>
  <pageMargins left="0.7" right="0.7" top="0.75" bottom="0.75" header="0.3" footer="0.3"/>
  <pageSetup paperSize="9" orientation="portrait" r:id="rId1"/>
  <customProperties>
    <customPr name="Qube.Worksheet.Visibility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p:coreProperties xmlns:dc="http://purl.org/dc/elements/1.1/" xmlns:cp="http://schemas.openxmlformats.org/package/2006/metadata/core-properties">
  <dc:creator/>
  <cp:keywords/>
  <dc:description/>
  <dc:subject/>
  <dc:title/>
  <cp:category/>
  <cp:contentStatus/>
</cp:coreProperties>
</file>

<file path=customXml/item2.xml><?xml version="1.0" encoding="utf-8"?>
<Properties xmlns="http://schemas.openxmlformats.org/officeDocument/2006/extended-properties">
  <Company/>
  <Manager/>
</Properties>
</file>

<file path=customXml/item3.xml><?xml version="1.0" encoding="utf-8"?>
<CoverPageProperties xmlns="http://schemas.microsoft.com/office/2006/coverPageProps">
  <PublishDate/>
  <Abstract/>
  <CompanyAddress/>
  <CompanyPhone/>
  <CompanyFax/>
  <CompanyEmail/>
</CoverPageProperties>
</file>

<file path=customXml/item4.xml>��
</file>

<file path=customXml/itemProps1.xml><?xml version="1.0" encoding="utf-8"?>
<ds:datastoreItem xmlns:ds="http://schemas.openxmlformats.org/officeDocument/2006/customXml" ds:itemID="{68E27B8C-B5E6-4B0F-B61E-165F0DA38A28}">
  <ds:schemaRefs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BB6B60E0-9525-47F6-AFED-9F4F87B57ABF}">
  <ds:schemaRefs>
    <ds:schemaRef ds:uri="http://schemas.openxmlformats.org/officeDocument/2006/extended-properties"/>
  </ds:schemaRefs>
</ds:datastoreItem>
</file>

<file path=customXml/itemProps3.xml><?xml version="1.0" encoding="utf-8"?>
<ds:datastoreItem xmlns:ds="http://schemas.openxmlformats.org/officeDocument/2006/customXml" ds:itemID="{7458C920-49E6-4222-B73D-856AC3C1C003}">
  <ds:schemaRefs>
    <ds:schemaRef ds:uri="http://schemas.microsoft.com/office/2006/coverPageProps"/>
  </ds:schemaRefs>
</ds:datastoreItem>
</file>

<file path=customXml/itemProps4.xml><?xml version="1.0" encoding="utf-8"?>
<ds:datastoreItem xmlns:ds="http://schemas.openxmlformats.org/officeDocument/2006/customXml" ds:itemID="{90172BF1-10F8-4D64-9010-42E7EED6D2D5}">
  <ds:schemaRefs>
    <ds:schemaRef ds:uri="http://www.w3.org/2001/XMLSchema"/>
    <ds:schemaRef ds:uri="Exchange-SubmissionSheetWrapper"/>
  </ds:schemaRefs>
</ds:datastoreItem>
</file>

<file path=docMetadata/LabelInfo.xml><?xml version="1.0" encoding="utf-8"?>
<clbl:labelList xmlns:clbl="http://schemas.microsoft.com/office/2020/mipLabelMetadata">
  <clbl:label id="{a64882d5-5c68-43ae-b974-91da18426e9b}" enabled="1" method="Standard" siteId="{38651f6f-836b-4bdf-9615-4e255c290f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Coversheet</vt:lpstr>
      <vt:lpstr>Summary financial</vt:lpstr>
      <vt:lpstr>Model</vt:lpstr>
      <vt:lpstr>Segment</vt:lpstr>
      <vt:lpstr>Quarterly</vt:lpstr>
      <vt:lpstr>Valuation</vt:lpstr>
      <vt:lpstr>CROCI!Print_Area</vt:lpstr>
      <vt:lpstr>Segment!Print_Area</vt:lpstr>
    </vt:vector>
  </TitlesOfParts>
  <Company>Goldman Sachs &amp; 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guanji</dc:creator>
  <cp:lastModifiedBy>QI, Lily [GSCN GIR]</cp:lastModifiedBy>
  <cp:lastPrinted>2025-10-08T08:13:56Z</cp:lastPrinted>
  <dcterms:created xsi:type="dcterms:W3CDTF">2013-06-04T09:24:19Z</dcterms:created>
  <dcterms:modified xsi:type="dcterms:W3CDTF">2025-11-18T15:14:29Z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46957d8f-fcbb-43aa-ad43-8c8c6bc2aa0b</vt:lpwstr>
  </property>
  <property fmtid="{D5CDD505-2E9C-101B-9397-08002B2CF9AE}" pid="3" name="Classification">
    <vt:lpwstr>I</vt:lpwstr>
  </property>
  <property fmtid="{D5CDD505-2E9C-101B-9397-08002B2CF9AE}" pid="4" name="DocNoClass">
    <vt:lpwstr>Not In Use</vt:lpwstr>
  </property>
</Properties>
</file>